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3" i="8" l="1"/>
  <c r="K239" i="7"/>
  <c r="K1" i="3"/>
  <c r="BY238" i="3"/>
  <c r="F238" i="7"/>
  <c r="G1" i="3"/>
  <c r="P1" i="7"/>
  <c r="K243" i="7"/>
  <c r="F240" i="7"/>
  <c r="F241" i="7"/>
  <c r="F932" i="7"/>
  <c r="K241" i="7"/>
  <c r="K932" i="7"/>
  <c r="E240" i="7"/>
  <c r="E241" i="7"/>
  <c r="E932" i="7"/>
  <c r="E23" i="8"/>
  <c r="J239" i="7"/>
  <c r="J241" i="7"/>
  <c r="J932" i="7"/>
  <c r="H239" i="7"/>
  <c r="H241" i="7"/>
  <c r="H932" i="7"/>
  <c r="I239" i="7"/>
  <c r="I241" i="7"/>
  <c r="I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S933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S934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S935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S936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S937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S938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S939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S940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S941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S942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25" i="7"/>
  <c r="J1072" i="7"/>
  <c r="P200" i="7"/>
  <c r="P924" i="7"/>
  <c r="K1072" i="7"/>
  <c r="A1072" i="7"/>
  <c r="T934" i="7"/>
  <c r="T935" i="7"/>
  <c r="T936" i="7"/>
  <c r="T932" i="7"/>
  <c r="T933" i="7"/>
  <c r="T937" i="7"/>
  <c r="T938" i="7"/>
  <c r="T939" i="7"/>
  <c r="T940" i="7"/>
  <c r="T941" i="7"/>
  <c r="T942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T930" i="7"/>
  <c r="T931" i="7"/>
  <c r="T928" i="7"/>
  <c r="T929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317" i="7"/>
  <c r="P942" i="7"/>
  <c r="K1077" i="7"/>
  <c r="A1078" i="7"/>
  <c r="J1078" i="7"/>
  <c r="P337" i="7"/>
  <c r="P944" i="7"/>
  <c r="K1078" i="7"/>
  <c r="A1079" i="7"/>
  <c r="J1079" i="7"/>
  <c r="P347" i="7"/>
  <c r="P945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P708" i="7"/>
  <c r="P965" i="7"/>
  <c r="K1085" i="7"/>
  <c r="A1086" i="7"/>
  <c r="J1086" i="7"/>
  <c r="P724" i="7"/>
  <c r="P969" i="7"/>
  <c r="K1086" i="7"/>
  <c r="A1087" i="7"/>
  <c r="J1087" i="7"/>
  <c r="K1087" i="7"/>
  <c r="A1088" i="7"/>
  <c r="J1088" i="7"/>
  <c r="P755" i="7"/>
  <c r="P973" i="7"/>
  <c r="K1088" i="7"/>
  <c r="A1089" i="7"/>
  <c r="J1089" i="7"/>
  <c r="P760" i="7"/>
  <c r="P975" i="7"/>
  <c r="K1089" i="7"/>
  <c r="A1090" i="7"/>
  <c r="J1090" i="7"/>
  <c r="P743" i="7"/>
  <c r="P977" i="7"/>
  <c r="K1090" i="7"/>
  <c r="A1091" i="7"/>
  <c r="J1091" i="7"/>
  <c r="P749" i="7"/>
  <c r="P979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K832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43" i="7"/>
  <c r="H832" i="7"/>
  <c r="I243" i="7"/>
  <c r="I832" i="7"/>
  <c r="J243" i="7"/>
  <c r="J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C250" i="7"/>
  <c r="C833" i="7"/>
  <c r="D250" i="7"/>
  <c r="D833" i="7"/>
  <c r="E250" i="7"/>
  <c r="E833" i="7"/>
  <c r="BY245" i="3"/>
  <c r="F245" i="7"/>
  <c r="F250" i="7"/>
  <c r="F833" i="7"/>
  <c r="H250" i="7"/>
  <c r="H833" i="7"/>
  <c r="I250" i="7"/>
  <c r="I833" i="7"/>
  <c r="J250" i="7"/>
  <c r="J833" i="7"/>
  <c r="K250" i="7"/>
  <c r="K833" i="7"/>
  <c r="S833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S834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S835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S836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S837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S838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S839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S840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S842" i="7"/>
  <c r="C329" i="7"/>
  <c r="C843" i="7"/>
  <c r="BW324" i="3"/>
  <c r="D324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S843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S844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9" i="7"/>
  <c r="H845" i="7"/>
  <c r="I349" i="7"/>
  <c r="I845" i="7"/>
  <c r="J349" i="7"/>
  <c r="J845" i="7"/>
  <c r="K349" i="7"/>
  <c r="K845" i="7"/>
  <c r="S845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S846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S847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S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S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S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S852" i="7"/>
  <c r="S853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S854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S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C691" i="7"/>
  <c r="C896" i="7"/>
  <c r="D691" i="7"/>
  <c r="D896" i="7"/>
  <c r="BX690" i="3"/>
  <c r="E690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S896" i="7"/>
  <c r="T896" i="7"/>
  <c r="T857" i="7"/>
  <c r="T838" i="7"/>
  <c r="T839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0" i="7"/>
  <c r="T824" i="7"/>
  <c r="T825" i="7"/>
  <c r="T826" i="7"/>
  <c r="T820" i="7"/>
  <c r="T821" i="7"/>
  <c r="T822" i="7"/>
  <c r="T823" i="7"/>
  <c r="T827" i="7"/>
  <c r="T828" i="7"/>
  <c r="T829" i="7"/>
  <c r="T831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F506" i="7"/>
  <c r="F865" i="7"/>
  <c r="BY511" i="3"/>
  <c r="F51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BY632" i="3"/>
  <c r="F632" i="7"/>
  <c r="F633" i="7"/>
  <c r="F886" i="7"/>
  <c r="BY16" i="6"/>
  <c r="BY25" i="6"/>
  <c r="BY34" i="6"/>
  <c r="K1" i="6"/>
  <c r="BY42" i="6"/>
  <c r="G1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50" i="7"/>
  <c r="P833" i="7"/>
  <c r="K1049" i="7"/>
  <c r="A1050" i="7"/>
  <c r="J1050" i="7"/>
  <c r="P278" i="7"/>
  <c r="P837" i="7"/>
  <c r="K1050" i="7"/>
  <c r="A1051" i="7"/>
  <c r="J1051" i="7"/>
  <c r="P309" i="7"/>
  <c r="P841" i="7"/>
  <c r="K1051" i="7"/>
  <c r="A1052" i="7"/>
  <c r="J1052" i="7"/>
  <c r="P319" i="7"/>
  <c r="P842" i="7"/>
  <c r="K1052" i="7"/>
  <c r="A1053" i="7"/>
  <c r="J1053" i="7"/>
  <c r="P329" i="7"/>
  <c r="P843" i="7"/>
  <c r="K1053" i="7"/>
  <c r="A1054" i="7"/>
  <c r="J1054" i="7"/>
  <c r="P339" i="7"/>
  <c r="P844" i="7"/>
  <c r="K1054" i="7"/>
  <c r="A1055" i="7"/>
  <c r="J1055" i="7"/>
  <c r="P349" i="7"/>
  <c r="P845" i="7"/>
  <c r="K1055" i="7"/>
  <c r="A1056" i="7"/>
  <c r="J1056" i="7"/>
  <c r="P370" i="7"/>
  <c r="P847" i="7"/>
  <c r="K1056" i="7"/>
  <c r="A1057" i="7"/>
  <c r="J1057" i="7"/>
  <c r="P391" i="7"/>
  <c r="P849" i="7"/>
  <c r="K1057" i="7"/>
  <c r="A1058" i="7"/>
  <c r="J1058" i="7"/>
  <c r="P437" i="7"/>
  <c r="P851" i="7"/>
  <c r="K1058" i="7"/>
  <c r="A1059" i="7"/>
  <c r="J1059" i="7"/>
  <c r="P649" i="7"/>
  <c r="P854" i="7"/>
  <c r="K1059" i="7"/>
  <c r="A1060" i="7"/>
  <c r="J1060" i="7"/>
  <c r="P655" i="7"/>
  <c r="P855" i="7"/>
  <c r="K1060" i="7"/>
  <c r="A1061" i="7"/>
  <c r="J1061" i="7"/>
  <c r="P691" i="7"/>
  <c r="P896" i="7"/>
  <c r="K1061" i="7"/>
  <c r="A1062" i="7"/>
  <c r="J1062" i="7"/>
  <c r="P701" i="7"/>
  <c r="P898" i="7"/>
  <c r="K1062" i="7"/>
  <c r="A1063" i="7"/>
  <c r="J1063" i="7"/>
  <c r="K1063" i="7"/>
  <c r="H1094" i="7"/>
  <c r="I1093" i="7"/>
  <c r="H1093" i="7"/>
  <c r="I1092" i="7"/>
  <c r="H1092" i="7"/>
  <c r="O749" i="7"/>
  <c r="O979" i="7"/>
  <c r="I1091" i="7"/>
  <c r="H1091" i="7"/>
  <c r="H1083" i="7"/>
  <c r="I1082" i="7"/>
  <c r="H1082" i="7"/>
  <c r="I1081" i="7"/>
  <c r="H1081" i="7"/>
  <c r="H1072" i="7"/>
  <c r="I1099" i="7"/>
  <c r="H1099" i="7"/>
  <c r="I1098" i="7"/>
  <c r="H1098" i="7"/>
  <c r="I1097" i="7"/>
  <c r="H1097" i="7"/>
  <c r="I1096" i="7"/>
  <c r="H1096" i="7"/>
  <c r="I1095" i="7"/>
  <c r="H1095" i="7"/>
  <c r="I1094" i="7"/>
  <c r="O743" i="7"/>
  <c r="O977" i="7"/>
  <c r="I1090" i="7"/>
  <c r="H1090" i="7"/>
  <c r="O760" i="7"/>
  <c r="O975" i="7"/>
  <c r="I1089" i="7"/>
  <c r="H1089" i="7"/>
  <c r="O755" i="7"/>
  <c r="O973" i="7"/>
  <c r="I1088" i="7"/>
  <c r="H1088" i="7"/>
  <c r="I1087" i="7"/>
  <c r="H1087" i="7"/>
  <c r="O724" i="7"/>
  <c r="O969" i="7"/>
  <c r="I1086" i="7"/>
  <c r="H1086" i="7"/>
  <c r="O708" i="7"/>
  <c r="O965" i="7"/>
  <c r="I1085" i="7"/>
  <c r="H1085" i="7"/>
  <c r="I1084" i="7"/>
  <c r="H1084" i="7"/>
  <c r="I1083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50" i="7"/>
  <c r="O833" i="7"/>
  <c r="I1049" i="7"/>
  <c r="H1050" i="7"/>
  <c r="O278" i="7"/>
  <c r="O837" i="7"/>
  <c r="I1050" i="7"/>
  <c r="H1051" i="7"/>
  <c r="O309" i="7"/>
  <c r="O841" i="7"/>
  <c r="I1051" i="7"/>
  <c r="H1052" i="7"/>
  <c r="O319" i="7"/>
  <c r="O842" i="7"/>
  <c r="I1052" i="7"/>
  <c r="H1053" i="7"/>
  <c r="O329" i="7"/>
  <c r="O843" i="7"/>
  <c r="I1053" i="7"/>
  <c r="H1054" i="7"/>
  <c r="O339" i="7"/>
  <c r="O844" i="7"/>
  <c r="I1054" i="7"/>
  <c r="H1055" i="7"/>
  <c r="O349" i="7"/>
  <c r="O845" i="7"/>
  <c r="I1055" i="7"/>
  <c r="H1056" i="7"/>
  <c r="O370" i="7"/>
  <c r="O847" i="7"/>
  <c r="I1056" i="7"/>
  <c r="H1057" i="7"/>
  <c r="O391" i="7"/>
  <c r="O849" i="7"/>
  <c r="I1057" i="7"/>
  <c r="H1058" i="7"/>
  <c r="O437" i="7"/>
  <c r="O851" i="7"/>
  <c r="I1058" i="7"/>
  <c r="H1059" i="7"/>
  <c r="O649" i="7"/>
  <c r="O854" i="7"/>
  <c r="I1059" i="7"/>
  <c r="H1060" i="7"/>
  <c r="O655" i="7"/>
  <c r="O855" i="7"/>
  <c r="I1060" i="7"/>
  <c r="H1061" i="7"/>
  <c r="O691" i="7"/>
  <c r="O896" i="7"/>
  <c r="I1061" i="7"/>
  <c r="H1062" i="7"/>
  <c r="O701" i="7"/>
  <c r="O898" i="7"/>
  <c r="I1062" i="7"/>
  <c r="H1063" i="7"/>
  <c r="I1063" i="7"/>
  <c r="C1075" i="7"/>
  <c r="C1076" i="7"/>
  <c r="C1077" i="7"/>
  <c r="C1078" i="7"/>
  <c r="C1072" i="7"/>
  <c r="C1073" i="7"/>
  <c r="C1074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M116" i="7"/>
  <c r="M822" i="7"/>
  <c r="D1044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8" i="7"/>
  <c r="M837" i="7"/>
  <c r="D1050" i="7"/>
  <c r="C1051" i="7"/>
  <c r="M309" i="7"/>
  <c r="M841" i="7"/>
  <c r="D1051" i="7"/>
  <c r="C1052" i="7"/>
  <c r="M319" i="7"/>
  <c r="M842" i="7"/>
  <c r="D1052" i="7"/>
  <c r="C1053" i="7"/>
  <c r="M329" i="7"/>
  <c r="M843" i="7"/>
  <c r="D1053" i="7"/>
  <c r="C1054" i="7"/>
  <c r="M339" i="7"/>
  <c r="M844" i="7"/>
  <c r="D1054" i="7"/>
  <c r="C1055" i="7"/>
  <c r="M349" i="7"/>
  <c r="M845" i="7"/>
  <c r="D1055" i="7"/>
  <c r="C1056" i="7"/>
  <c r="M370" i="7"/>
  <c r="M847" i="7"/>
  <c r="D1056" i="7"/>
  <c r="C1057" i="7"/>
  <c r="M391" i="7"/>
  <c r="M849" i="7"/>
  <c r="D1057" i="7"/>
  <c r="C1058" i="7"/>
  <c r="M437" i="7"/>
  <c r="M851" i="7"/>
  <c r="D1058" i="7"/>
  <c r="C1059" i="7"/>
  <c r="M649" i="7"/>
  <c r="M854" i="7"/>
  <c r="D1059" i="7"/>
  <c r="C1060" i="7"/>
  <c r="M655" i="7"/>
  <c r="M855" i="7"/>
  <c r="D1060" i="7"/>
  <c r="C1061" i="7"/>
  <c r="M691" i="7"/>
  <c r="M896" i="7"/>
  <c r="D1061" i="7"/>
  <c r="C1062" i="7"/>
  <c r="M701" i="7"/>
  <c r="M898" i="7"/>
  <c r="D1062" i="7"/>
  <c r="C1063" i="7"/>
  <c r="D1063" i="7"/>
  <c r="M200" i="7"/>
  <c r="M924" i="7"/>
  <c r="D1072" i="7"/>
  <c r="M207" i="7"/>
  <c r="M926" i="7"/>
  <c r="D1073" i="7"/>
  <c r="D1074" i="7"/>
  <c r="M241" i="7"/>
  <c r="M932" i="7"/>
  <c r="D1075" i="7"/>
  <c r="M276" i="7"/>
  <c r="M937" i="7"/>
  <c r="D1076" i="7"/>
  <c r="M317" i="7"/>
  <c r="M942" i="7"/>
  <c r="D1077" i="7"/>
  <c r="M337" i="7"/>
  <c r="M944" i="7"/>
  <c r="D1078" i="7"/>
  <c r="M347" i="7"/>
  <c r="M945" i="7"/>
  <c r="D1079" i="7"/>
  <c r="M368" i="7"/>
  <c r="M947" i="7"/>
  <c r="D1080" i="7"/>
  <c r="D1081" i="7"/>
  <c r="D1082" i="7"/>
  <c r="D1083" i="7"/>
  <c r="D1084" i="7"/>
  <c r="M708" i="7"/>
  <c r="M965" i="7"/>
  <c r="D1085" i="7"/>
  <c r="M724" i="7"/>
  <c r="M969" i="7"/>
  <c r="D1086" i="7"/>
  <c r="D1087" i="7"/>
  <c r="M755" i="7"/>
  <c r="M973" i="7"/>
  <c r="D1088" i="7"/>
  <c r="M760" i="7"/>
  <c r="M975" i="7"/>
  <c r="D1089" i="7"/>
  <c r="M743" i="7"/>
  <c r="M977" i="7"/>
  <c r="D1090" i="7"/>
  <c r="M749" i="7"/>
  <c r="M979" i="7"/>
  <c r="D1091" i="7"/>
  <c r="D1092" i="7"/>
  <c r="D1093" i="7"/>
  <c r="D1094" i="7"/>
  <c r="D1095" i="7"/>
  <c r="D1096" i="7"/>
  <c r="D1097" i="7"/>
  <c r="D1098" i="7"/>
  <c r="D1099" i="7"/>
  <c r="E1075" i="7"/>
  <c r="E1076" i="7"/>
  <c r="E1077" i="7"/>
  <c r="E1078" i="7"/>
  <c r="E1072" i="7"/>
  <c r="E1073" i="7"/>
  <c r="E1074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044" i="7"/>
  <c r="E1045" i="7"/>
  <c r="E1046" i="7"/>
  <c r="E1058" i="7"/>
  <c r="E1059" i="7"/>
  <c r="E1060" i="7"/>
  <c r="E1061" i="7"/>
  <c r="E1062" i="7"/>
  <c r="N200" i="7"/>
  <c r="N924" i="7"/>
  <c r="F1072" i="7"/>
  <c r="N207" i="7"/>
  <c r="N926" i="7"/>
  <c r="F1073" i="7"/>
  <c r="F1074" i="7"/>
  <c r="N241" i="7"/>
  <c r="N932" i="7"/>
  <c r="F1075" i="7"/>
  <c r="N276" i="7"/>
  <c r="N937" i="7"/>
  <c r="F1076" i="7"/>
  <c r="N317" i="7"/>
  <c r="N942" i="7"/>
  <c r="F1077" i="7"/>
  <c r="N337" i="7"/>
  <c r="N944" i="7"/>
  <c r="F1078" i="7"/>
  <c r="N347" i="7"/>
  <c r="N945" i="7"/>
  <c r="F1079" i="7"/>
  <c r="N368" i="7"/>
  <c r="N947" i="7"/>
  <c r="F1080" i="7"/>
  <c r="F1081" i="7"/>
  <c r="F1082" i="7"/>
  <c r="F1083" i="7"/>
  <c r="F1084" i="7"/>
  <c r="N708" i="7"/>
  <c r="N965" i="7"/>
  <c r="F1085" i="7"/>
  <c r="N724" i="7"/>
  <c r="N969" i="7"/>
  <c r="F1086" i="7"/>
  <c r="F1087" i="7"/>
  <c r="N755" i="7"/>
  <c r="N973" i="7"/>
  <c r="F1088" i="7"/>
  <c r="N760" i="7"/>
  <c r="N975" i="7"/>
  <c r="F1089" i="7"/>
  <c r="N743" i="7"/>
  <c r="N977" i="7"/>
  <c r="F1090" i="7"/>
  <c r="N749" i="7"/>
  <c r="N979" i="7"/>
  <c r="F1091" i="7"/>
  <c r="F1092" i="7"/>
  <c r="F1093" i="7"/>
  <c r="F1094" i="7"/>
  <c r="F1095" i="7"/>
  <c r="F1096" i="7"/>
  <c r="F1097" i="7"/>
  <c r="F1098" i="7"/>
  <c r="F1099" i="7"/>
  <c r="N116" i="7"/>
  <c r="N822" i="7"/>
  <c r="F1044" i="7"/>
  <c r="N117" i="7"/>
  <c r="N823" i="7"/>
  <c r="F1045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8" i="7"/>
  <c r="N837" i="7"/>
  <c r="F1050" i="7"/>
  <c r="E1051" i="7"/>
  <c r="N309" i="7"/>
  <c r="N841" i="7"/>
  <c r="F1051" i="7"/>
  <c r="E1052" i="7"/>
  <c r="N319" i="7"/>
  <c r="N842" i="7"/>
  <c r="F1052" i="7"/>
  <c r="E1053" i="7"/>
  <c r="N329" i="7"/>
  <c r="N843" i="7"/>
  <c r="F1053" i="7"/>
  <c r="E1054" i="7"/>
  <c r="N339" i="7"/>
  <c r="N844" i="7"/>
  <c r="F1054" i="7"/>
  <c r="E1055" i="7"/>
  <c r="N349" i="7"/>
  <c r="N845" i="7"/>
  <c r="F1055" i="7"/>
  <c r="E1056" i="7"/>
  <c r="N370" i="7"/>
  <c r="N847" i="7"/>
  <c r="F1056" i="7"/>
  <c r="E1057" i="7"/>
  <c r="N391" i="7"/>
  <c r="N849" i="7"/>
  <c r="F1057" i="7"/>
  <c r="N437" i="7"/>
  <c r="N851" i="7"/>
  <c r="F1058" i="7"/>
  <c r="N649" i="7"/>
  <c r="N854" i="7"/>
  <c r="F1059" i="7"/>
  <c r="N655" i="7"/>
  <c r="N855" i="7"/>
  <c r="F1060" i="7"/>
  <c r="N691" i="7"/>
  <c r="N896" i="7"/>
  <c r="F1061" i="7"/>
  <c r="N701" i="7"/>
  <c r="N898" i="7"/>
  <c r="F1062" i="7"/>
  <c r="E1063" i="7"/>
  <c r="F1063" i="7"/>
  <c r="I71" i="8"/>
  <c r="Q772" i="7"/>
  <c r="B71" i="8"/>
  <c r="G71" i="8"/>
  <c r="I772" i="7"/>
  <c r="I72" i="8"/>
  <c r="Q773" i="7"/>
  <c r="B72" i="8"/>
  <c r="G72" i="8"/>
  <c r="I773" i="7"/>
  <c r="I73" i="8"/>
  <c r="Q774" i="7"/>
  <c r="I74" i="8"/>
  <c r="Q775" i="7"/>
  <c r="I75" i="8"/>
  <c r="Q776" i="7"/>
  <c r="B73" i="8"/>
  <c r="G73" i="8"/>
  <c r="I774" i="7"/>
  <c r="B74" i="8"/>
  <c r="G74" i="8"/>
  <c r="I775" i="7"/>
  <c r="B75" i="8"/>
  <c r="D75" i="8"/>
  <c r="I776" i="7"/>
  <c r="Q777" i="7"/>
  <c r="I90" i="8"/>
  <c r="Q781" i="7"/>
  <c r="B90" i="8"/>
  <c r="G90" i="8"/>
  <c r="I778" i="7"/>
  <c r="I779" i="7"/>
  <c r="I781" i="7"/>
  <c r="I76" i="8"/>
  <c r="Q782" i="7"/>
  <c r="B76" i="8"/>
  <c r="G76" i="8"/>
  <c r="I782" i="7"/>
  <c r="I77" i="8"/>
  <c r="Q783" i="7"/>
  <c r="I96" i="8"/>
  <c r="Q784" i="7"/>
  <c r="I97" i="8"/>
  <c r="Q785" i="7"/>
  <c r="B77" i="8"/>
  <c r="D77" i="8"/>
  <c r="I783" i="7"/>
  <c r="B96" i="8"/>
  <c r="D96" i="8"/>
  <c r="I784" i="7"/>
  <c r="B97" i="8"/>
  <c r="D97" i="8"/>
  <c r="I785" i="7"/>
  <c r="Q778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I788" i="7"/>
  <c r="I790" i="7"/>
  <c r="B98" i="8"/>
  <c r="D98" i="8"/>
  <c r="I791" i="7"/>
  <c r="B99" i="8"/>
  <c r="D99" i="8"/>
  <c r="I792" i="7"/>
  <c r="B100" i="8"/>
  <c r="D100" i="8"/>
  <c r="I793" i="7"/>
  <c r="B101" i="8"/>
  <c r="D101" i="8"/>
  <c r="I794" i="7"/>
  <c r="B102" i="8"/>
  <c r="D102" i="8"/>
  <c r="I795" i="7"/>
  <c r="B103" i="8"/>
  <c r="D103" i="8"/>
  <c r="I796" i="7"/>
  <c r="B104" i="8"/>
  <c r="D104" i="8"/>
  <c r="I797" i="7"/>
  <c r="B105" i="8"/>
  <c r="D105" i="8"/>
  <c r="I798" i="7"/>
  <c r="B93" i="8"/>
  <c r="G93" i="8"/>
  <c r="I799" i="7"/>
  <c r="B94" i="8"/>
  <c r="G94" i="8"/>
  <c r="I800" i="7"/>
  <c r="B78" i="8"/>
  <c r="G78" i="8"/>
  <c r="I801" i="7"/>
  <c r="B80" i="8"/>
  <c r="G80" i="8"/>
  <c r="I802" i="7"/>
  <c r="B79" i="8"/>
  <c r="G79" i="8"/>
  <c r="I803" i="7"/>
  <c r="B81" i="8"/>
  <c r="D81" i="8"/>
  <c r="I804" i="7"/>
  <c r="B88" i="8"/>
  <c r="G88" i="8"/>
  <c r="I805" i="7"/>
  <c r="B82" i="8"/>
  <c r="G82" i="8"/>
  <c r="I806" i="7"/>
  <c r="B84" i="8"/>
  <c r="G84" i="8"/>
  <c r="I807" i="7"/>
  <c r="B85" i="8"/>
  <c r="G85" i="8"/>
  <c r="I808" i="7"/>
  <c r="D87" i="8"/>
  <c r="I809" i="7"/>
  <c r="I810" i="7"/>
  <c r="Q779" i="7"/>
  <c r="Q780" i="7"/>
  <c r="E1032" i="7"/>
  <c r="A330" i="7"/>
  <c r="A944" i="7"/>
  <c r="A320" i="7"/>
  <c r="A843" i="7"/>
  <c r="A844" i="7"/>
  <c r="I634" i="7"/>
  <c r="H43" i="8"/>
  <c r="I622" i="7"/>
  <c r="H68" i="8"/>
  <c r="I616" i="7"/>
  <c r="H64" i="8"/>
  <c r="I610" i="7"/>
  <c r="H63" i="8"/>
  <c r="I604" i="7"/>
  <c r="I591" i="7"/>
  <c r="H59" i="8"/>
  <c r="I585" i="7"/>
  <c r="H58" i="8"/>
  <c r="I579" i="7"/>
  <c r="H57" i="8"/>
  <c r="I573" i="7"/>
  <c r="I567" i="7"/>
  <c r="H55" i="8"/>
  <c r="I561" i="7"/>
  <c r="H49" i="8"/>
  <c r="I555" i="7"/>
  <c r="H48" i="8"/>
  <c r="I549" i="7"/>
  <c r="I543" i="7"/>
  <c r="I537" i="7"/>
  <c r="I531" i="7"/>
  <c r="H44" i="8"/>
  <c r="I525" i="7"/>
  <c r="I519" i="7"/>
  <c r="I513" i="7"/>
  <c r="H61" i="8"/>
  <c r="I507" i="7"/>
  <c r="I501" i="7"/>
  <c r="I492" i="7"/>
  <c r="I483" i="7"/>
  <c r="I474" i="7"/>
  <c r="K805" i="7"/>
  <c r="P805" i="7"/>
  <c r="K806" i="7"/>
  <c r="P806" i="7"/>
  <c r="K807" i="7"/>
  <c r="P807" i="7"/>
  <c r="K808" i="7"/>
  <c r="P808" i="7"/>
  <c r="F87" i="8"/>
  <c r="K809" i="7"/>
  <c r="P809" i="7"/>
  <c r="K810" i="7"/>
  <c r="P810" i="7"/>
  <c r="P41" i="7"/>
  <c r="J805" i="7"/>
  <c r="O805" i="7"/>
  <c r="J806" i="7"/>
  <c r="O806" i="7"/>
  <c r="J807" i="7"/>
  <c r="O807" i="7"/>
  <c r="J808" i="7"/>
  <c r="O808" i="7"/>
  <c r="E87" i="8"/>
  <c r="J809" i="7"/>
  <c r="O809" i="7"/>
  <c r="J810" i="7"/>
  <c r="O810" i="7"/>
  <c r="O41" i="7"/>
  <c r="N805" i="7"/>
  <c r="N806" i="7"/>
  <c r="N807" i="7"/>
  <c r="N808" i="7"/>
  <c r="N809" i="7"/>
  <c r="N810" i="7"/>
  <c r="N41" i="7"/>
  <c r="H805" i="7"/>
  <c r="M805" i="7"/>
  <c r="H806" i="7"/>
  <c r="M806" i="7"/>
  <c r="H807" i="7"/>
  <c r="M807" i="7"/>
  <c r="H808" i="7"/>
  <c r="M808" i="7"/>
  <c r="C87" i="8"/>
  <c r="H809" i="7"/>
  <c r="M809" i="7"/>
  <c r="H810" i="7"/>
  <c r="M810" i="7"/>
  <c r="M41" i="7"/>
  <c r="K803" i="7"/>
  <c r="P803" i="7"/>
  <c r="P40" i="7"/>
  <c r="J803" i="7"/>
  <c r="O803" i="7"/>
  <c r="O40" i="7"/>
  <c r="N803" i="7"/>
  <c r="N40" i="7"/>
  <c r="H803" i="7"/>
  <c r="M803" i="7"/>
  <c r="M40" i="7"/>
  <c r="K802" i="7"/>
  <c r="P802" i="7"/>
  <c r="F81" i="8"/>
  <c r="K804" i="7"/>
  <c r="P804" i="7"/>
  <c r="P39" i="7"/>
  <c r="J802" i="7"/>
  <c r="O802" i="7"/>
  <c r="E81" i="8"/>
  <c r="J804" i="7"/>
  <c r="O804" i="7"/>
  <c r="O39" i="7"/>
  <c r="N802" i="7"/>
  <c r="N804" i="7"/>
  <c r="N39" i="7"/>
  <c r="H802" i="7"/>
  <c r="M802" i="7"/>
  <c r="C81" i="8"/>
  <c r="H804" i="7"/>
  <c r="M804" i="7"/>
  <c r="M39" i="7"/>
  <c r="K801" i="7"/>
  <c r="P801" i="7"/>
  <c r="P996" i="7"/>
  <c r="P38" i="7"/>
  <c r="J801" i="7"/>
  <c r="O801" i="7"/>
  <c r="O996" i="7"/>
  <c r="O38" i="7"/>
  <c r="N801" i="7"/>
  <c r="N996" i="7"/>
  <c r="N38" i="7"/>
  <c r="H801" i="7"/>
  <c r="M801" i="7"/>
  <c r="M996" i="7"/>
  <c r="M38" i="7"/>
  <c r="K799" i="7"/>
  <c r="P799" i="7"/>
  <c r="K800" i="7"/>
  <c r="P800" i="7"/>
  <c r="P995" i="7"/>
  <c r="P37" i="7"/>
  <c r="J799" i="7"/>
  <c r="O799" i="7"/>
  <c r="J800" i="7"/>
  <c r="O800" i="7"/>
  <c r="O995" i="7"/>
  <c r="O37" i="7"/>
  <c r="N799" i="7"/>
  <c r="N800" i="7"/>
  <c r="N995" i="7"/>
  <c r="N37" i="7"/>
  <c r="H799" i="7"/>
  <c r="M799" i="7"/>
  <c r="H800" i="7"/>
  <c r="M800" i="7"/>
  <c r="M995" i="7"/>
  <c r="M37" i="7"/>
  <c r="F96" i="8"/>
  <c r="K784" i="7"/>
  <c r="P784" i="7"/>
  <c r="F97" i="8"/>
  <c r="K785" i="7"/>
  <c r="P785" i="7"/>
  <c r="F98" i="8"/>
  <c r="K791" i="7"/>
  <c r="P791" i="7"/>
  <c r="F99" i="8"/>
  <c r="K792" i="7"/>
  <c r="P792" i="7"/>
  <c r="F100" i="8"/>
  <c r="K793" i="7"/>
  <c r="P793" i="7"/>
  <c r="F101" i="8"/>
  <c r="K794" i="7"/>
  <c r="P794" i="7"/>
  <c r="F102" i="8"/>
  <c r="K795" i="7"/>
  <c r="P795" i="7"/>
  <c r="F103" i="8"/>
  <c r="K796" i="7"/>
  <c r="P796" i="7"/>
  <c r="F104" i="8"/>
  <c r="K797" i="7"/>
  <c r="P797" i="7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K778" i="7"/>
  <c r="K779" i="7"/>
  <c r="K781" i="7"/>
  <c r="P781" i="7"/>
  <c r="K788" i="7"/>
  <c r="K790" i="7"/>
  <c r="P790" i="7"/>
  <c r="P993" i="7"/>
  <c r="P35" i="7"/>
  <c r="J778" i="7"/>
  <c r="J779" i="7"/>
  <c r="J781" i="7"/>
  <c r="O781" i="7"/>
  <c r="J788" i="7"/>
  <c r="J790" i="7"/>
  <c r="O790" i="7"/>
  <c r="O993" i="7"/>
  <c r="O35" i="7"/>
  <c r="N781" i="7"/>
  <c r="N790" i="7"/>
  <c r="N993" i="7"/>
  <c r="N35" i="7"/>
  <c r="H778" i="7"/>
  <c r="H779" i="7"/>
  <c r="H781" i="7"/>
  <c r="M781" i="7"/>
  <c r="H788" i="7"/>
  <c r="H790" i="7"/>
  <c r="M790" i="7"/>
  <c r="M993" i="7"/>
  <c r="M35" i="7"/>
  <c r="K774" i="7"/>
  <c r="P774" i="7"/>
  <c r="K775" i="7"/>
  <c r="P775" i="7"/>
  <c r="F75" i="8"/>
  <c r="K776" i="7"/>
  <c r="P776" i="7"/>
  <c r="K782" i="7"/>
  <c r="P782" i="7"/>
  <c r="F77" i="8"/>
  <c r="K783" i="7"/>
  <c r="P783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O992" i="7"/>
  <c r="O34" i="7"/>
  <c r="N774" i="7"/>
  <c r="N775" i="7"/>
  <c r="N776" i="7"/>
  <c r="N782" i="7"/>
  <c r="N783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K555" i="7"/>
  <c r="B49" i="8"/>
  <c r="G49" i="8"/>
  <c r="K552" i="7"/>
  <c r="K556" i="7"/>
  <c r="P556" i="7"/>
  <c r="K561" i="7"/>
  <c r="B55" i="8"/>
  <c r="G55" i="8"/>
  <c r="K558" i="7"/>
  <c r="K562" i="7"/>
  <c r="P562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K772" i="7"/>
  <c r="P772" i="7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4" i="7"/>
  <c r="J538" i="7"/>
  <c r="O538" i="7"/>
  <c r="J543" i="7"/>
  <c r="J539" i="7"/>
  <c r="J544" i="7"/>
  <c r="O544" i="7"/>
  <c r="J549" i="7"/>
  <c r="J546" i="7"/>
  <c r="J550" i="7"/>
  <c r="O550" i="7"/>
  <c r="J555" i="7"/>
  <c r="J552" i="7"/>
  <c r="J556" i="7"/>
  <c r="O556" i="7"/>
  <c r="J561" i="7"/>
  <c r="J558" i="7"/>
  <c r="J562" i="7"/>
  <c r="O562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772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4" i="7"/>
  <c r="H538" i="7"/>
  <c r="M538" i="7"/>
  <c r="H543" i="7"/>
  <c r="H539" i="7"/>
  <c r="H544" i="7"/>
  <c r="M544" i="7"/>
  <c r="H549" i="7"/>
  <c r="H546" i="7"/>
  <c r="H550" i="7"/>
  <c r="M550" i="7"/>
  <c r="H555" i="7"/>
  <c r="H552" i="7"/>
  <c r="H556" i="7"/>
  <c r="M556" i="7"/>
  <c r="H561" i="7"/>
  <c r="H558" i="7"/>
  <c r="H562" i="7"/>
  <c r="M562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30" i="7"/>
  <c r="O30" i="7"/>
  <c r="N30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57" i="7"/>
  <c r="M946" i="7"/>
  <c r="M379" i="7"/>
  <c r="M948" i="7"/>
  <c r="M21" i="7"/>
  <c r="P696" i="7"/>
  <c r="P897" i="7"/>
  <c r="P19" i="7"/>
  <c r="O696" i="7"/>
  <c r="O897" i="7"/>
  <c r="O19" i="7"/>
  <c r="N696" i="7"/>
  <c r="N897" i="7"/>
  <c r="N19" i="7"/>
  <c r="M696" i="7"/>
  <c r="M897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596" i="3"/>
  <c r="D596" i="7"/>
  <c r="K597" i="7"/>
  <c r="P597" i="7"/>
  <c r="P880" i="7"/>
  <c r="BW602" i="3"/>
  <c r="D602" i="7"/>
  <c r="K603" i="7"/>
  <c r="P603" i="7"/>
  <c r="P881" i="7"/>
  <c r="BW608" i="3"/>
  <c r="D608" i="7"/>
  <c r="K609" i="7"/>
  <c r="P609" i="7"/>
  <c r="P882" i="7"/>
  <c r="K615" i="7"/>
  <c r="P615" i="7"/>
  <c r="P883" i="7"/>
  <c r="BW620" i="3"/>
  <c r="D620" i="7"/>
  <c r="K621" i="7"/>
  <c r="P621" i="7"/>
  <c r="P884" i="7"/>
  <c r="K627" i="7"/>
  <c r="P627" i="7"/>
  <c r="P885" i="7"/>
  <c r="K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E554" i="7"/>
  <c r="O554" i="7"/>
  <c r="O873" i="7"/>
  <c r="J560" i="7"/>
  <c r="E560" i="7"/>
  <c r="O560" i="7"/>
  <c r="O874" i="7"/>
  <c r="J566" i="7"/>
  <c r="BX565" i="3"/>
  <c r="E565" i="7"/>
  <c r="E566" i="7"/>
  <c r="O566" i="7"/>
  <c r="O875" i="7"/>
  <c r="J572" i="7"/>
  <c r="E572" i="7"/>
  <c r="O572" i="7"/>
  <c r="O876" i="7"/>
  <c r="J578" i="7"/>
  <c r="E578" i="7"/>
  <c r="O578" i="7"/>
  <c r="O877" i="7"/>
  <c r="J584" i="7"/>
  <c r="E584" i="7"/>
  <c r="O584" i="7"/>
  <c r="O878" i="7"/>
  <c r="J590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BV535" i="3"/>
  <c r="C535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C554" i="7"/>
  <c r="M554" i="7"/>
  <c r="M873" i="7"/>
  <c r="H560" i="7"/>
  <c r="C560" i="7"/>
  <c r="M560" i="7"/>
  <c r="M874" i="7"/>
  <c r="H566" i="7"/>
  <c r="BV565" i="3"/>
  <c r="C565" i="7"/>
  <c r="C566" i="7"/>
  <c r="M566" i="7"/>
  <c r="M875" i="7"/>
  <c r="H572" i="7"/>
  <c r="C572" i="7"/>
  <c r="M572" i="7"/>
  <c r="M876" i="7"/>
  <c r="H578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P473" i="7"/>
  <c r="P861" i="7"/>
  <c r="K480" i="7"/>
  <c r="BW481" i="3"/>
  <c r="D481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BW632" i="3"/>
  <c r="D632" i="7"/>
  <c r="K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E491" i="7"/>
  <c r="O491" i="7"/>
  <c r="O863" i="7"/>
  <c r="J498" i="7"/>
  <c r="J500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47" i="7"/>
  <c r="P852" i="7"/>
  <c r="P14" i="7"/>
  <c r="O447" i="7"/>
  <c r="O852" i="7"/>
  <c r="O14" i="7"/>
  <c r="N447" i="7"/>
  <c r="N852" i="7"/>
  <c r="N14" i="7"/>
  <c r="M447" i="7"/>
  <c r="M852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381" i="7"/>
  <c r="P848" i="7"/>
  <c r="P12" i="7"/>
  <c r="O271" i="7"/>
  <c r="O836" i="7"/>
  <c r="O359" i="7"/>
  <c r="O846" i="7"/>
  <c r="O381" i="7"/>
  <c r="O848" i="7"/>
  <c r="O12" i="7"/>
  <c r="N271" i="7"/>
  <c r="N836" i="7"/>
  <c r="N359" i="7"/>
  <c r="N846" i="7"/>
  <c r="N381" i="7"/>
  <c r="N848" i="7"/>
  <c r="N12" i="7"/>
  <c r="M271" i="7"/>
  <c r="M836" i="7"/>
  <c r="M359" i="7"/>
  <c r="M846" i="7"/>
  <c r="M381" i="7"/>
  <c r="M848" i="7"/>
  <c r="M12" i="7"/>
  <c r="P257" i="7"/>
  <c r="P834" i="7"/>
  <c r="P264" i="7"/>
  <c r="P835" i="7"/>
  <c r="P285" i="7"/>
  <c r="P838" i="7"/>
  <c r="P292" i="7"/>
  <c r="P839" i="7"/>
  <c r="P299" i="7"/>
  <c r="P840" i="7"/>
  <c r="P11" i="7"/>
  <c r="O257" i="7"/>
  <c r="O834" i="7"/>
  <c r="O264" i="7"/>
  <c r="O835" i="7"/>
  <c r="O285" i="7"/>
  <c r="O838" i="7"/>
  <c r="O292" i="7"/>
  <c r="O839" i="7"/>
  <c r="O299" i="7"/>
  <c r="O840" i="7"/>
  <c r="O11" i="7"/>
  <c r="N257" i="7"/>
  <c r="N834" i="7"/>
  <c r="N264" i="7"/>
  <c r="N835" i="7"/>
  <c r="N285" i="7"/>
  <c r="N838" i="7"/>
  <c r="N292" i="7"/>
  <c r="N839" i="7"/>
  <c r="N299" i="7"/>
  <c r="N840" i="7"/>
  <c r="N11" i="7"/>
  <c r="M257" i="7"/>
  <c r="M834" i="7"/>
  <c r="M264" i="7"/>
  <c r="M835" i="7"/>
  <c r="M285" i="7"/>
  <c r="M838" i="7"/>
  <c r="M292" i="7"/>
  <c r="M839" i="7"/>
  <c r="M299" i="7"/>
  <c r="M840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C588" i="7"/>
  <c r="E588" i="7"/>
  <c r="F588" i="7"/>
  <c r="I588" i="7"/>
  <c r="K588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C631" i="7"/>
  <c r="D631" i="7"/>
  <c r="E631" i="7"/>
  <c r="F631" i="7"/>
  <c r="C634" i="7"/>
  <c r="C635" i="7"/>
  <c r="D635" i="7"/>
  <c r="E634" i="7"/>
  <c r="E635" i="7"/>
  <c r="F634" i="7"/>
  <c r="F635" i="7"/>
  <c r="F805" i="7"/>
  <c r="F806" i="7"/>
  <c r="F807" i="7"/>
  <c r="F808" i="7"/>
  <c r="F809" i="7"/>
  <c r="F810" i="7"/>
  <c r="E805" i="7"/>
  <c r="E806" i="7"/>
  <c r="E807" i="7"/>
  <c r="E808" i="7"/>
  <c r="E809" i="7"/>
  <c r="E810" i="7"/>
  <c r="D805" i="7"/>
  <c r="D806" i="7"/>
  <c r="D807" i="7"/>
  <c r="D808" i="7"/>
  <c r="D809" i="7"/>
  <c r="D810" i="7"/>
  <c r="C805" i="7"/>
  <c r="C806" i="7"/>
  <c r="C807" i="7"/>
  <c r="C808" i="7"/>
  <c r="C809" i="7"/>
  <c r="C810" i="7"/>
  <c r="F803" i="7"/>
  <c r="E803" i="7"/>
  <c r="D803" i="7"/>
  <c r="C803" i="7"/>
  <c r="F802" i="7"/>
  <c r="F804" i="7"/>
  <c r="E802" i="7"/>
  <c r="E804" i="7"/>
  <c r="D802" i="7"/>
  <c r="D804" i="7"/>
  <c r="C802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88" i="7"/>
  <c r="E780" i="7"/>
  <c r="E788" i="7"/>
  <c r="D780" i="7"/>
  <c r="D788" i="7"/>
  <c r="C780" i="7"/>
  <c r="C788" i="7"/>
  <c r="F774" i="7"/>
  <c r="F775" i="7"/>
  <c r="F776" i="7"/>
  <c r="F782" i="7"/>
  <c r="F783" i="7"/>
  <c r="E774" i="7"/>
  <c r="E775" i="7"/>
  <c r="E776" i="7"/>
  <c r="E782" i="7"/>
  <c r="E783" i="7"/>
  <c r="D774" i="7"/>
  <c r="D775" i="7"/>
  <c r="D776" i="7"/>
  <c r="D782" i="7"/>
  <c r="D783" i="7"/>
  <c r="C774" i="7"/>
  <c r="C775" i="7"/>
  <c r="C776" i="7"/>
  <c r="C782" i="7"/>
  <c r="C783" i="7"/>
  <c r="F586" i="7"/>
  <c r="F587" i="7"/>
  <c r="F592" i="7"/>
  <c r="F605" i="7"/>
  <c r="F611" i="7"/>
  <c r="F623" i="7"/>
  <c r="D504" i="7"/>
  <c r="C504" i="7"/>
  <c r="E504" i="7"/>
  <c r="F504" i="7"/>
  <c r="I504" i="7"/>
  <c r="K504" i="7"/>
  <c r="D507" i="7"/>
  <c r="C507" i="7"/>
  <c r="E507" i="7"/>
  <c r="F507" i="7"/>
  <c r="F508" i="7"/>
  <c r="D510" i="7"/>
  <c r="I510" i="7"/>
  <c r="K510" i="7"/>
  <c r="D513" i="7"/>
  <c r="F513" i="7"/>
  <c r="F509" i="7"/>
  <c r="F510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F531" i="7"/>
  <c r="F528" i="7"/>
  <c r="F532" i="7"/>
  <c r="D537" i="7"/>
  <c r="F537" i="7"/>
  <c r="F534" i="7"/>
  <c r="F538" i="7"/>
  <c r="D540" i="7"/>
  <c r="C540" i="7"/>
  <c r="E540" i="7"/>
  <c r="I540" i="7"/>
  <c r="K540" i="7"/>
  <c r="D543" i="7"/>
  <c r="C543" i="7"/>
  <c r="E543" i="7"/>
  <c r="F543" i="7"/>
  <c r="F539" i="7"/>
  <c r="F540" i="7"/>
  <c r="F544" i="7"/>
  <c r="D549" i="7"/>
  <c r="C549" i="7"/>
  <c r="E549" i="7"/>
  <c r="F549" i="7"/>
  <c r="F550" i="7"/>
  <c r="D555" i="7"/>
  <c r="C555" i="7"/>
  <c r="E555" i="7"/>
  <c r="F555" i="7"/>
  <c r="F556" i="7"/>
  <c r="D561" i="7"/>
  <c r="C561" i="7"/>
  <c r="E561" i="7"/>
  <c r="F561" i="7"/>
  <c r="F562" i="7"/>
  <c r="D567" i="7"/>
  <c r="F567" i="7"/>
  <c r="F564" i="7"/>
  <c r="F568" i="7"/>
  <c r="D573" i="7"/>
  <c r="C573" i="7"/>
  <c r="E573" i="7"/>
  <c r="F573" i="7"/>
  <c r="F574" i="7"/>
  <c r="D576" i="7"/>
  <c r="C576" i="7"/>
  <c r="E576" i="7"/>
  <c r="F576" i="7"/>
  <c r="I576" i="7"/>
  <c r="K576" i="7"/>
  <c r="D579" i="7"/>
  <c r="C579" i="7"/>
  <c r="E579" i="7"/>
  <c r="F579" i="7"/>
  <c r="F580" i="7"/>
  <c r="F772" i="7"/>
  <c r="F773" i="7"/>
  <c r="F617" i="7"/>
  <c r="D595" i="7"/>
  <c r="C595" i="7"/>
  <c r="E595" i="7"/>
  <c r="F595" i="7"/>
  <c r="I595" i="7"/>
  <c r="K595" i="7"/>
  <c r="D598" i="7"/>
  <c r="F598" i="7"/>
  <c r="F599" i="7"/>
  <c r="D628" i="7"/>
  <c r="F628" i="7"/>
  <c r="F629" i="7"/>
  <c r="F637" i="7"/>
  <c r="D641" i="7"/>
  <c r="D638" i="7"/>
  <c r="I638" i="7"/>
  <c r="K638" i="7"/>
  <c r="F642" i="7"/>
  <c r="E586" i="7"/>
  <c r="E592" i="7"/>
  <c r="E605" i="7"/>
  <c r="E611" i="7"/>
  <c r="E623" i="7"/>
  <c r="J504" i="7"/>
  <c r="E508" i="7"/>
  <c r="J510" i="7"/>
  <c r="E513" i="7"/>
  <c r="E509" i="7"/>
  <c r="E510" i="7"/>
  <c r="E514" i="7"/>
  <c r="J516" i="7"/>
  <c r="E519" i="7"/>
  <c r="E515" i="7"/>
  <c r="E516" i="7"/>
  <c r="E520" i="7"/>
  <c r="J522" i="7"/>
  <c r="E526" i="7"/>
  <c r="E531" i="7"/>
  <c r="E528" i="7"/>
  <c r="E532" i="7"/>
  <c r="E537" i="7"/>
  <c r="E534" i="7"/>
  <c r="E538" i="7"/>
  <c r="J540" i="7"/>
  <c r="E539" i="7"/>
  <c r="E544" i="7"/>
  <c r="E550" i="7"/>
  <c r="E556" i="7"/>
  <c r="E562" i="7"/>
  <c r="E567" i="7"/>
  <c r="E564" i="7"/>
  <c r="E568" i="7"/>
  <c r="E574" i="7"/>
  <c r="J576" i="7"/>
  <c r="E580" i="7"/>
  <c r="E772" i="7"/>
  <c r="E773" i="7"/>
  <c r="E617" i="7"/>
  <c r="J595" i="7"/>
  <c r="E598" i="7"/>
  <c r="E599" i="7"/>
  <c r="E628" i="7"/>
  <c r="E629" i="7"/>
  <c r="E637" i="7"/>
  <c r="J638" i="7"/>
  <c r="E642" i="7"/>
  <c r="D586" i="7"/>
  <c r="D592" i="7"/>
  <c r="D605" i="7"/>
  <c r="D611" i="7"/>
  <c r="D623" i="7"/>
  <c r="D508" i="7"/>
  <c r="D509" i="7"/>
  <c r="D514" i="7"/>
  <c r="D515" i="7"/>
  <c r="D520" i="7"/>
  <c r="D526" i="7"/>
  <c r="D528" i="7"/>
  <c r="D532" i="7"/>
  <c r="D534" i="7"/>
  <c r="D538" i="7"/>
  <c r="D544" i="7"/>
  <c r="D550" i="7"/>
  <c r="D556" i="7"/>
  <c r="D562" i="7"/>
  <c r="D564" i="7"/>
  <c r="D568" i="7"/>
  <c r="D574" i="7"/>
  <c r="D580" i="7"/>
  <c r="D772" i="7"/>
  <c r="D773" i="7"/>
  <c r="D617" i="7"/>
  <c r="D599" i="7"/>
  <c r="D629" i="7"/>
  <c r="D637" i="7"/>
  <c r="D642" i="7"/>
  <c r="C586" i="7"/>
  <c r="C592" i="7"/>
  <c r="C605" i="7"/>
  <c r="C611" i="7"/>
  <c r="C623" i="7"/>
  <c r="H504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1" i="7"/>
  <c r="C532" i="7"/>
  <c r="C537" i="7"/>
  <c r="C534" i="7"/>
  <c r="C538" i="7"/>
  <c r="H540" i="7"/>
  <c r="C544" i="7"/>
  <c r="C550" i="7"/>
  <c r="C556" i="7"/>
  <c r="C562" i="7"/>
  <c r="C567" i="7"/>
  <c r="C564" i="7"/>
  <c r="C568" i="7"/>
  <c r="C574" i="7"/>
  <c r="H576" i="7"/>
  <c r="C772" i="7"/>
  <c r="C773" i="7"/>
  <c r="C617" i="7"/>
  <c r="H595" i="7"/>
  <c r="C598" i="7"/>
  <c r="C599" i="7"/>
  <c r="C628" i="7"/>
  <c r="C629" i="7"/>
  <c r="C637" i="7"/>
  <c r="H638" i="7"/>
  <c r="C642" i="7"/>
  <c r="D468" i="7"/>
  <c r="D470" i="7"/>
  <c r="I470" i="7"/>
  <c r="K470" i="7"/>
  <c r="D474" i="7"/>
  <c r="F474" i="7"/>
  <c r="F469" i="7"/>
  <c r="F468" i="7"/>
  <c r="F470" i="7"/>
  <c r="F471" i="7"/>
  <c r="F475" i="7"/>
  <c r="D477" i="7"/>
  <c r="D479" i="7"/>
  <c r="I479" i="7"/>
  <c r="K479" i="7"/>
  <c r="D483" i="7"/>
  <c r="F483" i="7"/>
  <c r="F478" i="7"/>
  <c r="F479" i="7"/>
  <c r="F484" i="7"/>
  <c r="D486" i="7"/>
  <c r="D488" i="7"/>
  <c r="I488" i="7"/>
  <c r="K488" i="7"/>
  <c r="D492" i="7"/>
  <c r="C492" i="7"/>
  <c r="E492" i="7"/>
  <c r="F492" i="7"/>
  <c r="F487" i="7"/>
  <c r="F488" i="7"/>
  <c r="F493" i="7"/>
  <c r="D495" i="7"/>
  <c r="D497" i="7"/>
  <c r="I497" i="7"/>
  <c r="K497" i="7"/>
  <c r="D501" i="7"/>
  <c r="C501" i="7"/>
  <c r="E501" i="7"/>
  <c r="F501" i="7"/>
  <c r="F496" i="7"/>
  <c r="F497" i="7"/>
  <c r="F502" i="7"/>
  <c r="J470" i="7"/>
  <c r="E474" i="7"/>
  <c r="E469" i="7"/>
  <c r="E468" i="7"/>
  <c r="E470" i="7"/>
  <c r="E471" i="7"/>
  <c r="E475" i="7"/>
  <c r="J479" i="7"/>
  <c r="E483" i="7"/>
  <c r="E478" i="7"/>
  <c r="E479" i="7"/>
  <c r="E484" i="7"/>
  <c r="J488" i="7"/>
  <c r="E493" i="7"/>
  <c r="J497" i="7"/>
  <c r="E502" i="7"/>
  <c r="D469" i="7"/>
  <c r="D471" i="7"/>
  <c r="D475" i="7"/>
  <c r="D478" i="7"/>
  <c r="D484" i="7"/>
  <c r="D493" i="7"/>
  <c r="D502" i="7"/>
  <c r="H470" i="7"/>
  <c r="C474" i="7"/>
  <c r="C469" i="7"/>
  <c r="C468" i="7"/>
  <c r="C470" i="7"/>
  <c r="C471" i="7"/>
  <c r="C475" i="7"/>
  <c r="H479" i="7"/>
  <c r="C483" i="7"/>
  <c r="C478" i="7"/>
  <c r="C479" i="7"/>
  <c r="C484" i="7"/>
  <c r="H488" i="7"/>
  <c r="C493" i="7"/>
  <c r="H497" i="7"/>
  <c r="C502" i="7"/>
  <c r="K435" i="7"/>
  <c r="F435" i="7"/>
  <c r="P435" i="7"/>
  <c r="P962" i="7"/>
  <c r="K445" i="7"/>
  <c r="F445" i="7"/>
  <c r="P445" i="7"/>
  <c r="P963" i="7"/>
  <c r="J435" i="7"/>
  <c r="E435" i="7"/>
  <c r="O435" i="7"/>
  <c r="O962" i="7"/>
  <c r="J445" i="7"/>
  <c r="E445" i="7"/>
  <c r="O445" i="7"/>
  <c r="O963" i="7"/>
  <c r="I435" i="7"/>
  <c r="D435" i="7"/>
  <c r="N435" i="7"/>
  <c r="N962" i="7"/>
  <c r="I445" i="7"/>
  <c r="D445" i="7"/>
  <c r="N445" i="7"/>
  <c r="N963" i="7"/>
  <c r="H435" i="7"/>
  <c r="C435" i="7"/>
  <c r="M435" i="7"/>
  <c r="M962" i="7"/>
  <c r="H445" i="7"/>
  <c r="C445" i="7"/>
  <c r="M445" i="7"/>
  <c r="M963" i="7"/>
  <c r="F762" i="7"/>
  <c r="F725" i="7"/>
  <c r="P770" i="7"/>
  <c r="P982" i="7"/>
  <c r="E762" i="7"/>
  <c r="E725" i="7"/>
  <c r="O770" i="7"/>
  <c r="O982" i="7"/>
  <c r="D762" i="7"/>
  <c r="D725" i="7"/>
  <c r="N770" i="7"/>
  <c r="N982" i="7"/>
  <c r="C762" i="7"/>
  <c r="C725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E755" i="7"/>
  <c r="D729" i="7"/>
  <c r="I729" i="7"/>
  <c r="D755" i="7"/>
  <c r="C729" i="7"/>
  <c r="H729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E720" i="7"/>
  <c r="D708" i="7"/>
  <c r="D714" i="7"/>
  <c r="D720" i="7"/>
  <c r="C708" i="7"/>
  <c r="C714" i="7"/>
  <c r="C720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E78" i="7"/>
  <c r="E86" i="7"/>
  <c r="E97" i="7"/>
  <c r="E105" i="7"/>
  <c r="E113" i="7"/>
  <c r="E124" i="7"/>
  <c r="E133" i="7"/>
  <c r="E141" i="7"/>
  <c r="E152" i="7"/>
  <c r="E161" i="7"/>
  <c r="E169" i="7"/>
  <c r="D70" i="7"/>
  <c r="D78" i="7"/>
  <c r="D86" i="7"/>
  <c r="D97" i="7"/>
  <c r="D105" i="7"/>
  <c r="D113" i="7"/>
  <c r="D124" i="7"/>
  <c r="D133" i="7"/>
  <c r="D141" i="7"/>
  <c r="D152" i="7"/>
  <c r="D161" i="7"/>
  <c r="D169" i="7"/>
  <c r="C70" i="7"/>
  <c r="C78" i="7"/>
  <c r="C86" i="7"/>
  <c r="C97" i="7"/>
  <c r="C105" i="7"/>
  <c r="C113" i="7"/>
  <c r="C124" i="7"/>
  <c r="C133" i="7"/>
  <c r="C141" i="7"/>
  <c r="C152" i="7"/>
  <c r="C161" i="7"/>
  <c r="C169" i="7"/>
  <c r="F239" i="7"/>
  <c r="F237" i="7"/>
  <c r="F242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6" i="7"/>
  <c r="E253" i="7"/>
  <c r="E260" i="7"/>
  <c r="E267" i="7"/>
  <c r="E274" i="7"/>
  <c r="E272" i="7"/>
  <c r="E277" i="7"/>
  <c r="E275" i="7"/>
  <c r="E276" i="7"/>
  <c r="E281" i="7"/>
  <c r="E288" i="7"/>
  <c r="E295" i="7"/>
  <c r="E305" i="7"/>
  <c r="E315" i="7"/>
  <c r="E310" i="7"/>
  <c r="E312" i="7"/>
  <c r="E313" i="7"/>
  <c r="E318" i="7"/>
  <c r="E316" i="7"/>
  <c r="E317" i="7"/>
  <c r="E325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E366" i="7"/>
  <c r="E361" i="7"/>
  <c r="E363" i="7"/>
  <c r="E364" i="7"/>
  <c r="E369" i="7"/>
  <c r="E367" i="7"/>
  <c r="E368" i="7"/>
  <c r="E377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D253" i="7"/>
  <c r="D260" i="7"/>
  <c r="D267" i="7"/>
  <c r="D274" i="7"/>
  <c r="D281" i="7"/>
  <c r="D288" i="7"/>
  <c r="D295" i="7"/>
  <c r="D305" i="7"/>
  <c r="D315" i="7"/>
  <c r="D325" i="7"/>
  <c r="D335" i="7"/>
  <c r="D345" i="7"/>
  <c r="D340" i="7"/>
  <c r="D342" i="7"/>
  <c r="D343" i="7"/>
  <c r="D348" i="7"/>
  <c r="D346" i="7"/>
  <c r="D347" i="7"/>
  <c r="D355" i="7"/>
  <c r="D366" i="7"/>
  <c r="D361" i="7"/>
  <c r="D363" i="7"/>
  <c r="D364" i="7"/>
  <c r="D369" i="7"/>
  <c r="D367" i="7"/>
  <c r="D368" i="7"/>
  <c r="D377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C253" i="7"/>
  <c r="C260" i="7"/>
  <c r="C267" i="7"/>
  <c r="C274" i="7"/>
  <c r="C281" i="7"/>
  <c r="C288" i="7"/>
  <c r="C295" i="7"/>
  <c r="C305" i="7"/>
  <c r="C315" i="7"/>
  <c r="C325" i="7"/>
  <c r="C335" i="7"/>
  <c r="C345" i="7"/>
  <c r="C355" i="7"/>
  <c r="C366" i="7"/>
  <c r="C377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F700" i="7"/>
  <c r="F698" i="7"/>
  <c r="F699" i="7"/>
  <c r="E688" i="7"/>
  <c r="E689" i="7"/>
  <c r="J689" i="7"/>
  <c r="E700" i="7"/>
  <c r="E698" i="7"/>
  <c r="E699" i="7"/>
  <c r="D688" i="7"/>
  <c r="C688" i="7"/>
  <c r="F581" i="7"/>
  <c r="F613" i="7"/>
  <c r="F503" i="7"/>
  <c r="F521" i="7"/>
  <c r="D547" i="7"/>
  <c r="F546" i="7"/>
  <c r="F552" i="7"/>
  <c r="F558" i="7"/>
  <c r="F570" i="7"/>
  <c r="F575" i="7"/>
  <c r="F594" i="7"/>
  <c r="F601" i="7"/>
  <c r="F607" i="7"/>
  <c r="F619" i="7"/>
  <c r="D626" i="7"/>
  <c r="F625" i="7"/>
  <c r="D639" i="7"/>
  <c r="E581" i="7"/>
  <c r="E613" i="7"/>
  <c r="E503" i="7"/>
  <c r="E521" i="7"/>
  <c r="E546" i="7"/>
  <c r="E552" i="7"/>
  <c r="E558" i="7"/>
  <c r="E570" i="7"/>
  <c r="E575" i="7"/>
  <c r="E587" i="7"/>
  <c r="E594" i="7"/>
  <c r="E601" i="7"/>
  <c r="E607" i="7"/>
  <c r="E619" i="7"/>
  <c r="E625" i="7"/>
  <c r="D581" i="7"/>
  <c r="D613" i="7"/>
  <c r="D503" i="7"/>
  <c r="D521" i="7"/>
  <c r="D539" i="7"/>
  <c r="D546" i="7"/>
  <c r="D552" i="7"/>
  <c r="D558" i="7"/>
  <c r="D570" i="7"/>
  <c r="D575" i="7"/>
  <c r="D587" i="7"/>
  <c r="D594" i="7"/>
  <c r="D601" i="7"/>
  <c r="D607" i="7"/>
  <c r="D619" i="7"/>
  <c r="D625" i="7"/>
  <c r="C581" i="7"/>
  <c r="C613" i="7"/>
  <c r="C503" i="7"/>
  <c r="C521" i="7"/>
  <c r="C528" i="7"/>
  <c r="C539" i="7"/>
  <c r="C546" i="7"/>
  <c r="C552" i="7"/>
  <c r="C558" i="7"/>
  <c r="C570" i="7"/>
  <c r="C575" i="7"/>
  <c r="C587" i="7"/>
  <c r="C594" i="7"/>
  <c r="C601" i="7"/>
  <c r="C607" i="7"/>
  <c r="C619" i="7"/>
  <c r="C625" i="7"/>
  <c r="F477" i="7"/>
  <c r="F480" i="7"/>
  <c r="F486" i="7"/>
  <c r="F489" i="7"/>
  <c r="F495" i="7"/>
  <c r="F498" i="7"/>
  <c r="E477" i="7"/>
  <c r="E480" i="7"/>
  <c r="E487" i="7"/>
  <c r="E489" i="7"/>
  <c r="E496" i="7"/>
  <c r="E498" i="7"/>
  <c r="D480" i="7"/>
  <c r="D487" i="7"/>
  <c r="D489" i="7"/>
  <c r="D496" i="7"/>
  <c r="D498" i="7"/>
  <c r="C477" i="7"/>
  <c r="C480" i="7"/>
  <c r="C487" i="7"/>
  <c r="C489" i="7"/>
  <c r="C496" i="7"/>
  <c r="C498" i="7"/>
  <c r="F646" i="7"/>
  <c r="K646" i="7"/>
  <c r="F652" i="7"/>
  <c r="K652" i="7"/>
  <c r="F658" i="7"/>
  <c r="K658" i="7"/>
  <c r="F662" i="7"/>
  <c r="E646" i="7"/>
  <c r="J646" i="7"/>
  <c r="E652" i="7"/>
  <c r="J652" i="7"/>
  <c r="E658" i="7"/>
  <c r="J658" i="7"/>
  <c r="E662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C646" i="7"/>
  <c r="H646" i="7"/>
  <c r="C652" i="7"/>
  <c r="H652" i="7"/>
  <c r="C658" i="7"/>
  <c r="H658" i="7"/>
  <c r="C662" i="7"/>
  <c r="K437" i="7"/>
  <c r="K447" i="7"/>
  <c r="J437" i="7"/>
  <c r="J447" i="7"/>
  <c r="I437" i="7"/>
  <c r="I447" i="7"/>
  <c r="H437" i="7"/>
  <c r="H447" i="7"/>
  <c r="F300" i="7"/>
  <c r="F334" i="7"/>
  <c r="F365" i="7"/>
  <c r="E300" i="7"/>
  <c r="E334" i="7"/>
  <c r="E365" i="7"/>
  <c r="D300" i="7"/>
  <c r="D365" i="7"/>
  <c r="C300" i="7"/>
  <c r="C302" i="7"/>
  <c r="C303" i="7"/>
  <c r="C308" i="7"/>
  <c r="F693" i="7"/>
  <c r="F19" i="7"/>
  <c r="E693" i="7"/>
  <c r="E19" i="7"/>
  <c r="D693" i="7"/>
  <c r="D698" i="7"/>
  <c r="D19" i="7"/>
  <c r="C693" i="7"/>
  <c r="C698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878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9" i="7"/>
  <c r="E880" i="7"/>
  <c r="E881" i="7"/>
  <c r="E882" i="7"/>
  <c r="E883" i="7"/>
  <c r="E884" i="7"/>
  <c r="E885" i="7"/>
  <c r="E887" i="7"/>
  <c r="E17" i="7"/>
  <c r="D878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9" i="7"/>
  <c r="D880" i="7"/>
  <c r="D881" i="7"/>
  <c r="D882" i="7"/>
  <c r="D883" i="7"/>
  <c r="D884" i="7"/>
  <c r="D885" i="7"/>
  <c r="D887" i="7"/>
  <c r="D17" i="7"/>
  <c r="C878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9" i="7"/>
  <c r="C880" i="7"/>
  <c r="C881" i="7"/>
  <c r="C882" i="7"/>
  <c r="C883" i="7"/>
  <c r="C884" i="7"/>
  <c r="C885" i="7"/>
  <c r="C887" i="7"/>
  <c r="C17" i="7"/>
  <c r="F451" i="7"/>
  <c r="F450" i="7"/>
  <c r="F452" i="7"/>
  <c r="F453" i="7"/>
  <c r="F460" i="7"/>
  <c r="F459" i="7"/>
  <c r="F461" i="7"/>
  <c r="F462" i="7"/>
  <c r="F16" i="7"/>
  <c r="E886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E861" i="7"/>
  <c r="E862" i="7"/>
  <c r="E863" i="7"/>
  <c r="E864" i="7"/>
  <c r="E16" i="7"/>
  <c r="D886" i="7"/>
  <c r="BW454" i="3"/>
  <c r="D454" i="7"/>
  <c r="D451" i="7"/>
  <c r="D450" i="7"/>
  <c r="D452" i="7"/>
  <c r="D453" i="7"/>
  <c r="D455" i="7"/>
  <c r="D859" i="7"/>
  <c r="BW463" i="3"/>
  <c r="D463" i="7"/>
  <c r="D460" i="7"/>
  <c r="D459" i="7"/>
  <c r="D461" i="7"/>
  <c r="D462" i="7"/>
  <c r="D464" i="7"/>
  <c r="D860" i="7"/>
  <c r="D861" i="7"/>
  <c r="D862" i="7"/>
  <c r="D863" i="7"/>
  <c r="D864" i="7"/>
  <c r="D16" i="7"/>
  <c r="C886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C861" i="7"/>
  <c r="C862" i="7"/>
  <c r="C863" i="7"/>
  <c r="C864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H851" i="7"/>
  <c r="I851" i="7"/>
  <c r="J851" i="7"/>
  <c r="K851" i="7"/>
  <c r="H852" i="7"/>
  <c r="I852" i="7"/>
  <c r="J852" i="7"/>
  <c r="K852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A205" i="7"/>
  <c r="A926" i="7"/>
  <c r="A215" i="7"/>
  <c r="A929" i="7"/>
  <c r="A932" i="7"/>
  <c r="A937" i="7"/>
  <c r="A942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M1062" i="7"/>
  <c r="M1059" i="7"/>
  <c r="M1060" i="7"/>
  <c r="M1056" i="7"/>
  <c r="M1057" i="7"/>
  <c r="M1058" i="7"/>
  <c r="R1095" i="7"/>
  <c r="M1095" i="7"/>
  <c r="H50" i="8"/>
  <c r="H51" i="8"/>
  <c r="H47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41" i="3"/>
  <c r="BX932" i="3"/>
  <c r="BX21" i="3"/>
  <c r="BY347" i="3"/>
  <c r="BY945" i="3"/>
  <c r="BY241" i="3"/>
  <c r="BY932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85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C1064" i="7"/>
  <c r="E1064" i="7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H1068" i="7"/>
  <c r="C1068" i="7"/>
  <c r="D1020" i="7"/>
  <c r="J1068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E1066" i="7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E1067" i="7"/>
  <c r="M1175" i="7"/>
  <c r="E1020" i="7"/>
  <c r="F1020" i="7"/>
  <c r="E1040" i="7"/>
  <c r="K1066" i="7"/>
  <c r="H1033" i="7"/>
  <c r="J1034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C1034" i="7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E1034" i="7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H1067" i="7"/>
  <c r="AS900" i="3"/>
  <c r="K900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E1068" i="7"/>
  <c r="H1031" i="7"/>
  <c r="I1067" i="7"/>
  <c r="F900" i="7"/>
  <c r="J1103" i="7"/>
  <c r="K1067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11" i="7"/>
  <c r="K1065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D1067" i="7"/>
  <c r="O10" i="7"/>
  <c r="M900" i="7"/>
  <c r="D1103" i="7"/>
  <c r="F1067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<sst xmlns="http://schemas.openxmlformats.org/spreadsheetml/2006/main" count="4598" uniqueCount="950">
  <si>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</si>
  <si>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</si>
  <si>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</si>
  <si>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</si>
  <si>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</si>
  <si>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</si>
  <si>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</si>
  <si>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</si>
  <si>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</si>
  <si>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</si>
  <si>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</si>
  <si>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</si>
  <si>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</si>
  <si>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</si>
  <si>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</si>
  <si>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</si>
  <si>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</si>
  <si>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</si>
  <si>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</si>
  <si>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</si>
  <si>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</si>
  <si>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</si>
  <si>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</si>
  <si>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</si>
  <si>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</si>
  <si>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</si>
  <si>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</si>
  <si>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</si>
  <si>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</si>
  <si>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</si>
  <si>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</si>
  <si>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</si>
  <si>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</si>
  <si>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</si>
  <si>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</si>
  <si>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</si>
  <si>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</si>
  <si>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</si>
  <si>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</si>
  <si>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</si>
  <si>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</si>
  <si>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</si>
  <si>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</si>
  <si>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</si>
  <si>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</si>
  <si>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</si>
  <si>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</si>
  <si>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</si>
  <si>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</si>
  <si>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</si>
  <si>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</si>
  <si>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</si>
  <si>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</si>
  <si>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</si>
  <si>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</si>
  <si>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</si>
  <si>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</si>
  <si>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</si>
  <si>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</si>
  <si>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</si>
  <si>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</si>
  <si>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</si>
  <si>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</si>
  <si>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</si>
  <si>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</si>
  <si>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</si>
  <si>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</si>
  <si>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</si>
  <si>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</si>
  <si>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</si>
  <si>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</si>
  <si>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</si>
  <si>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</si>
  <si>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</si>
  <si>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</si>
  <si>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</si>
  <si>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</si>
  <si>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</si>
  <si>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</si>
  <si>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</si>
  <si>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</si>
  <si>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</si>
  <si>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</si>
  <si>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</si>
  <si>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</si>
  <si>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</si>
  <si>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</si>
  <si>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</si>
  <si>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</si>
  <si>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</si>
  <si>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</si>
  <si>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</si>
  <si>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</si>
  <si>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</si>
  <si>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</si>
  <si>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</si>
  <si>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</si>
  <si>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</si>
  <si>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</si>
  <si>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</si>
  <si>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</si>
  <si>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</si>
  <si>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</si>
  <si>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</si>
  <si>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</si>
  <si>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</si>
  <si>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</si>
  <si>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</si>
  <si>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</si>
  <si>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</si>
  <si>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</si>
  <si>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</si>
  <si>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</si>
  <si>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</si>
  <si>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</si>
  <si>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</si>
  <si>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</si>
  <si>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</si>
  <si>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</si>
  <si>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</si>
  <si>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</si>
  <si>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</si>
  <si>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</si>
  <si>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</si>
  <si>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</si>
  <si>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</si>
  <si>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</si>
  <si>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</si>
  <si>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</si>
  <si>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</si>
  <si>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</si>
  <si>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</si>
  <si>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</si>
  <si>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</si>
  <si>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</si>
  <si>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</si>
  <si>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</si>
  <si>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</si>
  <si>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</si>
  <si>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</si>
  <si>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</si>
  <si>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</si>
  <si>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</si>
  <si>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</si>
  <si>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</si>
  <si>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</si>
  <si>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</si>
  <si>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</si>
  <si>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</si>
  <si>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</si>
  <si>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</si>
  <si>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</si>
  <si>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</si>
  <si>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</si>
  <si>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</si>
  <si>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</si>
  <si>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</si>
  <si>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</si>
  <si>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</si>
  <si>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</si>
  <si>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</si>
  <si>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</si>
  <si>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</si>
  <si>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</si>
  <si>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</si>
  <si>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</si>
  <si>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</si>
  <si>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</si>
  <si>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</si>
  <si>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</si>
  <si>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</si>
  <si>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</si>
  <si>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</si>
  <si>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</si>
  <si>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</si>
  <si>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</si>
  <si>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</si>
  <si>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</si>
  <si>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</si>
  <si>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</si>
  <si>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</si>
  <si>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</si>
  <si>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</si>
  <si>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</si>
  <si>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</si>
  <si>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</si>
  <si>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</si>
  <si>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</si>
  <si>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</si>
  <si>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</si>
  <si>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</si>
  <si>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</si>
  <si>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</si>
  <si>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</si>
  <si>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</si>
  <si>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</si>
  <si>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</si>
  <si>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</si>
  <si>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</si>
  <si>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</si>
  <si>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</si>
  <si>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</si>
  <si>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</si>
  <si>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</si>
  <si>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</si>
  <si>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</si>
  <si>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</si>
  <si>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</si>
  <si>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</si>
  <si>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</si>
  <si>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</si>
  <si>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</si>
  <si>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</si>
  <si>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</si>
  <si>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</si>
  <si>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</si>
  <si>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</si>
  <si>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</si>
  <si>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</si>
  <si>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</si>
  <si>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</si>
  <si>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</si>
  <si>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</si>
  <si>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</si>
  <si>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</si>
  <si>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</si>
  <si>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</si>
  <si>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</si>
  <si>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</si>
  <si>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</si>
  <si>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</si>
  <si>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</si>
  <si>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</si>
  <si>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</si>
  <si>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</si>
  <si>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</si>
  <si>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</si>
  <si>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</si>
  <si>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</si>
  <si>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</si>
  <si>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</si>
  <si>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</si>
  <si>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</si>
  <si>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</si>
  <si>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</si>
  <si>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</si>
  <si>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</si>
  <si>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</si>
  <si>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</si>
  <si>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</si>
  <si>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</si>
  <si>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</si>
  <si>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</si>
  <si>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</si>
  <si>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</si>
  <si>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</si>
  <si>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</si>
  <si>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</si>
  <si>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</si>
  <si>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</si>
  <si>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</si>
  <si>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</si>
  <si>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</si>
  <si>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</si>
  <si>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</si>
  <si>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</si>
  <si>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</si>
  <si>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</si>
  <si>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</si>
  <si>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</si>
  <si>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</si>
  <si>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</si>
  <si>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</si>
  <si>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</si>
  <si>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</si>
  <si>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</si>
  <si>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</si>
  <si>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</si>
  <si>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</si>
  <si>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</si>
  <si>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</si>
  <si>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</si>
  <si>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</si>
  <si>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</si>
  <si>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</si>
  <si>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</si>
  <si>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</si>
  <si>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</si>
  <si>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</si>
  <si>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</si>
  <si>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</si>
  <si>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</si>
  <si>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</si>
  <si>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</si>
  <si>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</si>
  <si>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</si>
  <si>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</si>
  <si>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</si>
  <si>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</si>
  <si>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</si>
  <si>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</si>
  <si>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</si>
  <si>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</si>
  <si>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</si>
  <si>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</si>
  <si>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</si>
  <si>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</si>
  <si>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</si>
  <si>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</si>
  <si>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</si>
  <si>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</si>
  <si>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</si>
  <si>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</si>
  <si>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</si>
  <si>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</si>
  <si>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</si>
  <si>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</si>
  <si>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</si>
  <si>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</si>
  <si>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</si>
  <si>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</si>
  <si>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</si>
  <si>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</si>
  <si>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</si>
  <si>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</si>
  <si>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</si>
  <si>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</si>
  <si>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</si>
  <si>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</si>
  <si>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</si>
  <si>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</si>
  <si>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</si>
  <si>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</si>
  <si>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</si>
  <si>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</si>
  <si>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</si>
  <si>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</si>
  <si>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</si>
  <si>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</si>
  <si>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</si>
  <si>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</si>
  <si>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</si>
  <si>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</si>
  <si>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</si>
  <si>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</si>
  <si>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</si>
  <si>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</si>
  <si>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</si>
  <si>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</si>
  <si>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</si>
  <si>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</si>
  <si>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</si>
  <si>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</si>
  <si>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</si>
  <si>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</si>
  <si>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</si>
  <si>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</si>
  <si>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</si>
  <si>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</si>
  <si>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</si>
  <si>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</si>
  <si>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</si>
  <si>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</si>
  <si>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</si>
  <si>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</si>
  <si>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</si>
  <si>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</si>
  <si>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</si>
  <si>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</si>
  <si>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</si>
  <si>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</si>
  <si>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</si>
  <si>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</si>
  <si>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</si>
  <si>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</si>
  <si>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</si>
  <si>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</si>
  <si>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</si>
  <si>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</si>
  <si>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</si>
  <si>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</si>
  <si>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</si>
  <si>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</si>
  <si>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</si>
  <si>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</si>
  <si>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</si>
  <si>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</si>
  <si>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</si>
  <si>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</si>
  <si>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</si>
  <si>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</si>
  <si>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</si>
  <si>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</si>
  <si>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</si>
  <si>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</si>
  <si>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</si>
  <si>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</si>
  <si>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</si>
  <si>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</si>
  <si>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</si>
  <si>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</si>
  <si>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</si>
  <si>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</si>
  <si>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</si>
  <si>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</si>
  <si>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</si>
  <si>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</si>
  <si>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</si>
  <si>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</si>
  <si>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</si>
  <si>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</si>
  <si>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</si>
  <si>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</si>
  <si>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</si>
  <si>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</si>
  <si>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</si>
  <si>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</si>
  <si>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</si>
  <si>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</si>
  <si>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</si>
  <si>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</si>
  <si>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</si>
  <si>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</si>
  <si>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</si>
  <si>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</si>
  <si>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</si>
  <si>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</si>
  <si>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</si>
  <si>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</si>
  <si>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</si>
  <si>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</si>
  <si>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</si>
  <si>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</si>
  <si>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</si>
  <si>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</si>
  <si>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</si>
  <si>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</si>
  <si>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</si>
  <si>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</si>
  <si>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</si>
  <si>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</si>
  <si>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</si>
  <si>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</si>
  <si>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</si>
  <si>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</si>
  <si>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</si>
  <si>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</si>
  <si>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</si>
  <si>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</si>
  <si>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</si>
  <si>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</si>
  <si>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</si>
  <si>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</si>
  <si>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</si>
  <si>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</si>
  <si>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</si>
  <si>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</si>
  <si>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</si>
  <si>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</si>
  <si>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</si>
  <si>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</si>
  <si>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</si>
  <si>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</si>
  <si>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</si>
  <si>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</si>
  <si>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</si>
  <si>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</si>
  <si>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</si>
  <si>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</si>
  <si>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</si>
  <si>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</si>
  <si>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</si>
  <si>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</si>
  <si>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</si>
  <si>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</si>
  <si>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</si>
  <si>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</si>
  <si>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</si>
  <si>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</si>
  <si>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</si>
  <si>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</si>
  <si>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</si>
  <si>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</si>
  <si>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</si>
  <si>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</si>
  <si>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</si>
  <si>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</si>
  <si>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</si>
  <si>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</si>
  <si>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</si>
  <si>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</si>
  <si>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</si>
  <si>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</si>
  <si>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</si>
  <si>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</si>
  <si>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</si>
  <si>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</si>
  <si>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</si>
  <si>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</si>
  <si>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</si>
  <si>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</si>
  <si>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</si>
  <si>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</si>
  <si>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</si>
  <si>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</si>
  <si>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</si>
  <si>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</si>
  <si>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</si>
  <si>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</si>
  <si>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</si>
  <si>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</si>
  <si>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</si>
  <si>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</si>
  <si>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</si>
  <si>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</si>
  <si>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</si>
  <si>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</si>
  <si>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</si>
  <si>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</si>
  <si>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</si>
  <si>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</si>
  <si>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</si>
  <si>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</si>
  <si>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</si>
  <si>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</si>
  <si>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</si>
  <si>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</si>
  <si>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</si>
  <si>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</si>
  <si>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</si>
  <si>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</si>
  <si>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</si>
  <si>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</si>
  <si>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</si>
  <si>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</si>
  <si>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</si>
  <si>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</si>
  <si>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</si>
  <si>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</si>
  <si>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</si>
  <si>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</si>
  <si>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</si>
  <si>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</si>
  <si>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</si>
  <si>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</si>
  <si>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</si>
  <si>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</si>
  <si>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</si>
  <si>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</si>
  <si>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</si>
  <si>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</si>
  <si>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</si>
  <si>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</si>
  <si>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</si>
  <si>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</si>
  <si>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</si>
  <si>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</si>
  <si>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</si>
  <si>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</si>
  <si>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</si>
  <si>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</si>
  <si>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</si>
  <si>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</si>
  <si>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</si>
  <si>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</si>
  <si>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</si>
  <si>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</si>
  <si>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</si>
  <si>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</si>
  <si>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</si>
  <si>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</si>
  <si>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</si>
  <si>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</si>
  <si>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</si>
  <si>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</si>
  <si>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</si>
  <si>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</si>
  <si>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</si>
  <si>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</si>
  <si>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</si>
  <si>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</si>
  <si>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</si>
  <si>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</si>
  <si>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</si>
  <si>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</si>
  <si>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</si>
  <si>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</si>
  <si>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</si>
  <si>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</si>
  <si>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</si>
  <si>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</si>
  <si>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</si>
  <si>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</si>
  <si>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</si>
  <si>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</si>
  <si>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</si>
  <si>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</si>
  <si>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</si>
  <si>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</si>
  <si>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</si>
  <si>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</si>
  <si>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</si>
  <si>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</si>
  <si>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</si>
  <si>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</si>
  <si>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</si>
  <si>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</si>
  <si>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</si>
  <si>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</si>
  <si>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</si>
  <si>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</si>
  <si>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</si>
  <si>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</si>
  <si>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</si>
  <si>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</si>
  <si>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</si>
  <si>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</si>
  <si>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</si>
  <si>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</si>
  <si>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</si>
  <si>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</si>
  <si>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</si>
  <si>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</si>
  <si>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</si>
  <si>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</si>
  <si>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</si>
  <si>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</si>
  <si>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</si>
  <si>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</si>
  <si>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</si>
  <si>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</si>
  <si>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</si>
  <si>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</si>
  <si>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</si>
  <si>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</si>
  <si>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</si>
  <si>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</si>
  <si>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</si>
  <si>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</si>
  <si>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</si>
  <si>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</si>
  <si>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</si>
  <si>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</si>
  <si>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</si>
  <si>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</si>
  <si>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</si>
  <si>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</si>
  <si>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</si>
  <si>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</si>
  <si>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</si>
  <si>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</si>
  <si>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</si>
  <si>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</si>
  <si>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</si>
  <si>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</si>
  <si>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</si>
  <si>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</si>
  <si>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</si>
  <si>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</si>
  <si>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</si>
  <si>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</si>
  <si>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</si>
  <si>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</si>
  <si>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</si>
  <si>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</si>
  <si>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</si>
  <si>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</si>
  <si>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</si>
  <si>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</si>
  <si>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</si>
  <si>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</si>
  <si>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</si>
  <si>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</si>
  <si>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</si>
  <si>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</si>
  <si>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</si>
  <si>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</si>
  <si>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</si>
  <si>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</si>
  <si>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</si>
  <si>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</si>
  <si>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</si>
  <si>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</si>
  <si>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</si>
  <si>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</si>
  <si>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</si>
  <si>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</si>
  <si>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</si>
  <si>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</si>
  <si>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</si>
  <si>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</si>
  <si>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</si>
  <si>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</si>
  <si>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</si>
  <si>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</si>
  <si>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</si>
  <si>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</si>
  <si>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</si>
  <si>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</si>
  <si>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</si>
  <si>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</si>
  <si>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</si>
  <si>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</si>
  <si>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</si>
  <si>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</si>
  <si>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</si>
  <si>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</si>
  <si>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</si>
  <si>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</si>
  <si>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</si>
  <si>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</si>
  <si>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</si>
  <si>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</si>
  <si>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</si>
  <si>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</si>
  <si>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</si>
  <si>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</si>
  <si>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</si>
  <si>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</si>
  <si>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</si>
  <si>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</si>
  <si>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</si>
  <si>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</si>
  <si>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</si>
  <si>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</si>
  <si>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</si>
  <si>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</si>
  <si>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</si>
  <si>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</si>
  <si>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</si>
  <si>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</si>
  <si>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</si>
  <si>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</si>
  <si>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</si>
  <si>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</si>
  <si>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</si>
  <si>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</si>
  <si>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</si>
  <si>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</si>
  <si>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</si>
  <si>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</si>
  <si>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</si>
  <si>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</si>
  <si>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</si>
  <si>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</si>
  <si>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</si>
  <si>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</si>
  <si>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</si>
  <si>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</si>
  <si>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</si>
  <si>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</si>
  <si>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</si>
  <si>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</si>
  <si>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</si>
  <si>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</si>
  <si>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</si>
  <si>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</si>
  <si>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</si>
  <si>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</si>
  <si>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</si>
  <si>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</si>
  <si>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</si>
  <si>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</si>
  <si>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</si>
  <si>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</si>
  <si>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</si>
  <si>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</si>
  <si>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</si>
  <si>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</si>
  <si>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</si>
  <si>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</si>
  <si>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</si>
  <si>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</si>
  <si>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</si>
  <si>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</si>
  <si>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</si>
  <si>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</si>
  <si>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</si>
  <si>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</si>
  <si>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</si>
  <si>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</si>
  <si>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</si>
  <si>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</si>
  <si>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</si>
  <si>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</si>
  <si>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</si>
  <si>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</si>
  <si>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</si>
  <si>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</si>
  <si>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</si>
  <si>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</si>
  <si>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</si>
  <si>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</si>
  <si>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</si>
  <si>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</si>
  <si>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</si>
  <si>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</si>
  <si>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</si>
  <si>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</si>
  <si>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</si>
  <si>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</si>
  <si>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</si>
  <si>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</si>
  <si>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</si>
  <si>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</si>
  <si>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</si>
  <si>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</si>
  <si>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</si>
  <si>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</si>
  <si>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</si>
  <si>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</si>
  <si>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</si>
  <si>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</si>
  <si>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</si>
  <si>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</si>
  <si>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</si>
  <si>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</si>
  <si>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</si>
  <si>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</si>
  <si>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</si>
  <si>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</si>
  <si>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</si>
  <si>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</si>
  <si>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</si>
  <si>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</si>
  <si>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</si>
  <si>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</si>
  <si>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</si>
  <si>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</si>
  <si>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</si>
  <si>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</si>
  <si>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</si>
  <si>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</si>
  <si>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</si>
  <si>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</si>
  <si>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</si>
  <si>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</si>
  <si>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</si>
  <si>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</si>
  <si>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</si>
  <si>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</si>
  <si>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</si>
  <si>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</si>
  <si>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</si>
  <si>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</si>
  <si>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</si>
  <si>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</si>
  <si>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</si>
  <si>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</si>
  <si>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</si>
  <si>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</si>
  <si>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</si>
  <si>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</si>
  <si>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</si>
  <si>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</si>
  <si>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</si>
  <si>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</si>
  <si>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</si>
  <si>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</si>
  <si>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</si>
  <si>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</si>
  <si>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</si>
  <si>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</si>
  <si>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</si>
  <si>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</si>
  <si>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</si>
  <si>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</si>
  <si>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</si>
  <si>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</si>
  <si>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</si>
  <si>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</si>
  <si>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</si>
  <si>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</si>
  <si>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</si>
  <si>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</si>
  <si>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</si>
  <si>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</si>
  <si>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</si>
  <si>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</si>
  <si>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</si>
  <si>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</si>
  <si>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</si>
  <si>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</si>
  <si>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</si>
  <si>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</si>
  <si>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</si>
  <si>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</si>
  <si>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</si>
  <si>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</si>
  <si>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</si>
  <si>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</si>
  <si>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</si>
  <si>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</si>
  <si>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</si>
  <si>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</si>
  <si>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</si>
  <si>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</si>
  <si>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</si>
  <si>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</si>
  <si>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</si>
  <si>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</si>
  <si>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</si>
  <si>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</si>
  <si>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</si>
  <si>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</si>
  <si>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</si>
  <si>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</si>
  <si>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</si>
  <si>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</si>
  <si>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</si>
  <si>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</si>
  <si>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</si>
  <si>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</si>
  <si>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</si>
  <si>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</si>
  <si>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</si>
  <si>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</si>
  <si>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</si>
  <si>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</si>
  <si>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</si>
  <si>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</si>
  <si>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</si>
  <si>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</si>
  <si>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</si>
  <si>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</si>
  <si>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</si>
  <si>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</si>
  <si>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</si>
  <si>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</si>
  <si>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</si>
  <si>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</si>
  <si>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</si>
  <si>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</si>
  <si>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</si>
  <si>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</si>
  <si>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</si>
  <si>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</si>
  <si>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</si>
  <si>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</si>
  <si>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</si>
  <si>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</si>
  <si>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</si>
  <si>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</si>
  <si>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</si>
  <si>
    <r>
      <t xml:space="preserve">Sweet poatato: </t>
    </r>
    <r>
      <rPr>
        <sz val="11"/>
        <rFont val="Arial"/>
        <family val="2"/>
      </rPr>
      <t>no. local meas</t>
    </r>
  </si>
  <si>
    <r>
      <t xml:space="preserve">Pumpkin: </t>
    </r>
    <r>
      <rPr>
        <sz val="11"/>
        <rFont val="Arial"/>
        <family val="2"/>
      </rPr>
      <t>no. local meas</t>
    </r>
  </si>
  <si>
    <t>fpl</t>
  </si>
  <si>
    <t>lbpl</t>
  </si>
  <si>
    <t>des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</si>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</sst>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4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0" fontId="8" fillId="37" borderId="88" xfId="0" applyFont="1" applyFill="1" applyBorder="1" applyAlignment="1">
      <alignment vertical="center"/>
    </xf>
    <xf numFmtId="0" fontId="8" fillId="37" borderId="88" xfId="0" applyFont="1" applyFill="1" applyBorder="1" applyProtection="1"/>
    <xf numFmtId="1" fontId="8" fillId="14" borderId="37" xfId="0" applyNumberFormat="1" applyFont="1" applyFill="1" applyBorder="1" applyAlignment="1" applyProtection="1">
      <alignment horizontal="right"/>
    </xf>
    <xf numFmtId="1" fontId="8" fillId="6" borderId="49" xfId="13" applyNumberFormat="1" applyFont="1" applyFill="1" applyBorder="1" applyAlignment="1" applyProtection="1">
      <alignment horizontal="right"/>
    </xf>
    <xf numFmtId="1" fontId="2" fillId="0" borderId="0" xfId="0" applyNumberFormat="1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</cellXfs>
  <cellStyles count="441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53319752"/>
        <c:axId val="-2053316456"/>
      </c:lineChart>
      <c:catAx>
        <c:axId val="-2053319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316456"/>
        <c:crosses val="autoZero"/>
        <c:auto val="1"/>
        <c:lblAlgn val="ctr"/>
        <c:lblOffset val="100"/>
        <c:noMultiLvlLbl val="1"/>
      </c:catAx>
      <c:valAx>
        <c:axId val="-20533164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3197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53307640"/>
        <c:axId val="-2053304360"/>
      </c:lineChart>
      <c:catAx>
        <c:axId val="-20533076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304360"/>
        <c:crosses val="autoZero"/>
        <c:auto val="1"/>
        <c:lblAlgn val="ctr"/>
        <c:lblOffset val="100"/>
        <c:noMultiLvlLbl val="1"/>
      </c:catAx>
      <c:valAx>
        <c:axId val="-20533043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3076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4531080"/>
        <c:axId val="-2074527784"/>
      </c:barChart>
      <c:catAx>
        <c:axId val="-20745310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4527784"/>
        <c:crosses val="autoZero"/>
        <c:auto val="1"/>
        <c:lblAlgn val="ctr"/>
        <c:lblOffset val="100"/>
        <c:noMultiLvlLbl val="1"/>
      </c:catAx>
      <c:valAx>
        <c:axId val="-20745277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53108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712280"/>
        <c:axId val="-2074708904"/>
      </c:barChart>
      <c:catAx>
        <c:axId val="-207471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708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708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712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593128"/>
        <c:axId val="-2054028840"/>
      </c:barChart>
      <c:catAx>
        <c:axId val="-207459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028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028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59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294536"/>
        <c:axId val="-2051388568"/>
      </c:barChart>
      <c:catAx>
        <c:axId val="-2072294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388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388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294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832120"/>
        <c:axId val="-2074828776"/>
      </c:barChart>
      <c:catAx>
        <c:axId val="-207483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28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828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3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568056"/>
        <c:axId val="-2072366120"/>
      </c:barChart>
      <c:catAx>
        <c:axId val="-2053568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6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36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568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06" hidden="1" customWidth="1"/>
    <col min="27" max="36" width="9.1640625" style="14" hidden="1" customWidth="1"/>
    <col min="37" max="51" width="9.1640625" style="1406" hidden="1" customWidth="1"/>
    <col min="52" max="53" width="9.1640625" style="14" hidden="1" customWidth="1"/>
    <col min="54" max="67" width="9.1640625" style="1406" hidden="1" customWidth="1"/>
    <col min="68" max="70" width="9.1640625" style="14" hidden="1" customWidth="1"/>
    <col min="71" max="80" width="9" style="1406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65" customWidth="1"/>
    <col min="96" max="97" width="5.6640625" customWidth="1"/>
    <col min="98" max="98" width="5.6640625" style="1565" customWidth="1"/>
    <col min="99" max="104" width="5.6640625" customWidth="1"/>
    <col min="105" max="105" width="5.5" style="1565" customWidth="1"/>
    <col min="106" max="107" width="5.5" customWidth="1"/>
    <col min="108" max="108" width="5.5" style="1565" customWidth="1"/>
    <col min="109" max="113" width="5.5" customWidth="1"/>
    <col min="114" max="114" width="5.5" style="156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892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78"/>
      <c r="CL3" s="1279" t="s">
        <v>39</v>
      </c>
      <c r="CM3" s="1280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0" t="s">
        <v>886</v>
      </c>
      <c r="D4" s="1400" t="s">
        <v>888</v>
      </c>
      <c r="E4" s="1400" t="s">
        <v>888</v>
      </c>
      <c r="F4" s="1400" t="s">
        <v>890</v>
      </c>
      <c r="G4" s="1400" t="s">
        <v>905</v>
      </c>
      <c r="H4" s="1400" t="s">
        <v>897</v>
      </c>
      <c r="I4" s="1400" t="s">
        <v>900</v>
      </c>
      <c r="J4" s="1400" t="s">
        <v>902</v>
      </c>
      <c r="K4" s="1400" t="s">
        <v>902</v>
      </c>
      <c r="L4" s="1400" t="s">
        <v>908</v>
      </c>
      <c r="M4" s="1400"/>
      <c r="N4" s="1400"/>
      <c r="O4" s="1400"/>
      <c r="P4" s="1400"/>
      <c r="Q4" s="1400"/>
      <c r="R4" s="1400"/>
      <c r="S4" s="1400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1" t="s">
        <v>42</v>
      </c>
      <c r="CL4" s="1282" t="s">
        <v>43</v>
      </c>
      <c r="CM4" s="1283" t="s">
        <v>44</v>
      </c>
      <c r="CN4" s="66"/>
      <c r="CO4" s="66" t="s">
        <v>45</v>
      </c>
      <c r="CP4" s="66" t="s">
        <v>46</v>
      </c>
      <c r="CQ4" s="67" t="s">
        <v>921</v>
      </c>
      <c r="CR4" s="67"/>
      <c r="CS4" s="67"/>
      <c r="CT4" s="67"/>
      <c r="CU4" s="67"/>
      <c r="CV4" s="67"/>
      <c r="CW4" s="67"/>
      <c r="CX4" s="67"/>
      <c r="CY4" s="67"/>
      <c r="CZ4" s="67" t="s">
        <v>922</v>
      </c>
      <c r="DA4" s="67" t="s">
        <v>921</v>
      </c>
      <c r="DB4" s="67"/>
      <c r="DC4" s="67"/>
      <c r="DD4" s="67"/>
      <c r="DE4" s="67"/>
      <c r="DF4" s="67"/>
      <c r="DG4" s="67"/>
      <c r="DH4" s="67"/>
      <c r="DI4" s="67"/>
      <c r="DJ4" s="67" t="s">
        <v>922</v>
      </c>
      <c r="DK4" s="68" t="s">
        <v>49</v>
      </c>
      <c r="DL4" s="68"/>
      <c r="DM4" s="1596" t="s">
        <v>50</v>
      </c>
      <c r="DN4" s="1596"/>
      <c r="DO4" s="1596"/>
      <c r="DP4" s="1596"/>
      <c r="DQ4" s="1596"/>
      <c r="DR4" s="1596"/>
      <c r="DS4" s="1596"/>
      <c r="DT4" s="69"/>
    </row>
    <row r="5" spans="1:129" s="70" customFormat="1" ht="24.5" customHeight="1">
      <c r="A5" s="71" t="s">
        <v>51</v>
      </c>
      <c r="B5" s="72"/>
      <c r="C5" s="73" t="s">
        <v>887</v>
      </c>
      <c r="D5" s="73" t="s">
        <v>889</v>
      </c>
      <c r="E5" s="73" t="s">
        <v>899</v>
      </c>
      <c r="F5" s="73" t="s">
        <v>891</v>
      </c>
      <c r="G5" s="73" t="s">
        <v>893</v>
      </c>
      <c r="H5" s="73" t="s">
        <v>898</v>
      </c>
      <c r="I5" s="73" t="s">
        <v>901</v>
      </c>
      <c r="J5" s="73" t="s">
        <v>903</v>
      </c>
      <c r="K5" s="73" t="s">
        <v>904</v>
      </c>
      <c r="L5" s="73" t="s">
        <v>906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84"/>
      <c r="CL5" s="1285"/>
      <c r="CM5" s="1286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87"/>
      <c r="CL6" s="1288"/>
      <c r="CM6" s="1289"/>
      <c r="CN6" s="92"/>
      <c r="CO6" s="92"/>
      <c r="CP6" s="93"/>
      <c r="CQ6" s="1564"/>
      <c r="CR6" s="68"/>
      <c r="CS6" s="68"/>
      <c r="CT6" s="1564"/>
      <c r="CU6" s="68"/>
      <c r="CV6" s="68"/>
      <c r="CW6" s="68"/>
      <c r="CX6" s="68"/>
      <c r="CY6" s="68"/>
      <c r="CZ6" s="68"/>
      <c r="DA6" s="1564"/>
      <c r="DB6" s="68"/>
      <c r="DC6" s="68"/>
      <c r="DD6" s="1564"/>
      <c r="DE6" s="68"/>
      <c r="DF6" s="68"/>
      <c r="DG6" s="68"/>
      <c r="DH6" s="68"/>
      <c r="DI6" s="68"/>
      <c r="DJ6" s="1564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895</v>
      </c>
      <c r="D7" s="102" t="s">
        <v>896</v>
      </c>
      <c r="E7" s="102" t="s">
        <v>896</v>
      </c>
      <c r="F7" s="102" t="s">
        <v>896</v>
      </c>
      <c r="G7" s="102" t="s">
        <v>894</v>
      </c>
      <c r="H7" s="102" t="s">
        <v>896</v>
      </c>
      <c r="I7" s="102" t="s">
        <v>896</v>
      </c>
      <c r="J7" s="102" t="s">
        <v>896</v>
      </c>
      <c r="K7" s="102" t="s">
        <v>896</v>
      </c>
      <c r="L7" s="102" t="s">
        <v>896</v>
      </c>
      <c r="M7" s="102"/>
      <c r="N7" s="103"/>
      <c r="O7" s="103"/>
      <c r="P7" s="102"/>
      <c r="Q7" s="102"/>
      <c r="R7" s="102"/>
      <c r="S7" s="104"/>
      <c r="T7" s="105" t="s">
        <v>916</v>
      </c>
      <c r="U7" s="105" t="s">
        <v>916</v>
      </c>
      <c r="V7" s="105" t="s">
        <v>916</v>
      </c>
      <c r="W7" s="105" t="s">
        <v>916</v>
      </c>
      <c r="X7" s="105" t="s">
        <v>916</v>
      </c>
      <c r="Y7" s="105" t="s">
        <v>916</v>
      </c>
      <c r="Z7" s="105" t="s">
        <v>916</v>
      </c>
      <c r="AA7" s="105" t="s">
        <v>916</v>
      </c>
      <c r="AB7" s="105" t="s">
        <v>916</v>
      </c>
      <c r="AC7" s="105" t="s">
        <v>916</v>
      </c>
      <c r="AD7" s="106"/>
      <c r="AE7" s="106"/>
      <c r="AF7" s="106"/>
      <c r="AG7" s="106"/>
      <c r="AH7" s="103"/>
      <c r="AI7" s="103"/>
      <c r="AJ7" s="107"/>
      <c r="AK7" s="105" t="s">
        <v>919</v>
      </c>
      <c r="AL7" s="105" t="s">
        <v>919</v>
      </c>
      <c r="AM7" s="105" t="s">
        <v>919</v>
      </c>
      <c r="AN7" s="105" t="s">
        <v>919</v>
      </c>
      <c r="AO7" s="105" t="s">
        <v>919</v>
      </c>
      <c r="AP7" s="105" t="s">
        <v>919</v>
      </c>
      <c r="AQ7" s="105" t="s">
        <v>919</v>
      </c>
      <c r="AR7" s="105" t="s">
        <v>919</v>
      </c>
      <c r="AS7" s="105" t="s">
        <v>919</v>
      </c>
      <c r="AT7" s="105" t="s">
        <v>919</v>
      </c>
      <c r="AU7" s="106"/>
      <c r="AV7" s="106"/>
      <c r="AW7" s="106"/>
      <c r="AX7" s="106"/>
      <c r="AY7" s="106"/>
      <c r="AZ7" s="106"/>
      <c r="BA7" s="108"/>
      <c r="BB7" s="109" t="s">
        <v>916</v>
      </c>
      <c r="BC7" s="109" t="s">
        <v>917</v>
      </c>
      <c r="BD7" s="109" t="s">
        <v>917</v>
      </c>
      <c r="BE7" s="109" t="s">
        <v>917</v>
      </c>
      <c r="BF7" s="109" t="s">
        <v>917</v>
      </c>
      <c r="BG7" s="109" t="s">
        <v>917</v>
      </c>
      <c r="BH7" s="109" t="s">
        <v>917</v>
      </c>
      <c r="BI7" s="109" t="s">
        <v>917</v>
      </c>
      <c r="BJ7" s="109" t="s">
        <v>917</v>
      </c>
      <c r="BK7" s="109" t="s">
        <v>917</v>
      </c>
      <c r="BL7" s="109"/>
      <c r="BM7" s="109"/>
      <c r="BN7" s="109"/>
      <c r="BO7" s="109"/>
      <c r="BP7" s="109"/>
      <c r="BQ7" s="109"/>
      <c r="BR7" s="109"/>
      <c r="BS7" s="109" t="s">
        <v>909</v>
      </c>
      <c r="BT7" s="110" t="s">
        <v>909</v>
      </c>
      <c r="BU7" s="110" t="s">
        <v>909</v>
      </c>
      <c r="BV7" s="110" t="s">
        <v>909</v>
      </c>
      <c r="BW7" s="110" t="s">
        <v>909</v>
      </c>
      <c r="BX7" s="110" t="s">
        <v>909</v>
      </c>
      <c r="BY7" s="110" t="s">
        <v>909</v>
      </c>
      <c r="BZ7" s="110" t="s">
        <v>909</v>
      </c>
      <c r="CA7" s="110" t="s">
        <v>909</v>
      </c>
      <c r="CB7" s="110" t="s">
        <v>909</v>
      </c>
      <c r="CC7" s="110"/>
      <c r="CD7" s="110"/>
      <c r="CE7" s="112"/>
      <c r="CF7" s="110"/>
      <c r="CG7" s="110"/>
      <c r="CH7" s="110"/>
      <c r="CI7" s="111"/>
      <c r="CJ7" s="91"/>
      <c r="CK7" s="1290"/>
      <c r="CL7" s="1291"/>
      <c r="CM7" s="1292"/>
      <c r="CN7" s="92"/>
      <c r="CO7" s="92"/>
      <c r="CP7" s="93"/>
      <c r="CQ7" s="1564"/>
      <c r="CR7" s="68"/>
      <c r="CS7" s="68"/>
      <c r="CT7" s="1564"/>
      <c r="CU7" s="68"/>
      <c r="CV7" s="68"/>
      <c r="CW7" s="68"/>
      <c r="CX7" s="68"/>
      <c r="CY7" s="68"/>
      <c r="CZ7" s="68"/>
      <c r="DA7" s="1564"/>
      <c r="DB7" s="68"/>
      <c r="DC7" s="68"/>
      <c r="DD7" s="1564"/>
      <c r="DE7" s="68"/>
      <c r="DF7" s="68"/>
      <c r="DG7" s="68"/>
      <c r="DH7" s="68"/>
      <c r="DI7" s="68"/>
      <c r="DJ7" s="1564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64"/>
      <c r="CR8" s="68"/>
      <c r="CS8" s="68"/>
      <c r="CT8" s="1564"/>
      <c r="CU8" s="68"/>
      <c r="CV8" s="68"/>
      <c r="CW8" s="68"/>
      <c r="CX8" s="68"/>
      <c r="CY8" s="68"/>
      <c r="CZ8" s="68"/>
      <c r="DA8" s="1564"/>
      <c r="DB8" s="68"/>
      <c r="DC8" s="68"/>
      <c r="DD8" s="1564"/>
      <c r="DE8" s="68"/>
      <c r="DF8" s="68"/>
      <c r="DG8" s="68"/>
      <c r="DH8" s="68"/>
      <c r="DI8" s="68"/>
      <c r="DJ8" s="1564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3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294">
        <v>0.5</v>
      </c>
      <c r="CL9" s="1294">
        <v>0.4</v>
      </c>
      <c r="CM9" s="1294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14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294">
        <v>0.3</v>
      </c>
      <c r="CL10" s="1294">
        <v>0.35</v>
      </c>
      <c r="CM10" s="1294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14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294">
        <v>0.15</v>
      </c>
      <c r="CL11" s="1294">
        <v>0.15</v>
      </c>
      <c r="CM11" s="1294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15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294">
        <v>0.05</v>
      </c>
      <c r="CL12" s="1294">
        <v>0.2</v>
      </c>
      <c r="CM12" s="1294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64"/>
      <c r="CR13" s="68"/>
      <c r="CS13" s="68"/>
      <c r="CT13" s="1564"/>
      <c r="CU13" s="68"/>
      <c r="CV13" s="68"/>
      <c r="CW13" s="68"/>
      <c r="CX13" s="68"/>
      <c r="CY13" s="68"/>
      <c r="CZ13" s="68"/>
      <c r="DA13" s="1564"/>
      <c r="DB13" s="68"/>
      <c r="DC13" s="68"/>
      <c r="DD13" s="1564"/>
      <c r="DE13" s="68"/>
      <c r="DF13" s="68"/>
      <c r="DG13" s="68"/>
      <c r="DH13" s="68"/>
      <c r="DI13" s="68"/>
      <c r="DJ13" s="1564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3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3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3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295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77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923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64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64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64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64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64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64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64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64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64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64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64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64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64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64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64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64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64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64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64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64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64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64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64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64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64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64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64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64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64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64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64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64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64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64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64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64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64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64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64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64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64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64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64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64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64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64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64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64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64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64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64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64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64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64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64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64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64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64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64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64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64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64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64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64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64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64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64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64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64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64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64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64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907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1"/>
      <c r="AL200" s="372"/>
      <c r="AM200" s="372"/>
      <c r="AN200" s="1410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1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1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2"/>
      <c r="AL201" s="382"/>
      <c r="AM201" s="382"/>
      <c r="AN201" s="1411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2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2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2"/>
      <c r="AL202" s="382"/>
      <c r="AM202" s="382"/>
      <c r="AN202" s="1411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2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2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2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3"/>
      <c r="U205" s="1403"/>
      <c r="V205" s="398"/>
      <c r="W205" s="1403"/>
      <c r="X205" s="1403"/>
      <c r="Y205" s="140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1"/>
      <c r="AL207" s="372"/>
      <c r="AM207" s="372"/>
      <c r="AN207" s="1410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1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1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2"/>
      <c r="AL208" s="382"/>
      <c r="AM208" s="382"/>
      <c r="AN208" s="1411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2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2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2"/>
      <c r="AL209" s="382"/>
      <c r="AM209" s="382"/>
      <c r="AN209" s="1411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2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2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2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3"/>
      <c r="U212" s="1403"/>
      <c r="V212" s="398"/>
      <c r="W212" s="1403"/>
      <c r="X212" s="1403"/>
      <c r="Y212" s="140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1"/>
      <c r="AL214" s="372"/>
      <c r="AM214" s="372"/>
      <c r="AN214" s="1410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1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1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2"/>
      <c r="AL215" s="382"/>
      <c r="AM215" s="382"/>
      <c r="AN215" s="1411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2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2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2"/>
      <c r="AL216" s="382"/>
      <c r="AM216" s="382"/>
      <c r="AN216" s="1411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2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2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2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3"/>
      <c r="U219" s="1403"/>
      <c r="V219" s="398"/>
      <c r="W219" s="1403"/>
      <c r="X219" s="1403"/>
      <c r="Y219" s="140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1"/>
      <c r="AL221" s="372"/>
      <c r="AM221" s="372"/>
      <c r="AN221" s="1410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1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1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2"/>
      <c r="AL222" s="382"/>
      <c r="AM222" s="382"/>
      <c r="AN222" s="1411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2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2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2"/>
      <c r="AL223" s="382"/>
      <c r="AM223" s="382"/>
      <c r="AN223" s="1411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2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2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2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3"/>
      <c r="U226" s="1403"/>
      <c r="V226" s="398"/>
      <c r="W226" s="1403"/>
      <c r="X226" s="1403"/>
      <c r="Y226" s="140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04"/>
      <c r="U229" s="1404"/>
      <c r="V229" s="1404"/>
      <c r="W229" s="1404"/>
      <c r="X229" s="1404"/>
      <c r="Y229" s="1404"/>
      <c r="Z229" s="1404"/>
      <c r="AK229" s="1404"/>
      <c r="AL229" s="1404"/>
      <c r="AM229" s="1404"/>
      <c r="AN229" s="1404"/>
      <c r="AO229" s="1404"/>
      <c r="AP229" s="1404"/>
      <c r="AQ229" s="1404"/>
      <c r="AR229" s="1404"/>
      <c r="AS229" s="1404"/>
      <c r="AT229" s="1404"/>
      <c r="AU229" s="1404"/>
      <c r="AV229" s="1404"/>
      <c r="AW229" s="1404"/>
      <c r="AX229" s="1404"/>
      <c r="AY229" s="1404"/>
      <c r="BB229" s="1404"/>
      <c r="BC229" s="1404"/>
      <c r="BD229" s="1404"/>
      <c r="BE229" s="1404"/>
      <c r="BF229" s="1404"/>
      <c r="BG229" s="1404"/>
      <c r="BH229" s="1404"/>
      <c r="BI229" s="1404"/>
      <c r="BJ229" s="1404"/>
      <c r="BK229" s="1404"/>
      <c r="BL229" s="1404"/>
      <c r="BM229" s="1404"/>
      <c r="BN229" s="1404"/>
      <c r="BO229" s="1404"/>
      <c r="BS229" s="1404"/>
      <c r="BT229" s="1404"/>
      <c r="BU229" s="1404"/>
      <c r="BV229" s="1404"/>
      <c r="BW229" s="1404"/>
      <c r="BX229" s="1404"/>
      <c r="BY229" s="1404"/>
      <c r="BZ229" s="1404"/>
      <c r="CA229" s="1404"/>
      <c r="CB229" s="1404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1" t="s">
        <v>608</v>
      </c>
      <c r="D232" s="1302" t="s">
        <v>609</v>
      </c>
      <c r="E232" s="1302" t="s">
        <v>610</v>
      </c>
      <c r="F232" s="1302" t="s">
        <v>611</v>
      </c>
      <c r="G232" s="1302" t="s">
        <v>612</v>
      </c>
      <c r="H232" s="1302" t="s">
        <v>613</v>
      </c>
      <c r="I232" s="1302" t="s">
        <v>614</v>
      </c>
      <c r="J232" s="1302" t="s">
        <v>615</v>
      </c>
      <c r="K232" s="1302" t="s">
        <v>616</v>
      </c>
      <c r="L232" s="1302" t="s">
        <v>617</v>
      </c>
      <c r="M232" s="1302"/>
      <c r="N232"/>
      <c r="O232"/>
      <c r="P232"/>
      <c r="Q232"/>
      <c r="R232"/>
      <c r="S232"/>
      <c r="T232" s="1405" t="s">
        <v>618</v>
      </c>
      <c r="U232" s="1405" t="s">
        <v>619</v>
      </c>
      <c r="V232" s="1405" t="s">
        <v>620</v>
      </c>
      <c r="W232" s="1405" t="s">
        <v>621</v>
      </c>
      <c r="X232" s="1405" t="s">
        <v>622</v>
      </c>
      <c r="Y232" s="1405" t="s">
        <v>623</v>
      </c>
      <c r="Z232" s="1405" t="s">
        <v>624</v>
      </c>
      <c r="AA232" t="s">
        <v>625</v>
      </c>
      <c r="AB232" t="s">
        <v>626</v>
      </c>
      <c r="AC232" t="s">
        <v>627</v>
      </c>
      <c r="AD232" t="s">
        <v>628</v>
      </c>
      <c r="AE232" t="s">
        <v>629</v>
      </c>
      <c r="AF232" t="s">
        <v>630</v>
      </c>
      <c r="AG232" t="s">
        <v>631</v>
      </c>
      <c r="AH232" t="s">
        <v>632</v>
      </c>
      <c r="AI232" t="s">
        <v>633</v>
      </c>
      <c r="AJ232" t="s">
        <v>634</v>
      </c>
      <c r="AK232" s="1405" t="s">
        <v>635</v>
      </c>
      <c r="AL232" s="1405" t="s">
        <v>636</v>
      </c>
      <c r="AM232" s="1405" t="s">
        <v>637</v>
      </c>
      <c r="AN232" s="1405" t="s">
        <v>638</v>
      </c>
      <c r="AO232" s="1405" t="s">
        <v>639</v>
      </c>
      <c r="AP232" s="1405" t="s">
        <v>640</v>
      </c>
      <c r="AQ232" s="1405" t="s">
        <v>641</v>
      </c>
      <c r="AR232" s="1405" t="s">
        <v>642</v>
      </c>
      <c r="AS232" s="1405" t="s">
        <v>643</v>
      </c>
      <c r="AT232" s="1405" t="s">
        <v>644</v>
      </c>
      <c r="AU232" s="1405"/>
      <c r="AV232" s="1405"/>
      <c r="AW232" s="1405"/>
      <c r="AX232" s="1405"/>
    </row>
    <row r="233" spans="1:242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/>
      <c r="N233"/>
      <c r="O233"/>
      <c r="P233"/>
      <c r="Q233"/>
      <c r="R233"/>
      <c r="S233"/>
      <c r="T233" s="1405">
        <v>3.33</v>
      </c>
      <c r="U233" s="1405">
        <v>2.34</v>
      </c>
      <c r="V233" s="1405">
        <v>2.02</v>
      </c>
      <c r="W233" s="1405">
        <v>1.71</v>
      </c>
      <c r="X233" s="1405">
        <v>1.6</v>
      </c>
      <c r="Y233" s="1405">
        <v>1.22</v>
      </c>
      <c r="Z233" s="140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05">
        <v>4.97</v>
      </c>
      <c r="AL233" s="1405">
        <v>4.07</v>
      </c>
      <c r="AM233" s="1405">
        <v>3.53</v>
      </c>
      <c r="AN233" s="1405">
        <v>3.23</v>
      </c>
      <c r="AO233" s="1405">
        <v>2.77</v>
      </c>
      <c r="AP233" s="1405">
        <v>2.63</v>
      </c>
      <c r="AQ233" s="1405">
        <v>2.23</v>
      </c>
      <c r="AR233" s="1405">
        <v>1.78</v>
      </c>
      <c r="AS233" s="1405">
        <v>1.42</v>
      </c>
      <c r="AT233" s="1405">
        <v>1.01</v>
      </c>
      <c r="AU233" s="1405"/>
      <c r="AV233" s="1405"/>
      <c r="AW233" s="1405"/>
      <c r="AX233" s="1405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05"/>
      <c r="U235" s="1405"/>
      <c r="V235" s="1405"/>
      <c r="W235" s="1405"/>
      <c r="X235" s="1405"/>
      <c r="Y235" s="1405"/>
      <c r="Z235" s="1405"/>
      <c r="AA235"/>
      <c r="AB235"/>
      <c r="AC235"/>
      <c r="AD235"/>
      <c r="AE235"/>
      <c r="AF235"/>
      <c r="AG235"/>
      <c r="AH235"/>
      <c r="AI235"/>
      <c r="AJ235"/>
      <c r="AK235" s="1405"/>
      <c r="AL235" s="1405"/>
      <c r="AM235" s="1405"/>
      <c r="AN235" s="1405"/>
      <c r="AO235" s="1405"/>
      <c r="AP235" s="1405"/>
      <c r="AQ235" s="1405"/>
      <c r="AR235" s="1405"/>
      <c r="AS235" s="1405"/>
      <c r="AT235" s="1405"/>
      <c r="AU235" s="1405"/>
      <c r="AV235" s="1405"/>
      <c r="AW235" s="1405"/>
      <c r="AX235" s="1405"/>
    </row>
    <row r="236" spans="1:242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405"/>
      <c r="U236" s="1405"/>
      <c r="V236" s="1405"/>
      <c r="W236" s="1405"/>
      <c r="X236" s="1405"/>
      <c r="Y236" s="1405"/>
      <c r="Z236" s="1405"/>
      <c r="AA236"/>
      <c r="AB236"/>
      <c r="AC236"/>
      <c r="AD236"/>
      <c r="AE236"/>
      <c r="AF236"/>
      <c r="AG236"/>
      <c r="AH236"/>
      <c r="AI236"/>
      <c r="AJ236"/>
      <c r="AK236" s="1405"/>
      <c r="AL236" s="1405"/>
      <c r="AM236" s="1405"/>
      <c r="AN236" s="1405"/>
      <c r="AO236" s="1405"/>
      <c r="AP236" s="1405"/>
      <c r="AQ236" s="1405"/>
      <c r="AR236" s="1405"/>
      <c r="AS236" s="1405"/>
      <c r="AT236" s="1405"/>
      <c r="AU236" s="1405"/>
      <c r="AV236" s="1405"/>
      <c r="AW236" s="1405"/>
      <c r="AX236" s="1405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5" t="s">
        <v>645</v>
      </c>
      <c r="U237" s="1405" t="s">
        <v>646</v>
      </c>
      <c r="V237" s="1405" t="s">
        <v>647</v>
      </c>
      <c r="W237" s="1405" t="s">
        <v>648</v>
      </c>
      <c r="X237" s="1405" t="s">
        <v>649</v>
      </c>
      <c r="Y237" s="1405" t="s">
        <v>650</v>
      </c>
      <c r="Z237" s="1405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 s="1405"/>
      <c r="AL237" s="1405"/>
      <c r="AM237" s="1405"/>
      <c r="AN237" s="1405"/>
      <c r="AO237" s="1405"/>
      <c r="AP237" s="1405"/>
      <c r="AQ237" s="1405"/>
      <c r="AR237" s="1405"/>
      <c r="AS237" s="1405"/>
      <c r="AT237" s="1405"/>
      <c r="AU237" s="1405"/>
      <c r="AV237" s="1405"/>
      <c r="AW237" s="1405"/>
      <c r="AX237" s="1405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5">
        <v>-3.33</v>
      </c>
      <c r="U238" s="1405">
        <v>-2.34</v>
      </c>
      <c r="V238" s="1405">
        <v>-2.02</v>
      </c>
      <c r="W238" s="1405">
        <v>-1.71</v>
      </c>
      <c r="X238" s="1405">
        <v>-1.6</v>
      </c>
      <c r="Y238" s="1405">
        <v>-1.22</v>
      </c>
      <c r="Z238" s="140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05"/>
      <c r="AL238" s="1405"/>
      <c r="AM238" s="1405"/>
      <c r="AN238" s="1405"/>
      <c r="AO238" s="1405"/>
      <c r="AP238" s="1405"/>
      <c r="AQ238" s="1405"/>
      <c r="AR238" s="1405"/>
      <c r="AS238" s="1405"/>
      <c r="AT238" s="1405"/>
      <c r="AU238" s="1405"/>
      <c r="AV238" s="1405"/>
      <c r="AW238" s="1405"/>
      <c r="AX238" s="1405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5">
        <v>4.07</v>
      </c>
      <c r="U239" s="1405">
        <v>3.53</v>
      </c>
      <c r="V239" s="1405">
        <v>3.23</v>
      </c>
      <c r="W239" s="1405">
        <v>2.77</v>
      </c>
      <c r="X239" s="1405">
        <v>2.63</v>
      </c>
      <c r="Y239" s="1405">
        <v>2.23</v>
      </c>
      <c r="Z239" s="140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05"/>
      <c r="AL239" s="1405"/>
      <c r="AM239" s="1405"/>
      <c r="AN239" s="1405"/>
      <c r="AO239" s="1405"/>
      <c r="AP239" s="1405"/>
      <c r="AQ239" s="1405"/>
      <c r="AR239" s="1405"/>
      <c r="AS239" s="1405"/>
      <c r="AT239" s="1405"/>
      <c r="AU239" s="1405"/>
      <c r="AV239" s="1405"/>
      <c r="AW239" s="1405"/>
      <c r="AX239" s="1405"/>
    </row>
    <row r="240" spans="1:242" ht="12" customHeight="1">
      <c r="AG240"/>
      <c r="AH240"/>
      <c r="AI240"/>
      <c r="AJ240"/>
      <c r="AK240" s="1405"/>
      <c r="AL240" s="1405"/>
      <c r="AM240" s="1405"/>
      <c r="AN240" s="1405"/>
      <c r="AO240" s="1405"/>
      <c r="AP240" s="1405"/>
      <c r="AQ240" s="1405"/>
      <c r="AR240" s="1405"/>
      <c r="AS240" s="1405"/>
      <c r="AT240" s="1405"/>
      <c r="AU240" s="1405"/>
      <c r="AV240" s="1405"/>
      <c r="AW240" s="1405"/>
      <c r="AX240" s="140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5"/>
      <c r="AL241" s="1405"/>
      <c r="AM241" s="1405"/>
      <c r="AN241" s="1405"/>
      <c r="AO241" s="1405"/>
      <c r="AP241" s="1405"/>
      <c r="AQ241" s="1405"/>
      <c r="AR241" s="1405"/>
      <c r="AS241" s="1405"/>
      <c r="AT241" s="1405"/>
      <c r="AU241" s="1405"/>
      <c r="AV241" s="1405"/>
      <c r="AW241" s="1405"/>
      <c r="AX241" s="140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5"/>
      <c r="U242" s="1405"/>
      <c r="V242" s="1405"/>
      <c r="W242" s="1405"/>
      <c r="X242" s="1405"/>
      <c r="Y242" s="1405"/>
      <c r="Z242" s="1405"/>
      <c r="AA242"/>
      <c r="AB242"/>
      <c r="AC242"/>
      <c r="AD242"/>
      <c r="AE242"/>
      <c r="AF242"/>
      <c r="AG242"/>
      <c r="AH242"/>
      <c r="AI242"/>
      <c r="AJ242"/>
      <c r="AK242" s="1405"/>
      <c r="AL242" s="1405"/>
      <c r="AM242" s="1405"/>
      <c r="AN242" s="1405"/>
      <c r="AO242" s="1405"/>
      <c r="AP242" s="1405"/>
      <c r="AQ242" s="1405"/>
      <c r="AR242" s="1405"/>
      <c r="AS242" s="1405"/>
      <c r="AT242" s="1405"/>
      <c r="AU242" s="1405"/>
      <c r="AV242" s="1405"/>
      <c r="AW242" s="1405"/>
      <c r="AX242" s="140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5"/>
      <c r="U243" s="1405"/>
      <c r="V243" s="1405"/>
      <c r="W243" s="1405"/>
      <c r="X243" s="1405"/>
      <c r="Y243" s="1405"/>
      <c r="Z243" s="1405"/>
      <c r="AA243"/>
      <c r="AB243"/>
      <c r="AC243"/>
      <c r="AD243"/>
      <c r="AE243"/>
      <c r="AF243"/>
      <c r="AG243"/>
      <c r="AH243"/>
      <c r="AI243"/>
      <c r="AJ243"/>
      <c r="AK243" s="1405"/>
      <c r="AL243" s="1405"/>
      <c r="AM243" s="1405"/>
      <c r="AN243" s="1405"/>
      <c r="AO243" s="1405"/>
      <c r="AP243" s="1405"/>
      <c r="AQ243" s="1405"/>
      <c r="AR243" s="1405"/>
      <c r="AS243" s="1405"/>
      <c r="AT243" s="1405"/>
      <c r="AU243" s="1405"/>
      <c r="AV243" s="1405"/>
      <c r="AW243" s="1405"/>
      <c r="AX243" s="140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5"/>
      <c r="U244" s="1405"/>
      <c r="V244" s="1405"/>
      <c r="W244" s="1405"/>
      <c r="X244" s="1405"/>
      <c r="Y244" s="1405"/>
      <c r="Z244" s="1405"/>
      <c r="AA244"/>
      <c r="AB244"/>
      <c r="AC244"/>
      <c r="AD244"/>
      <c r="AE244"/>
      <c r="AF244"/>
      <c r="AG244"/>
      <c r="AH244"/>
      <c r="AI244"/>
      <c r="AJ244"/>
      <c r="AK244" s="1405"/>
      <c r="AL244" s="1405"/>
      <c r="AM244" s="1405"/>
      <c r="AN244" s="1405"/>
      <c r="AO244" s="1405"/>
      <c r="AP244" s="1405"/>
      <c r="AQ244" s="1405"/>
      <c r="AR244" s="1405"/>
      <c r="AS244" s="1405"/>
      <c r="AT244" s="1405"/>
      <c r="AU244" s="1405"/>
      <c r="AV244" s="1405"/>
      <c r="AW244" s="1405"/>
      <c r="AX244" s="140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5"/>
      <c r="U245" s="1405"/>
      <c r="V245" s="1405"/>
      <c r="W245" s="1405"/>
      <c r="X245" s="1405"/>
      <c r="Y245" s="1405"/>
      <c r="Z245" s="1405"/>
      <c r="AA245"/>
      <c r="AB245"/>
      <c r="AC245"/>
      <c r="AD245"/>
      <c r="AE245"/>
      <c r="AF245"/>
      <c r="AG245"/>
      <c r="AH245"/>
      <c r="AI245"/>
      <c r="AJ245"/>
      <c r="AK245" s="1405"/>
      <c r="AL245" s="1405"/>
      <c r="AM245" s="1405"/>
      <c r="AN245" s="1405"/>
      <c r="AO245" s="1405"/>
      <c r="AP245" s="1405"/>
      <c r="AQ245" s="1405"/>
      <c r="AR245" s="1405"/>
      <c r="AS245" s="1405"/>
      <c r="AT245" s="1405"/>
      <c r="AU245" s="1405"/>
      <c r="AV245" s="1405"/>
      <c r="AW245" s="1405"/>
      <c r="AX245" s="140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5"/>
      <c r="U246" s="1405"/>
      <c r="V246" s="1405"/>
      <c r="W246" s="1405"/>
      <c r="X246" s="1405"/>
      <c r="Y246" s="1405"/>
      <c r="Z246" s="1405"/>
      <c r="AA246"/>
      <c r="AB246"/>
      <c r="AC246"/>
      <c r="AD246"/>
      <c r="AE246"/>
      <c r="AF246"/>
      <c r="AG246"/>
      <c r="AH246"/>
      <c r="AI246"/>
      <c r="AJ246"/>
      <c r="AK246" s="1405"/>
      <c r="AL246" s="1405"/>
      <c r="AM246" s="1405"/>
      <c r="AN246" s="1405"/>
      <c r="AO246" s="1405"/>
      <c r="AP246" s="1405"/>
      <c r="AQ246" s="1405"/>
      <c r="AR246" s="1405"/>
      <c r="AS246" s="1405"/>
      <c r="AT246" s="1405"/>
      <c r="AU246" s="1405"/>
      <c r="AV246" s="1405"/>
      <c r="AW246" s="1405"/>
      <c r="AX246" s="140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5"/>
      <c r="U247" s="1405"/>
      <c r="V247" s="1405"/>
      <c r="W247" s="1405"/>
      <c r="X247" s="1405"/>
      <c r="AB247"/>
      <c r="AC247"/>
      <c r="AD247"/>
      <c r="AE247"/>
      <c r="AF247"/>
      <c r="AG247"/>
      <c r="AH247"/>
      <c r="AI247"/>
      <c r="AJ247"/>
      <c r="AK247" s="1405"/>
      <c r="AL247" s="1405"/>
      <c r="AM247" s="1405"/>
      <c r="AN247" s="1405"/>
      <c r="AO247" s="1405"/>
      <c r="AP247" s="1405"/>
      <c r="AQ247" s="1405"/>
      <c r="AR247" s="1405"/>
      <c r="AS247" s="1405"/>
      <c r="AT247" s="1405"/>
      <c r="AU247" s="1405"/>
      <c r="AV247" s="1405"/>
      <c r="AW247" s="1405"/>
      <c r="AX247" s="140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5"/>
      <c r="U248" s="1405"/>
      <c r="V248" s="1405"/>
      <c r="W248" s="1405"/>
      <c r="X248" s="1405"/>
      <c r="AB248"/>
      <c r="AC248"/>
      <c r="AD248"/>
      <c r="AE248"/>
      <c r="AF248"/>
      <c r="AG248"/>
      <c r="AH248"/>
      <c r="AI248"/>
      <c r="AJ248"/>
      <c r="AK248" s="1405"/>
      <c r="AL248" s="1405"/>
      <c r="AM248" s="1405"/>
      <c r="AN248" s="1405"/>
      <c r="AO248" s="1405"/>
      <c r="AP248" s="1405"/>
      <c r="AQ248" s="1405"/>
      <c r="AR248" s="1405"/>
      <c r="AS248" s="1405"/>
      <c r="AT248" s="1405"/>
      <c r="AU248" s="1405"/>
      <c r="AV248" s="1405"/>
      <c r="AW248" s="1405"/>
      <c r="AX248" s="140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5"/>
      <c r="U249" s="1405"/>
      <c r="V249" s="1405"/>
      <c r="W249" s="1405"/>
      <c r="X249" s="1405"/>
      <c r="AB249"/>
      <c r="AC249"/>
      <c r="AD249"/>
      <c r="AE249"/>
      <c r="AF249"/>
      <c r="AG249"/>
      <c r="AH249"/>
      <c r="AI249"/>
      <c r="AJ249"/>
      <c r="AK249" s="1405"/>
      <c r="AL249" s="1405"/>
      <c r="AM249" s="1405"/>
      <c r="AN249" s="1405"/>
      <c r="AO249" s="1405"/>
      <c r="AP249" s="1405"/>
      <c r="AQ249" s="1405"/>
      <c r="AR249" s="1405"/>
      <c r="AS249" s="1405"/>
      <c r="AT249" s="1405"/>
      <c r="AU249" s="1405"/>
      <c r="AV249" s="1405"/>
      <c r="AW249" s="1405"/>
      <c r="AX249" s="140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5"/>
      <c r="U250" s="1405"/>
      <c r="V250" s="1405"/>
      <c r="W250" s="1405"/>
      <c r="X250" s="1405"/>
      <c r="Y250" s="1405"/>
      <c r="Z250" s="1405"/>
      <c r="AA250"/>
      <c r="AB250"/>
      <c r="AC250"/>
      <c r="AD250"/>
      <c r="AE250"/>
      <c r="AF250"/>
      <c r="AG250"/>
      <c r="AH250"/>
      <c r="AI250"/>
      <c r="AJ250"/>
      <c r="AK250" s="1405"/>
      <c r="AL250" s="1405"/>
      <c r="AM250" s="1405"/>
      <c r="AN250" s="1405"/>
      <c r="AO250" s="1405"/>
      <c r="AP250" s="1405"/>
      <c r="AQ250" s="1405"/>
      <c r="AR250" s="1405"/>
      <c r="AS250" s="1405"/>
      <c r="AT250" s="1405"/>
      <c r="AU250" s="1405"/>
      <c r="AV250" s="1405"/>
      <c r="AW250" s="1405"/>
      <c r="AX250" s="140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5"/>
      <c r="U251" s="1405"/>
      <c r="V251" s="1405"/>
      <c r="W251" s="1405"/>
      <c r="X251" s="1405"/>
      <c r="Y251" s="1405"/>
      <c r="Z251" s="1405"/>
      <c r="AA251"/>
      <c r="AB251"/>
      <c r="AC251"/>
      <c r="AD251"/>
      <c r="AE251"/>
      <c r="AF251"/>
      <c r="AG251"/>
      <c r="AH251"/>
      <c r="AI251"/>
      <c r="AJ251"/>
      <c r="AK251" s="1405"/>
      <c r="AL251" s="1405"/>
      <c r="AM251" s="1405"/>
      <c r="AN251" s="1405"/>
      <c r="AO251" s="1405"/>
      <c r="AP251" s="1405"/>
      <c r="AQ251" s="1405"/>
      <c r="AR251" s="1405"/>
      <c r="AS251" s="1405"/>
      <c r="AT251" s="1405"/>
      <c r="AU251" s="1405"/>
      <c r="AV251" s="1405"/>
      <c r="AW251" s="1405"/>
      <c r="AX251" s="140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5"/>
      <c r="U252" s="1405"/>
      <c r="V252" s="1405"/>
      <c r="W252" s="1405"/>
      <c r="X252" s="1405"/>
      <c r="Y252" s="1405"/>
      <c r="Z252" s="1405"/>
      <c r="AA252"/>
      <c r="AB252"/>
      <c r="AC252"/>
      <c r="AD252"/>
      <c r="AE252"/>
      <c r="AF252"/>
      <c r="AG252"/>
      <c r="AH252"/>
      <c r="AI252"/>
      <c r="AJ252"/>
      <c r="AK252" s="1405"/>
      <c r="AL252" s="1405"/>
      <c r="AM252" s="1405"/>
      <c r="AN252" s="1405"/>
      <c r="AO252" s="1405"/>
      <c r="AP252" s="1405"/>
      <c r="AQ252" s="1405"/>
      <c r="AR252" s="1405"/>
      <c r="AS252" s="1405"/>
      <c r="AT252" s="1405"/>
      <c r="AU252" s="1405"/>
      <c r="AV252" s="1405"/>
      <c r="AW252" s="1405"/>
      <c r="AX252" s="140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5"/>
      <c r="U253" s="1405"/>
      <c r="V253" s="1405"/>
      <c r="W253" s="1405"/>
      <c r="X253" s="1405"/>
      <c r="Y253" s="1405"/>
      <c r="Z253" s="1405"/>
      <c r="AA253"/>
      <c r="AB253"/>
      <c r="AC253"/>
      <c r="AD253"/>
      <c r="AE253"/>
      <c r="AF253"/>
      <c r="AG253"/>
      <c r="AH253"/>
      <c r="AI253"/>
      <c r="AJ253"/>
      <c r="AK253" s="1405"/>
      <c r="AL253" s="1405"/>
      <c r="AM253" s="1405"/>
      <c r="AN253" s="1405"/>
      <c r="AO253" s="1405"/>
      <c r="AP253" s="1405"/>
      <c r="AQ253" s="1405"/>
      <c r="AR253" s="1405"/>
      <c r="AS253" s="1405"/>
      <c r="AT253" s="1405"/>
      <c r="AU253" s="1405"/>
      <c r="AV253" s="1405"/>
      <c r="AW253" s="1405"/>
      <c r="AX253" s="140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5"/>
      <c r="U254" s="1405"/>
      <c r="V254" s="1405"/>
      <c r="W254" s="1405"/>
      <c r="X254" s="1405"/>
      <c r="Y254" s="1405"/>
      <c r="Z254" s="1405"/>
      <c r="AA254"/>
      <c r="AB254"/>
      <c r="AC254"/>
      <c r="AD254"/>
      <c r="AE254"/>
      <c r="AF254"/>
      <c r="AG254"/>
      <c r="AH254"/>
      <c r="AI254"/>
      <c r="AJ254"/>
      <c r="AK254" s="1405"/>
      <c r="AL254" s="1405"/>
      <c r="AM254" s="1405"/>
      <c r="AN254" s="1405"/>
      <c r="AO254" s="1405"/>
      <c r="AP254" s="1405"/>
      <c r="AQ254" s="1405"/>
      <c r="AR254" s="1405"/>
      <c r="AS254" s="1405"/>
      <c r="AT254" s="1405"/>
      <c r="AU254" s="1405"/>
      <c r="AV254" s="1405"/>
      <c r="AW254" s="1405"/>
      <c r="AX254" s="140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5"/>
      <c r="U255" s="1405"/>
      <c r="V255" s="1405"/>
      <c r="W255" s="1405"/>
      <c r="X255" s="1405"/>
      <c r="Y255" s="1405"/>
      <c r="Z255" s="1405"/>
      <c r="AA255"/>
      <c r="AB255"/>
      <c r="AC255"/>
      <c r="AD255"/>
      <c r="AE255"/>
      <c r="AF255"/>
      <c r="AG255"/>
      <c r="AH255"/>
      <c r="AI255"/>
      <c r="AJ255"/>
      <c r="AK255" s="1405"/>
      <c r="AL255" s="1405"/>
      <c r="AM255" s="1405"/>
      <c r="AN255" s="1405"/>
      <c r="AO255" s="1405"/>
      <c r="AP255" s="1405"/>
      <c r="AQ255" s="1405"/>
      <c r="AR255" s="1405"/>
      <c r="AS255" s="1405"/>
      <c r="AT255" s="1405"/>
      <c r="AU255" s="1405"/>
      <c r="AV255" s="1405"/>
      <c r="AW255" s="1405"/>
      <c r="AX255" s="1405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5"/>
      <c r="U256" s="1405"/>
      <c r="V256" s="1405"/>
      <c r="W256" s="1405"/>
      <c r="X256" s="1405"/>
      <c r="Y256" s="1405"/>
      <c r="Z256" s="1405"/>
      <c r="AA256"/>
      <c r="AB256"/>
      <c r="AC256"/>
      <c r="AD256"/>
      <c r="AE256"/>
      <c r="AF256"/>
      <c r="AG256"/>
      <c r="AH256"/>
      <c r="AI256"/>
      <c r="AJ256"/>
      <c r="AK256" s="1405"/>
      <c r="AL256" s="1405"/>
      <c r="AM256" s="1405"/>
      <c r="AN256" s="1405"/>
      <c r="AO256" s="1405"/>
      <c r="AP256" s="1405"/>
      <c r="AQ256" s="1405"/>
      <c r="AR256" s="1405"/>
      <c r="AS256" s="1405"/>
      <c r="AT256" s="1405"/>
      <c r="AU256" s="1405"/>
      <c r="AV256" s="1405"/>
      <c r="AW256" s="1405"/>
      <c r="AX256" s="140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5"/>
      <c r="U257" s="1405"/>
      <c r="V257" s="1405"/>
      <c r="W257" s="1405"/>
      <c r="X257" s="1405"/>
      <c r="Y257" s="1405"/>
      <c r="Z257" s="1405"/>
      <c r="AA257"/>
      <c r="AB257"/>
      <c r="AC257"/>
      <c r="AD257"/>
      <c r="AE257"/>
      <c r="AF257"/>
      <c r="AG257"/>
      <c r="AH257"/>
      <c r="AI257"/>
      <c r="AJ257"/>
      <c r="AK257" s="1405"/>
      <c r="AL257" s="1405"/>
      <c r="AM257" s="1405"/>
      <c r="AN257" s="1405"/>
      <c r="AO257" s="1405"/>
      <c r="AP257" s="1405"/>
      <c r="AQ257" s="1405"/>
      <c r="AR257" s="1405"/>
      <c r="AS257" s="1405"/>
      <c r="AT257" s="1405"/>
      <c r="AU257" s="1405"/>
      <c r="AV257" s="1405"/>
      <c r="AW257" s="1405"/>
      <c r="AX257" s="140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5"/>
      <c r="U258" s="1405"/>
      <c r="V258" s="1405"/>
      <c r="W258" s="1405"/>
      <c r="X258" s="1405"/>
      <c r="Y258" s="1405"/>
      <c r="Z258" s="1405"/>
      <c r="AA258"/>
      <c r="AB258"/>
      <c r="AC258"/>
      <c r="AD258"/>
      <c r="AE258"/>
      <c r="AF258"/>
      <c r="AG258"/>
      <c r="AH258"/>
      <c r="AI258"/>
      <c r="AJ258"/>
      <c r="AK258" s="1405"/>
      <c r="AL258" s="1405"/>
      <c r="AM258" s="1405"/>
      <c r="AN258" s="1405"/>
      <c r="AO258" s="1405"/>
      <c r="AP258" s="1405"/>
      <c r="AQ258" s="1405"/>
      <c r="AR258" s="1405"/>
      <c r="AS258" s="1405"/>
      <c r="AT258" s="1405"/>
      <c r="AU258" s="1405"/>
      <c r="AV258" s="1405"/>
      <c r="AW258" s="1405"/>
      <c r="AX258" s="140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5"/>
      <c r="U259" s="1405"/>
      <c r="V259" s="1405"/>
      <c r="W259" s="1405"/>
      <c r="X259" s="1405"/>
      <c r="Y259" s="1405"/>
      <c r="Z259" s="1405"/>
      <c r="AA259"/>
      <c r="AB259"/>
      <c r="AC259"/>
      <c r="AD259"/>
      <c r="AE259"/>
      <c r="AF259"/>
      <c r="AG259"/>
      <c r="AH259"/>
      <c r="AI259"/>
      <c r="AJ259"/>
      <c r="AK259" s="1405"/>
      <c r="AL259" s="1405"/>
      <c r="AM259" s="1405"/>
      <c r="AN259" s="1405"/>
      <c r="AO259" s="1405"/>
      <c r="AP259" s="1405"/>
      <c r="AQ259" s="1405"/>
      <c r="AR259" s="1405"/>
      <c r="AS259" s="1405"/>
      <c r="AT259" s="1405"/>
      <c r="AU259" s="1405"/>
      <c r="AV259" s="1405"/>
      <c r="AW259" s="1405"/>
      <c r="AX259" s="140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5"/>
      <c r="U260" s="1405"/>
      <c r="V260" s="1405"/>
      <c r="W260" s="1405"/>
      <c r="X260" s="1405"/>
      <c r="Y260" s="1405"/>
      <c r="Z260" s="1405"/>
      <c r="AA260"/>
      <c r="AB260"/>
      <c r="AC260"/>
      <c r="AD260"/>
      <c r="AE260"/>
      <c r="AF260"/>
      <c r="AG260"/>
      <c r="AH260"/>
      <c r="AI260"/>
      <c r="AJ260"/>
      <c r="AK260" s="1405"/>
      <c r="AL260" s="1405"/>
      <c r="AM260" s="1405"/>
      <c r="AN260" s="1405"/>
      <c r="AO260" s="1405"/>
      <c r="AP260" s="1405"/>
      <c r="AQ260" s="1405"/>
      <c r="AR260" s="1405"/>
      <c r="AS260" s="1405"/>
      <c r="AT260" s="1405"/>
      <c r="AU260" s="1405"/>
      <c r="AV260" s="1405"/>
      <c r="AW260" s="1405"/>
      <c r="AX260" s="140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5"/>
      <c r="U261" s="1405"/>
      <c r="V261" s="1405"/>
      <c r="W261" s="1405"/>
      <c r="X261" s="1405"/>
      <c r="Y261" s="1405"/>
      <c r="Z261" s="1405"/>
      <c r="AA261"/>
      <c r="AB261"/>
      <c r="AC261"/>
      <c r="AD261"/>
      <c r="AE261"/>
      <c r="AF261"/>
      <c r="AG261"/>
      <c r="AH261"/>
      <c r="AI261"/>
      <c r="AJ261"/>
      <c r="AK261" s="1405"/>
      <c r="AL261" s="1405"/>
      <c r="AM261" s="1405"/>
      <c r="AN261" s="1405"/>
      <c r="AO261" s="1405"/>
      <c r="AP261" s="1405"/>
      <c r="AQ261" s="1405"/>
      <c r="AR261" s="1405"/>
      <c r="AS261" s="1405"/>
      <c r="AT261" s="1405"/>
      <c r="AU261" s="1405"/>
      <c r="AV261" s="1405"/>
      <c r="AW261" s="1405"/>
      <c r="AX261" s="140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5"/>
      <c r="U262" s="1405"/>
      <c r="V262" s="1405"/>
      <c r="W262" s="1405"/>
      <c r="X262" s="1405"/>
      <c r="Y262" s="1405"/>
      <c r="Z262" s="1405"/>
      <c r="AA262"/>
      <c r="AB262"/>
      <c r="AC262"/>
      <c r="AD262"/>
      <c r="AE262"/>
      <c r="AF262"/>
      <c r="AG262"/>
      <c r="AH262"/>
      <c r="AI262"/>
      <c r="AJ262"/>
      <c r="AK262" s="1405"/>
      <c r="AL262" s="1405"/>
      <c r="AM262" s="1405"/>
      <c r="AN262" s="1405"/>
      <c r="AO262" s="1405"/>
      <c r="AP262" s="1405"/>
      <c r="AQ262" s="1405"/>
      <c r="AR262" s="1405"/>
      <c r="AS262" s="1405"/>
      <c r="AT262" s="1405"/>
      <c r="AU262" s="1405"/>
      <c r="AV262" s="1405"/>
      <c r="AW262" s="1405"/>
      <c r="AX262" s="140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5"/>
      <c r="U263" s="1405"/>
      <c r="V263" s="1405"/>
      <c r="W263" s="1405"/>
      <c r="X263" s="1405"/>
      <c r="Y263" s="1405"/>
      <c r="Z263" s="1405"/>
      <c r="AA263"/>
      <c r="AB263"/>
      <c r="AC263"/>
      <c r="AD263"/>
      <c r="AE263"/>
      <c r="AF263"/>
      <c r="AG263"/>
      <c r="AH263"/>
      <c r="AI263"/>
      <c r="AJ263"/>
      <c r="AK263" s="1405"/>
      <c r="AL263" s="1405"/>
      <c r="AM263" s="1405"/>
      <c r="AN263" s="1405"/>
      <c r="AO263" s="1405"/>
      <c r="AP263" s="1405"/>
      <c r="AQ263" s="1405"/>
      <c r="AR263" s="1405"/>
      <c r="AS263" s="1405"/>
      <c r="AT263" s="1405"/>
      <c r="AU263" s="1405"/>
      <c r="AV263" s="1405"/>
      <c r="AW263" s="1405"/>
      <c r="AX263" s="140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5"/>
      <c r="U264" s="1405"/>
      <c r="V264" s="1405"/>
      <c r="W264" s="1405"/>
      <c r="X264" s="1405"/>
      <c r="Y264" s="1405"/>
      <c r="Z264" s="1405"/>
      <c r="AA264"/>
      <c r="AB264"/>
      <c r="AC264"/>
      <c r="AD264"/>
      <c r="AE264"/>
      <c r="AF264"/>
      <c r="AG264"/>
      <c r="AH264"/>
      <c r="AI264"/>
      <c r="AJ264"/>
      <c r="AK264" s="1405"/>
      <c r="AL264" s="1405"/>
      <c r="AM264" s="1405"/>
      <c r="AN264" s="1405"/>
      <c r="AO264" s="1405"/>
      <c r="AP264" s="1405"/>
      <c r="AQ264" s="1405"/>
      <c r="AR264" s="1405"/>
      <c r="AS264" s="1405"/>
      <c r="AT264" s="1405"/>
      <c r="AU264" s="1405"/>
      <c r="AV264" s="1405"/>
      <c r="AW264" s="1405"/>
      <c r="AX264" s="140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5"/>
      <c r="U265" s="1405"/>
      <c r="V265" s="1405"/>
      <c r="W265" s="1405"/>
      <c r="X265" s="1405"/>
      <c r="Y265" s="1405"/>
      <c r="Z265" s="1405"/>
      <c r="AA265"/>
      <c r="AB265"/>
      <c r="AC265"/>
      <c r="AD265"/>
      <c r="AE265"/>
      <c r="AF265"/>
      <c r="AG265"/>
      <c r="AH265"/>
      <c r="AI265"/>
      <c r="AJ265"/>
      <c r="AK265" s="1405"/>
      <c r="AL265" s="1405"/>
      <c r="AM265" s="1405"/>
      <c r="AN265" s="1405"/>
      <c r="AO265" s="1405"/>
      <c r="AP265" s="1405"/>
      <c r="AQ265" s="1405"/>
      <c r="AR265" s="1405"/>
      <c r="AS265" s="1405"/>
      <c r="AT265" s="1405"/>
      <c r="AU265" s="1405"/>
      <c r="AV265" s="1405"/>
      <c r="AW265" s="1405"/>
      <c r="AX265" s="140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5"/>
      <c r="U266" s="1405"/>
      <c r="V266" s="1405"/>
      <c r="W266" s="1405"/>
      <c r="X266" s="1405"/>
      <c r="Y266" s="1405"/>
      <c r="Z266" s="1405"/>
      <c r="AA266"/>
      <c r="AB266"/>
      <c r="AC266"/>
      <c r="AD266"/>
      <c r="AE266"/>
      <c r="AF266"/>
      <c r="AG266"/>
      <c r="AH266"/>
      <c r="AI266"/>
      <c r="AJ266"/>
      <c r="AK266" s="1405"/>
      <c r="AL266" s="1405"/>
      <c r="AM266" s="1405"/>
      <c r="AN266" s="1405"/>
      <c r="AO266" s="1405"/>
      <c r="AP266" s="1405"/>
      <c r="AQ266" s="1405"/>
      <c r="AR266" s="1405"/>
      <c r="AS266" s="1405"/>
      <c r="AT266" s="1405"/>
      <c r="AU266" s="1405"/>
      <c r="AV266" s="1405"/>
      <c r="AW266" s="1405"/>
      <c r="AX266" s="140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5"/>
      <c r="U267" s="1405"/>
      <c r="V267" s="1405"/>
      <c r="W267" s="1405"/>
      <c r="X267" s="1405"/>
      <c r="Y267" s="1405"/>
      <c r="Z267" s="1405"/>
      <c r="AA267"/>
      <c r="AB267"/>
      <c r="AC267"/>
      <c r="AD267"/>
      <c r="AE267"/>
      <c r="AF267"/>
      <c r="AG267"/>
      <c r="AH267"/>
      <c r="AI267"/>
      <c r="AJ267"/>
      <c r="AK267" s="1405"/>
      <c r="AL267" s="1405"/>
      <c r="AM267" s="1405"/>
      <c r="AN267" s="1405"/>
      <c r="AO267" s="1405"/>
      <c r="AP267" s="1405"/>
      <c r="AQ267" s="1405"/>
      <c r="AR267" s="1405"/>
      <c r="AS267" s="1405"/>
      <c r="AT267" s="1405"/>
      <c r="AU267" s="1405"/>
      <c r="AV267" s="1405"/>
      <c r="AW267" s="1405"/>
      <c r="AX267" s="140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5"/>
      <c r="U268" s="1405"/>
      <c r="V268" s="1405"/>
      <c r="W268" s="1405"/>
      <c r="X268" s="1405"/>
      <c r="Y268" s="1405"/>
      <c r="Z268" s="1405"/>
      <c r="AA268"/>
      <c r="AB268"/>
      <c r="AC268"/>
      <c r="AD268"/>
      <c r="AE268"/>
      <c r="AF268"/>
      <c r="AG268"/>
      <c r="AH268"/>
      <c r="AI268"/>
      <c r="AJ268"/>
      <c r="AK268" s="1405"/>
      <c r="AL268" s="1405"/>
      <c r="AM268" s="1405"/>
      <c r="AN268" s="1405"/>
      <c r="AO268" s="1405"/>
      <c r="AP268" s="1405"/>
      <c r="AQ268" s="1405"/>
      <c r="AR268" s="1405"/>
      <c r="AS268" s="1405"/>
      <c r="AT268" s="1405"/>
      <c r="AU268" s="1405"/>
      <c r="AV268" s="1405"/>
      <c r="AW268" s="1405"/>
      <c r="AX268" s="140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5"/>
      <c r="U269" s="1405"/>
      <c r="V269" s="1405"/>
      <c r="W269" s="1405"/>
      <c r="X269" s="1405"/>
      <c r="Y269" s="1405"/>
      <c r="Z269" s="1405"/>
      <c r="AA269"/>
      <c r="AB269"/>
      <c r="AC269"/>
      <c r="AD269"/>
      <c r="AE269"/>
      <c r="AF269"/>
      <c r="AG269"/>
      <c r="AH269"/>
      <c r="AI269"/>
      <c r="AJ269"/>
      <c r="AK269" s="1405"/>
      <c r="AL269" s="1405"/>
      <c r="AM269" s="1405"/>
      <c r="AN269" s="1405"/>
      <c r="AO269" s="1405"/>
      <c r="AP269" s="1405"/>
      <c r="AQ269" s="1405"/>
      <c r="AR269" s="1405"/>
      <c r="AS269" s="1405"/>
      <c r="AT269" s="1405"/>
      <c r="AU269" s="1405"/>
      <c r="AV269" s="1405"/>
      <c r="AW269" s="1405"/>
      <c r="AX269" s="140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5"/>
      <c r="U270" s="1405"/>
      <c r="V270" s="1597"/>
      <c r="W270" s="1597"/>
      <c r="X270" s="1408" t="s">
        <v>659</v>
      </c>
      <c r="Y270" s="1408">
        <v>59301</v>
      </c>
      <c r="Z270" s="1408" t="s">
        <v>660</v>
      </c>
      <c r="AA270" s="1305" t="s">
        <v>661</v>
      </c>
      <c r="AB270" s="1305" t="s">
        <v>662</v>
      </c>
      <c r="AC270" s="1305" t="s">
        <v>663</v>
      </c>
      <c r="AD270" s="1305" t="s">
        <v>667</v>
      </c>
      <c r="AE270" t="s">
        <v>664</v>
      </c>
      <c r="AF270" t="s">
        <v>665</v>
      </c>
      <c r="AG270" s="1598" t="s">
        <v>666</v>
      </c>
      <c r="AH270" s="1598"/>
      <c r="AI270"/>
      <c r="AJ270"/>
      <c r="AK270" s="1405"/>
      <c r="AL270" s="1405"/>
      <c r="AM270" s="1405"/>
      <c r="AN270" s="1405"/>
      <c r="AO270" s="1405"/>
      <c r="AP270" s="1405"/>
      <c r="AQ270" s="1405"/>
      <c r="AR270" s="1405"/>
      <c r="AS270" s="1405"/>
      <c r="AT270" s="1405"/>
      <c r="AU270" s="1405"/>
      <c r="AV270" s="1405"/>
      <c r="AW270" s="1405"/>
      <c r="AX270" s="140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5"/>
      <c r="U271" s="1405"/>
      <c r="V271" s="1405"/>
      <c r="W271" s="1405"/>
      <c r="X271" s="1405" t="s">
        <v>668</v>
      </c>
      <c r="Y271" s="1405">
        <v>100</v>
      </c>
      <c r="Z271" s="140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05"/>
      <c r="AL271" s="1405"/>
      <c r="AM271" s="1405"/>
      <c r="AN271" s="1405"/>
      <c r="AO271" s="1405"/>
      <c r="AP271" s="1405"/>
      <c r="AQ271" s="1405"/>
      <c r="AR271" s="1405"/>
      <c r="AS271" s="1405"/>
      <c r="AT271" s="1405"/>
      <c r="AU271" s="1405"/>
      <c r="AV271" s="1405"/>
      <c r="AW271" s="1405"/>
      <c r="AX271" s="140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5"/>
      <c r="U272" s="1405"/>
      <c r="V272" s="1405"/>
      <c r="W272" s="1405"/>
      <c r="X272" s="1409" t="s">
        <v>669</v>
      </c>
      <c r="Y272" s="1409">
        <v>4</v>
      </c>
      <c r="Z272" s="1409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>
        <v>4.5</v>
      </c>
      <c r="AF272">
        <v>-0.5</v>
      </c>
      <c r="AG272">
        <v>0.2288</v>
      </c>
      <c r="AH272"/>
      <c r="AI272"/>
      <c r="AJ272"/>
      <c r="AK272" s="1405"/>
      <c r="AL272" s="1405"/>
      <c r="AM272" s="1405"/>
      <c r="AN272" s="1405"/>
      <c r="AO272" s="1405"/>
      <c r="AP272" s="1405"/>
      <c r="AQ272" s="1405"/>
      <c r="AR272" s="1405"/>
      <c r="AS272" s="1405"/>
      <c r="AT272" s="1405"/>
      <c r="AU272" s="1405"/>
      <c r="AV272" s="1405"/>
      <c r="AW272" s="1405"/>
      <c r="AX272" s="140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5"/>
      <c r="U273" s="1405"/>
      <c r="V273" s="1405"/>
      <c r="W273" s="1405"/>
      <c r="X273" s="1405" t="s">
        <v>670</v>
      </c>
      <c r="Y273" s="1405">
        <v>5</v>
      </c>
      <c r="Z273" s="140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05"/>
      <c r="AL273" s="1405"/>
      <c r="AM273" s="1405"/>
      <c r="AN273" s="1405"/>
      <c r="AO273" s="1405"/>
      <c r="AP273" s="1405"/>
      <c r="AQ273" s="1405"/>
      <c r="AR273" s="1405"/>
      <c r="AS273" s="1405"/>
      <c r="AT273" s="1405"/>
      <c r="AU273" s="1405"/>
      <c r="AV273" s="1405"/>
      <c r="AW273" s="1405"/>
      <c r="AX273" s="140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5"/>
      <c r="U274" s="1405"/>
      <c r="V274" s="1405"/>
      <c r="W274" s="1405"/>
      <c r="X274" s="1409" t="s">
        <v>671</v>
      </c>
      <c r="Y274" s="1409">
        <v>6</v>
      </c>
      <c r="Z274" s="1409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05"/>
      <c r="AL274" s="1405"/>
      <c r="AM274" s="1405"/>
      <c r="AN274" s="1405"/>
      <c r="AO274" s="1405"/>
      <c r="AP274" s="1405"/>
      <c r="AQ274" s="1405"/>
      <c r="AR274" s="1405"/>
      <c r="AS274" s="1405"/>
      <c r="AT274" s="1405"/>
      <c r="AU274" s="1405"/>
      <c r="AV274" s="1405"/>
      <c r="AW274" s="1405"/>
      <c r="AX274" s="140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5"/>
      <c r="U275" s="1405"/>
      <c r="V275" s="1405"/>
      <c r="W275" s="1405"/>
      <c r="X275" s="1405" t="s">
        <v>672</v>
      </c>
      <c r="Y275" s="1405">
        <v>7</v>
      </c>
      <c r="Z275" s="140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05"/>
      <c r="AL275" s="1405"/>
      <c r="AM275" s="1405"/>
      <c r="AN275" s="1405"/>
      <c r="AO275" s="1405"/>
      <c r="AP275" s="1405"/>
      <c r="AQ275" s="1405"/>
      <c r="AR275" s="1405"/>
      <c r="AS275" s="1405"/>
      <c r="AT275" s="1405"/>
      <c r="AU275" s="1405"/>
      <c r="AV275" s="1405"/>
      <c r="AW275" s="1405"/>
      <c r="AX275" s="140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5"/>
      <c r="U276" s="1405"/>
      <c r="V276" s="1405"/>
      <c r="W276" s="1405"/>
      <c r="X276" s="1409" t="s">
        <v>673</v>
      </c>
      <c r="Y276" s="1409">
        <v>8</v>
      </c>
      <c r="Z276" s="1409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05"/>
      <c r="AL276" s="1405"/>
      <c r="AM276" s="1405"/>
      <c r="AN276" s="1405"/>
      <c r="AO276" s="1405"/>
      <c r="AP276" s="1405"/>
      <c r="AQ276" s="1405"/>
      <c r="AR276" s="1405"/>
      <c r="AS276" s="1405"/>
      <c r="AT276" s="1405"/>
      <c r="AU276" s="1405"/>
      <c r="AV276" s="1405"/>
      <c r="AW276" s="1405"/>
      <c r="AX276" s="140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5"/>
      <c r="U277" s="1405"/>
      <c r="V277" s="1405"/>
      <c r="W277" s="1405"/>
      <c r="X277" s="1405" t="s">
        <v>674</v>
      </c>
      <c r="Y277" s="1405">
        <v>9</v>
      </c>
      <c r="Z277" s="140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05"/>
      <c r="AL277" s="1405"/>
      <c r="AM277" s="1405"/>
      <c r="AN277" s="1405"/>
      <c r="AO277" s="1405"/>
      <c r="AP277" s="1405"/>
      <c r="AQ277" s="1405"/>
      <c r="AR277" s="1405"/>
      <c r="AS277" s="1405"/>
      <c r="AT277" s="1405"/>
      <c r="AU277" s="1405"/>
      <c r="AV277" s="1405"/>
      <c r="AW277" s="1405"/>
      <c r="AX277" s="140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5"/>
      <c r="U278" s="1405"/>
      <c r="V278" s="1405"/>
      <c r="W278" s="1405"/>
      <c r="X278" s="1409" t="s">
        <v>675</v>
      </c>
      <c r="Y278" s="1409">
        <v>10</v>
      </c>
      <c r="Z278" s="1409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>
        <v>10.5</v>
      </c>
      <c r="AF278">
        <v>-0.5</v>
      </c>
      <c r="AG278">
        <v>0.246</v>
      </c>
      <c r="AH278"/>
      <c r="AI278"/>
      <c r="AJ278"/>
      <c r="AK278" s="1405"/>
      <c r="AL278" s="1405"/>
      <c r="AM278" s="1405"/>
      <c r="AN278" s="1405"/>
      <c r="AO278" s="1405"/>
      <c r="AP278" s="1405"/>
      <c r="AQ278" s="1405"/>
      <c r="AR278" s="1405"/>
      <c r="AS278" s="1405"/>
      <c r="AT278" s="1405"/>
      <c r="AU278" s="1405"/>
      <c r="AV278" s="1405"/>
      <c r="AW278" s="1405"/>
      <c r="AX278" s="140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5"/>
      <c r="U279" s="1405"/>
      <c r="V279" s="1405"/>
      <c r="W279" s="1405"/>
      <c r="X279" s="1405"/>
      <c r="Y279" s="1405"/>
      <c r="Z279" s="1405"/>
      <c r="AA279"/>
      <c r="AB279"/>
      <c r="AC279"/>
      <c r="AD279"/>
      <c r="AE279"/>
      <c r="AF279"/>
      <c r="AG279"/>
      <c r="AH279"/>
      <c r="AI279"/>
      <c r="AJ279"/>
      <c r="AK279" s="1405"/>
      <c r="AL279" s="1405"/>
      <c r="AM279" s="1405"/>
      <c r="AN279" s="1405"/>
      <c r="AO279" s="1405"/>
      <c r="AP279" s="1405"/>
      <c r="AQ279" s="1405"/>
      <c r="AR279" s="1405"/>
      <c r="AS279" s="1405"/>
      <c r="AT279" s="1405"/>
      <c r="AU279" s="1405"/>
      <c r="AV279" s="1405"/>
      <c r="AW279" s="1405"/>
      <c r="AX279" s="140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5"/>
      <c r="U280" s="1405"/>
      <c r="V280" s="1405"/>
      <c r="W280" s="1405"/>
      <c r="X280" s="1405"/>
      <c r="Y280" s="1405"/>
      <c r="Z280" s="1405"/>
      <c r="AA280"/>
      <c r="AB280"/>
      <c r="AC280"/>
      <c r="AD280"/>
      <c r="AE280"/>
      <c r="AF280"/>
      <c r="AG280"/>
      <c r="AH280"/>
      <c r="AI280"/>
      <c r="AJ280"/>
      <c r="AK280" s="1405"/>
      <c r="AL280" s="1405"/>
      <c r="AM280" s="1405"/>
      <c r="AN280" s="1405"/>
      <c r="AO280" s="1405"/>
      <c r="AP280" s="1405"/>
      <c r="AQ280" s="1405"/>
      <c r="AR280" s="1405"/>
      <c r="AS280" s="1405"/>
      <c r="AT280" s="1405"/>
      <c r="AU280" s="1405"/>
      <c r="AV280" s="1405"/>
      <c r="AW280" s="1405"/>
      <c r="AX280" s="140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5"/>
      <c r="U281" s="1405"/>
      <c r="V281" s="1405"/>
      <c r="W281" s="1405"/>
      <c r="X281" s="1405"/>
      <c r="Y281" s="1405"/>
      <c r="Z281" s="1405"/>
      <c r="AA281"/>
      <c r="AB281"/>
      <c r="AC281"/>
      <c r="AD281"/>
      <c r="AE281"/>
      <c r="AF281"/>
      <c r="AG281"/>
      <c r="AH281"/>
      <c r="AI281"/>
      <c r="AJ281"/>
      <c r="AK281" s="1405"/>
      <c r="AL281" s="1405"/>
      <c r="AM281" s="1405"/>
      <c r="AN281" s="1405"/>
      <c r="AO281" s="1405"/>
      <c r="AP281" s="1405"/>
      <c r="AQ281" s="1405"/>
      <c r="AR281" s="1405"/>
      <c r="AS281" s="1405"/>
      <c r="AT281" s="1405"/>
      <c r="AU281" s="1405"/>
      <c r="AV281" s="1405"/>
      <c r="AW281" s="1405"/>
      <c r="AX281" s="140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5"/>
      <c r="U282" s="1405"/>
      <c r="V282" s="1405"/>
      <c r="W282" s="1405"/>
      <c r="X282" s="1405"/>
      <c r="Y282" s="1405"/>
      <c r="Z282" s="1405"/>
      <c r="AA282"/>
      <c r="AB282"/>
      <c r="AC282"/>
      <c r="AD282"/>
      <c r="AE282"/>
      <c r="AF282"/>
      <c r="AG282"/>
      <c r="AH282"/>
      <c r="AI282"/>
      <c r="AJ282"/>
      <c r="AK282" s="1405"/>
      <c r="AL282" s="1405"/>
      <c r="AM282" s="1405"/>
      <c r="AN282" s="1405"/>
      <c r="AO282" s="1405"/>
      <c r="AP282" s="1405"/>
      <c r="AQ282" s="1405"/>
      <c r="AR282" s="1405"/>
      <c r="AS282" s="1405"/>
      <c r="AT282" s="1405"/>
      <c r="AU282" s="1405"/>
      <c r="AV282" s="1405"/>
      <c r="AW282" s="1405"/>
      <c r="AX282" s="140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5"/>
      <c r="U283" s="1405"/>
      <c r="V283" s="1405"/>
      <c r="W283" s="1405"/>
      <c r="X283" s="1405"/>
      <c r="Y283" s="1405"/>
      <c r="Z283" s="1405"/>
      <c r="AA283"/>
      <c r="AB283"/>
      <c r="AC283"/>
      <c r="AD283"/>
      <c r="AE283"/>
      <c r="AF283"/>
      <c r="AG283"/>
      <c r="AH283"/>
      <c r="AI283"/>
      <c r="AJ283"/>
      <c r="AK283" s="1405"/>
      <c r="AL283" s="1405"/>
      <c r="AM283" s="1405"/>
      <c r="AN283" s="1405"/>
      <c r="AO283" s="1405"/>
      <c r="AP283" s="1405"/>
      <c r="AQ283" s="1405"/>
      <c r="AR283" s="1405"/>
      <c r="AS283" s="1405"/>
      <c r="AT283" s="1405"/>
      <c r="AU283" s="1405"/>
      <c r="AV283" s="1405"/>
      <c r="AW283" s="1405"/>
      <c r="AX283" s="140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5"/>
      <c r="U284" s="1405"/>
      <c r="V284" s="1405"/>
      <c r="W284" s="1405"/>
      <c r="X284" s="1405"/>
      <c r="Y284" s="1405"/>
      <c r="Z284" s="1405"/>
      <c r="AA284"/>
      <c r="AB284"/>
      <c r="AC284"/>
      <c r="AD284"/>
      <c r="AE284"/>
      <c r="AF284"/>
      <c r="AG284"/>
      <c r="AH284"/>
      <c r="AI284"/>
      <c r="AJ284"/>
      <c r="AK284" s="1405"/>
      <c r="AL284" s="1405"/>
      <c r="AM284" s="1405"/>
      <c r="AN284" s="1405"/>
      <c r="AO284" s="1405"/>
      <c r="AP284" s="1405"/>
      <c r="AQ284" s="1405"/>
      <c r="AR284" s="1405"/>
      <c r="AS284" s="1405"/>
      <c r="AT284" s="1405"/>
      <c r="AU284" s="1405"/>
      <c r="AV284" s="1405"/>
      <c r="AW284" s="1405"/>
      <c r="AX284" s="140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5"/>
      <c r="U285" s="1405"/>
      <c r="V285" s="1405"/>
      <c r="W285" s="1405"/>
      <c r="X285" s="1405"/>
      <c r="Y285" s="1405"/>
      <c r="Z285" s="1405"/>
      <c r="AA285"/>
      <c r="AB285"/>
      <c r="AC285"/>
      <c r="AD285"/>
      <c r="AE285"/>
      <c r="AF285"/>
      <c r="AG285"/>
      <c r="AH285"/>
      <c r="AI285"/>
      <c r="AJ285"/>
      <c r="AK285" s="1405"/>
      <c r="AL285" s="1405"/>
      <c r="AM285" s="1405"/>
      <c r="AN285" s="1405"/>
      <c r="AO285" s="1405"/>
      <c r="AP285" s="1405"/>
      <c r="AQ285" s="1405"/>
      <c r="AR285" s="1405"/>
      <c r="AS285" s="1405"/>
      <c r="AT285" s="1405"/>
      <c r="AU285" s="1405"/>
      <c r="AV285" s="1405"/>
      <c r="AW285" s="1405"/>
      <c r="AX285" s="140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5"/>
      <c r="U286" s="1405"/>
      <c r="V286" s="1405"/>
      <c r="W286" s="1405"/>
      <c r="X286" s="1405"/>
      <c r="Y286" s="1405"/>
      <c r="AC286"/>
      <c r="AD286"/>
      <c r="AE286"/>
      <c r="AF286"/>
      <c r="AG286"/>
      <c r="AH286"/>
      <c r="AI286"/>
      <c r="AJ286"/>
      <c r="AK286" s="1405"/>
      <c r="AL286" s="1405"/>
      <c r="AM286" s="1405"/>
      <c r="AN286" s="1405"/>
      <c r="AO286" s="1405"/>
      <c r="AP286" s="1405"/>
      <c r="AQ286" s="1405"/>
      <c r="AR286" s="1405"/>
      <c r="AS286" s="1405"/>
      <c r="AT286" s="1405"/>
      <c r="AU286" s="1405"/>
      <c r="AV286" s="1405"/>
      <c r="AW286" s="1405"/>
      <c r="AX286" s="140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5"/>
      <c r="U287" s="1405"/>
      <c r="V287" s="1405"/>
      <c r="W287" s="1405"/>
      <c r="X287" s="1405"/>
      <c r="Y287" s="1405"/>
      <c r="AC287"/>
      <c r="AD287"/>
      <c r="AE287"/>
      <c r="AF287"/>
      <c r="AG287"/>
      <c r="AH287"/>
      <c r="AI287"/>
      <c r="AJ287"/>
      <c r="AK287" s="1405"/>
      <c r="AL287" s="1405"/>
      <c r="AM287" s="1405"/>
      <c r="AN287" s="1405"/>
      <c r="AO287" s="1405"/>
      <c r="AP287" s="1405"/>
      <c r="AQ287" s="1405"/>
      <c r="AR287" s="1405"/>
      <c r="AS287" s="1405"/>
      <c r="AT287" s="1405"/>
      <c r="AU287" s="1405"/>
      <c r="AV287" s="1405"/>
      <c r="AW287" s="1405"/>
      <c r="AX287" s="140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5"/>
      <c r="U288" s="1405"/>
      <c r="V288" s="1405"/>
      <c r="W288" s="1405"/>
      <c r="X288" s="1405"/>
      <c r="Y288" s="1405"/>
      <c r="AC288"/>
      <c r="AD288"/>
      <c r="AE288"/>
      <c r="AF288"/>
      <c r="AG288"/>
      <c r="AH288"/>
      <c r="AI288"/>
      <c r="AJ288"/>
      <c r="AK288" s="1405"/>
      <c r="AL288" s="1405"/>
      <c r="AM288" s="1405"/>
      <c r="AN288" s="1405"/>
      <c r="AO288" s="1405"/>
      <c r="AP288" s="1405"/>
      <c r="AQ288" s="1405"/>
      <c r="AR288" s="1405"/>
      <c r="AS288" s="1405"/>
      <c r="AT288" s="1405"/>
      <c r="AU288" s="1405"/>
      <c r="AV288" s="1405"/>
      <c r="AW288" s="1405"/>
      <c r="AX288" s="140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5"/>
      <c r="U289" s="1405"/>
      <c r="V289" s="1405"/>
      <c r="W289" s="1405"/>
      <c r="X289" s="1405"/>
      <c r="Y289" s="1405"/>
      <c r="Z289" s="1405"/>
      <c r="AA289"/>
      <c r="AB289"/>
      <c r="AC289"/>
      <c r="AD289"/>
      <c r="AE289"/>
      <c r="AF289"/>
      <c r="AG289"/>
      <c r="AH289"/>
      <c r="AI289"/>
      <c r="AJ289"/>
      <c r="AK289" s="1405"/>
      <c r="AL289" s="1405"/>
      <c r="AM289" s="1405"/>
      <c r="AN289" s="1405"/>
      <c r="AO289" s="1405"/>
      <c r="AP289" s="1405"/>
      <c r="AQ289" s="1405"/>
      <c r="AR289" s="1405"/>
      <c r="AS289" s="1405"/>
      <c r="AT289" s="1405"/>
      <c r="AU289" s="1405"/>
      <c r="AV289" s="1405"/>
      <c r="AW289" s="1405"/>
      <c r="AX289" s="140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5"/>
      <c r="U290" s="1405"/>
      <c r="V290" s="1405"/>
      <c r="W290" s="1405"/>
      <c r="X290" s="1405"/>
      <c r="Y290" s="1405"/>
      <c r="Z290" s="1405"/>
      <c r="AA290"/>
      <c r="AB290"/>
      <c r="AC290"/>
      <c r="AD290"/>
      <c r="AE290"/>
      <c r="AF290"/>
      <c r="AG290"/>
      <c r="AH290"/>
      <c r="AI290"/>
      <c r="AJ290"/>
      <c r="AK290" s="1405"/>
      <c r="AL290" s="1405"/>
      <c r="AM290" s="1405"/>
      <c r="AN290" s="1405"/>
      <c r="AO290" s="1405"/>
      <c r="AP290" s="1405"/>
      <c r="AQ290" s="1405"/>
      <c r="AR290" s="1405"/>
      <c r="AS290" s="1405"/>
      <c r="AT290" s="1405"/>
      <c r="AU290" s="1405"/>
      <c r="AV290" s="1405"/>
      <c r="AW290" s="1405"/>
      <c r="AX290" s="140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5"/>
      <c r="U291" s="1405"/>
      <c r="V291" s="1405"/>
      <c r="W291" s="1405"/>
      <c r="X291" s="1405"/>
      <c r="Y291" s="1405"/>
      <c r="Z291" s="1405"/>
      <c r="AA291"/>
      <c r="AB291"/>
      <c r="AC291"/>
      <c r="AD291"/>
      <c r="AE291"/>
      <c r="AF291"/>
      <c r="AG291"/>
      <c r="AH291"/>
      <c r="AI291"/>
      <c r="AJ291"/>
      <c r="AK291" s="1405"/>
      <c r="AL291" s="1405"/>
      <c r="AM291" s="1405"/>
      <c r="AN291" s="1405"/>
      <c r="AO291" s="1405"/>
      <c r="AP291" s="1405"/>
      <c r="AQ291" s="1405"/>
      <c r="AR291" s="1405"/>
      <c r="AS291" s="1405"/>
      <c r="AT291" s="1405"/>
      <c r="AU291" s="1405"/>
      <c r="AV291" s="1405"/>
      <c r="AW291" s="1405"/>
      <c r="AX291" s="140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5"/>
      <c r="U292" s="1405"/>
      <c r="V292" s="1405"/>
      <c r="W292" s="1405"/>
      <c r="X292" s="1405"/>
      <c r="Y292" s="1405"/>
      <c r="Z292" s="1405"/>
      <c r="AA292"/>
      <c r="AB292"/>
      <c r="AC292"/>
      <c r="AD292"/>
      <c r="AE292"/>
      <c r="AF292"/>
      <c r="AG292"/>
      <c r="AH292"/>
      <c r="AI292"/>
      <c r="AJ292"/>
      <c r="AK292" s="1405"/>
      <c r="AL292" s="1405"/>
      <c r="AM292" s="1405"/>
      <c r="AN292" s="1405"/>
      <c r="AO292" s="1405"/>
      <c r="AP292" s="1405"/>
      <c r="AQ292" s="1405"/>
      <c r="AR292" s="1405"/>
      <c r="AS292" s="1405"/>
      <c r="AT292" s="1405"/>
      <c r="AU292" s="1405"/>
      <c r="AV292" s="1405"/>
      <c r="AW292" s="1405"/>
      <c r="AX292" s="140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5"/>
      <c r="U293" s="1405"/>
      <c r="V293" s="1405"/>
      <c r="W293" s="1405"/>
      <c r="X293" s="1405"/>
      <c r="Y293" s="1405"/>
      <c r="Z293" s="1405"/>
      <c r="AA293"/>
      <c r="AB293"/>
      <c r="AC293"/>
      <c r="AD293"/>
      <c r="AE293"/>
      <c r="AF293"/>
      <c r="AG293"/>
      <c r="AH293"/>
      <c r="AI293"/>
      <c r="AJ293"/>
      <c r="AK293" s="1405"/>
      <c r="AL293" s="1405"/>
      <c r="AM293" s="1405"/>
      <c r="AN293" s="1405"/>
      <c r="AO293" s="1405"/>
      <c r="AP293" s="1405"/>
      <c r="AQ293" s="1405"/>
      <c r="AR293" s="1405"/>
      <c r="AS293" s="1405"/>
      <c r="AT293" s="1405"/>
      <c r="AU293" s="1405"/>
      <c r="AV293" s="1405"/>
      <c r="AW293" s="1405"/>
      <c r="AX293" s="140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5"/>
      <c r="U294" s="1405"/>
      <c r="V294" s="1405"/>
      <c r="W294" s="1405"/>
      <c r="X294" s="1405"/>
      <c r="Y294" s="1405"/>
      <c r="Z294" s="1405"/>
      <c r="AA294"/>
      <c r="AB294"/>
      <c r="AC294"/>
      <c r="AD294"/>
      <c r="AE294"/>
      <c r="AF294"/>
      <c r="AG294"/>
      <c r="AH294"/>
      <c r="AI294"/>
      <c r="AJ294"/>
      <c r="AK294" s="1405"/>
      <c r="AL294" s="1405"/>
      <c r="AM294" s="1405"/>
      <c r="AN294" s="1405"/>
      <c r="AO294" s="1405"/>
      <c r="AP294" s="1405"/>
      <c r="AQ294" s="1405"/>
      <c r="AR294" s="1405"/>
      <c r="AS294" s="1405"/>
      <c r="AT294" s="1405"/>
      <c r="AU294" s="1405"/>
      <c r="AV294" s="1405"/>
      <c r="AW294" s="1405"/>
      <c r="AX294" s="140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5"/>
      <c r="U295" s="1405"/>
      <c r="V295" s="1405"/>
      <c r="W295" s="1405"/>
      <c r="X295" s="1405"/>
      <c r="Y295" s="1405"/>
      <c r="Z295" s="1405"/>
      <c r="AA295"/>
      <c r="AB295"/>
      <c r="AC295"/>
      <c r="AD295"/>
      <c r="AE295"/>
      <c r="AF295"/>
      <c r="AG295"/>
      <c r="AH295"/>
      <c r="AI295"/>
      <c r="AJ295"/>
      <c r="AK295" s="1405"/>
      <c r="AL295" s="1405"/>
      <c r="AM295" s="1405"/>
      <c r="AN295" s="1405"/>
      <c r="AO295" s="1405"/>
      <c r="AP295" s="1405"/>
      <c r="AQ295" s="1405"/>
      <c r="AR295" s="1405"/>
      <c r="AS295" s="1405"/>
      <c r="AT295" s="1405"/>
      <c r="AU295" s="1405"/>
      <c r="AV295" s="1405"/>
      <c r="AW295" s="1405"/>
      <c r="AX295" s="140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5"/>
      <c r="U296" s="1405"/>
      <c r="V296" s="1405"/>
      <c r="W296" s="1405"/>
      <c r="X296" s="1405"/>
      <c r="Y296" s="1405"/>
      <c r="Z296" s="1405"/>
      <c r="AA296"/>
      <c r="AB296"/>
      <c r="AC296"/>
      <c r="AD296"/>
      <c r="AE296"/>
      <c r="AF296"/>
      <c r="AG296"/>
      <c r="AH296"/>
      <c r="AI296"/>
      <c r="AJ296"/>
      <c r="AK296" s="1405"/>
      <c r="AL296" s="1405"/>
      <c r="AM296" s="1405"/>
      <c r="AN296" s="1405"/>
      <c r="AO296" s="1405"/>
      <c r="AP296" s="1405"/>
      <c r="AQ296" s="1405"/>
      <c r="AR296" s="1405"/>
      <c r="AS296" s="1405"/>
      <c r="AT296" s="1405"/>
      <c r="AU296" s="1405"/>
      <c r="AV296" s="1405"/>
      <c r="AW296" s="1405"/>
      <c r="AX296" s="140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5"/>
      <c r="U297" s="1405"/>
      <c r="V297" s="1405"/>
      <c r="W297" s="1405"/>
      <c r="X297" s="1405"/>
      <c r="Y297" s="1405"/>
      <c r="Z297" s="1405"/>
      <c r="AA297"/>
      <c r="AB297"/>
      <c r="AC297"/>
      <c r="AD297"/>
      <c r="AE297"/>
      <c r="AF297"/>
      <c r="AG297"/>
      <c r="AH297"/>
      <c r="AI297"/>
      <c r="AJ297"/>
      <c r="AK297" s="1405"/>
      <c r="AL297" s="1405"/>
      <c r="AM297" s="1405"/>
      <c r="AN297" s="1405"/>
      <c r="AO297" s="1405"/>
      <c r="AP297" s="1405"/>
      <c r="AQ297" s="1405"/>
      <c r="AR297" s="1405"/>
      <c r="AS297" s="1405"/>
      <c r="AT297" s="1405"/>
      <c r="AU297" s="1405"/>
      <c r="AV297" s="1405"/>
      <c r="AW297" s="1405"/>
      <c r="AX297" s="140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5"/>
      <c r="U298" s="1405"/>
      <c r="V298" s="1405"/>
      <c r="W298" s="1405"/>
      <c r="X298" s="1405"/>
      <c r="Y298" s="1405"/>
      <c r="Z298" s="1405"/>
      <c r="AA298"/>
      <c r="AB298"/>
      <c r="AC298"/>
      <c r="AD298"/>
      <c r="AE298"/>
      <c r="AF298"/>
      <c r="AG298"/>
      <c r="AH298"/>
      <c r="AI298"/>
      <c r="AJ298"/>
      <c r="AK298" s="1405"/>
      <c r="AL298" s="1405"/>
      <c r="AM298" s="1405"/>
      <c r="AN298" s="1405"/>
      <c r="AO298" s="1405"/>
      <c r="AP298" s="1405"/>
      <c r="AQ298" s="1405"/>
      <c r="AR298" s="1405"/>
      <c r="AS298" s="1405"/>
      <c r="AT298" s="1405"/>
      <c r="AU298" s="1405"/>
      <c r="AV298" s="1405"/>
      <c r="AW298" s="1405"/>
      <c r="AX298" s="140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5"/>
      <c r="U299" s="1405"/>
      <c r="V299" s="1405"/>
      <c r="W299" s="1405"/>
      <c r="X299" s="1405"/>
      <c r="Y299" s="1405"/>
      <c r="Z299" s="1405"/>
      <c r="AA299"/>
      <c r="AB299"/>
      <c r="AC299"/>
      <c r="AD299"/>
      <c r="AE299"/>
      <c r="AF299"/>
      <c r="AG299"/>
      <c r="AH299"/>
      <c r="AI299"/>
      <c r="AJ299"/>
      <c r="AK299" s="1405"/>
      <c r="AL299" s="1405"/>
      <c r="AM299" s="1405"/>
      <c r="AN299" s="1405"/>
      <c r="AO299" s="1405"/>
      <c r="AP299" s="1405"/>
      <c r="AQ299" s="1405"/>
      <c r="AR299" s="1405"/>
      <c r="AS299" s="1405"/>
      <c r="AT299" s="1405"/>
      <c r="AU299" s="1405"/>
      <c r="AV299" s="1405"/>
      <c r="AW299" s="1405"/>
      <c r="AX299" s="140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5"/>
      <c r="U300" s="1405"/>
      <c r="V300" s="1405"/>
      <c r="W300" s="1405"/>
      <c r="X300" s="1405"/>
      <c r="Y300" s="1405"/>
      <c r="Z300" s="1405"/>
      <c r="AA300"/>
      <c r="AB300"/>
      <c r="AC300"/>
      <c r="AD300"/>
      <c r="AE300"/>
      <c r="AF300"/>
      <c r="AG300"/>
      <c r="AH300"/>
      <c r="AI300"/>
      <c r="AJ300"/>
      <c r="AK300" s="1405"/>
      <c r="AL300" s="1405"/>
      <c r="AM300" s="1405"/>
      <c r="AN300" s="1405"/>
      <c r="AO300" s="1405"/>
      <c r="AP300" s="1405"/>
      <c r="AQ300" s="1405"/>
      <c r="AR300" s="1405"/>
      <c r="AS300" s="1405"/>
      <c r="AT300" s="1405"/>
      <c r="AU300" s="1405"/>
      <c r="AV300" s="1405"/>
      <c r="AW300" s="1405"/>
      <c r="AX300" s="140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5"/>
      <c r="U301" s="1405"/>
      <c r="V301" s="1405"/>
      <c r="W301" s="1405"/>
      <c r="X301" s="1405"/>
      <c r="Y301" s="1405"/>
      <c r="Z301" s="1405"/>
      <c r="AA301"/>
      <c r="AB301"/>
      <c r="AC301"/>
      <c r="AD301"/>
      <c r="AE301"/>
      <c r="AF301"/>
      <c r="AG301"/>
      <c r="AH301"/>
      <c r="AI301"/>
      <c r="AJ301"/>
      <c r="AK301" s="1405"/>
      <c r="AL301" s="1405"/>
      <c r="AM301" s="1405"/>
      <c r="AN301" s="1405"/>
      <c r="AO301" s="1405"/>
      <c r="AP301" s="1405"/>
      <c r="AQ301" s="1405"/>
      <c r="AR301" s="1405"/>
      <c r="AS301" s="1405"/>
      <c r="AT301" s="1405"/>
      <c r="AU301" s="1405"/>
      <c r="AV301" s="1405"/>
      <c r="AW301" s="1405"/>
      <c r="AX301" s="140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5"/>
      <c r="U302" s="1405"/>
      <c r="V302" s="1405"/>
      <c r="W302" s="1405"/>
      <c r="X302" s="1405"/>
      <c r="Y302" s="1405"/>
      <c r="Z302" s="1405"/>
      <c r="AA302"/>
      <c r="AB302"/>
      <c r="AC302"/>
      <c r="AD302"/>
      <c r="AE302"/>
      <c r="AF302"/>
      <c r="AG302"/>
      <c r="AH302"/>
      <c r="AI302"/>
      <c r="AJ302"/>
      <c r="AK302" s="1405"/>
      <c r="AL302" s="1405"/>
      <c r="AM302" s="1405"/>
      <c r="AN302" s="1405"/>
      <c r="AO302" s="1405"/>
      <c r="AP302" s="1405"/>
      <c r="AQ302" s="1405"/>
      <c r="AR302" s="1405"/>
      <c r="AS302" s="1405"/>
      <c r="AT302" s="1405"/>
      <c r="AU302" s="1405"/>
      <c r="AV302" s="1405"/>
      <c r="AW302" s="1405"/>
      <c r="AX302" s="140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5"/>
      <c r="U303" s="1405"/>
      <c r="V303" s="1405"/>
      <c r="W303" s="1405"/>
      <c r="X303" s="1405"/>
      <c r="Y303" s="1405"/>
      <c r="Z303" s="1405"/>
      <c r="AA303"/>
      <c r="AB303"/>
      <c r="AC303"/>
      <c r="AD303"/>
      <c r="AE303"/>
      <c r="AF303"/>
      <c r="AG303"/>
      <c r="AH303"/>
      <c r="AI303"/>
      <c r="AJ303"/>
      <c r="AK303" s="1405"/>
      <c r="AL303" s="1405"/>
      <c r="AM303" s="1405"/>
      <c r="AN303" s="1405"/>
      <c r="AO303" s="1405"/>
      <c r="AP303" s="1405"/>
      <c r="AQ303" s="1405"/>
      <c r="AR303" s="1405"/>
      <c r="AS303" s="1405"/>
      <c r="AT303" s="1405"/>
      <c r="AU303" s="1405"/>
      <c r="AV303" s="1405"/>
      <c r="AW303" s="1405"/>
      <c r="AX303" s="140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5"/>
      <c r="U304" s="1405"/>
      <c r="V304" s="1405"/>
      <c r="W304" s="1405"/>
      <c r="X304" s="1405"/>
      <c r="Y304" s="1405"/>
      <c r="Z304" s="1405"/>
      <c r="AA304"/>
      <c r="AB304"/>
      <c r="AC304"/>
      <c r="AD304"/>
      <c r="AE304"/>
      <c r="AF304"/>
      <c r="AG304"/>
      <c r="AH304"/>
      <c r="AI304"/>
      <c r="AJ304"/>
      <c r="AK304" s="1405"/>
      <c r="AL304" s="1405"/>
      <c r="AM304" s="1405"/>
      <c r="AN304" s="1405"/>
      <c r="AO304" s="1405"/>
      <c r="AP304" s="1405"/>
      <c r="AQ304" s="1405"/>
      <c r="AR304" s="1405"/>
      <c r="AS304" s="1405"/>
      <c r="AT304" s="1405"/>
      <c r="AU304" s="1405"/>
      <c r="AV304" s="1405"/>
      <c r="AW304" s="1405"/>
      <c r="AX304" s="140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5"/>
      <c r="U305" s="1405"/>
      <c r="V305" s="1405"/>
      <c r="W305" s="1405"/>
      <c r="X305" s="1405"/>
      <c r="Y305" s="1405"/>
      <c r="Z305" s="1405"/>
      <c r="AA305"/>
      <c r="AB305"/>
      <c r="AC305"/>
      <c r="AD305"/>
      <c r="AE305"/>
      <c r="AF305"/>
      <c r="AG305"/>
      <c r="AH305"/>
      <c r="AI305"/>
      <c r="AJ305"/>
      <c r="AK305" s="1405"/>
      <c r="AL305" s="1405"/>
      <c r="AM305" s="1405"/>
      <c r="AN305" s="1405"/>
      <c r="AO305" s="1405"/>
      <c r="AP305" s="1405"/>
      <c r="AQ305" s="1405"/>
      <c r="AR305" s="1405"/>
      <c r="AS305" s="1405"/>
      <c r="AT305" s="1405"/>
      <c r="AU305" s="1405"/>
      <c r="AV305" s="1405"/>
      <c r="AW305" s="1405"/>
      <c r="AX305" s="14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5"/>
      <c r="U306" s="1405"/>
      <c r="V306" s="1405"/>
      <c r="W306" s="1405"/>
      <c r="X306" s="1405"/>
      <c r="Y306" s="1405"/>
      <c r="Z306" s="1405"/>
      <c r="AA306"/>
      <c r="AB306"/>
      <c r="AC306"/>
      <c r="AD306"/>
      <c r="AE306"/>
      <c r="AF306"/>
      <c r="AG306"/>
      <c r="AH306"/>
      <c r="AI306"/>
      <c r="AJ306"/>
      <c r="AK306" s="1405"/>
      <c r="AL306" s="1405"/>
      <c r="AM306" s="1405"/>
      <c r="AN306" s="1405"/>
      <c r="AO306" s="1405"/>
      <c r="AP306" s="1405"/>
      <c r="AQ306" s="1405"/>
      <c r="AR306" s="1405"/>
      <c r="AS306" s="1405"/>
      <c r="AT306" s="1405"/>
      <c r="AU306" s="1405"/>
      <c r="AV306" s="1405"/>
      <c r="AW306" s="1405"/>
      <c r="AX306" s="140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5"/>
      <c r="U307" s="1405"/>
      <c r="V307" s="1405"/>
      <c r="W307" s="1405"/>
      <c r="X307" s="1405"/>
      <c r="Y307" s="1405"/>
      <c r="Z307" s="1405"/>
      <c r="AA307"/>
      <c r="AB307"/>
      <c r="AC307"/>
      <c r="AD307"/>
      <c r="AE307"/>
      <c r="AF307"/>
      <c r="AG307"/>
      <c r="AH307"/>
      <c r="AI307"/>
      <c r="AJ307"/>
      <c r="AK307" s="1405"/>
      <c r="AL307" s="1405"/>
      <c r="AM307" s="1405"/>
      <c r="AN307" s="1405"/>
      <c r="AO307" s="1405"/>
      <c r="AP307" s="1405"/>
      <c r="AQ307" s="1405"/>
      <c r="AR307" s="1405"/>
      <c r="AS307" s="1405"/>
      <c r="AT307" s="1405"/>
      <c r="AU307" s="1405"/>
      <c r="AV307" s="1405"/>
      <c r="AW307" s="1405"/>
      <c r="AX307" s="140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5"/>
      <c r="U308" s="1405"/>
      <c r="V308" s="1405"/>
      <c r="W308" s="1405"/>
      <c r="X308" s="1405"/>
      <c r="Y308" s="1405"/>
      <c r="Z308" s="1405"/>
      <c r="AA308"/>
      <c r="AB308"/>
      <c r="AC308"/>
      <c r="AD308"/>
      <c r="AE308"/>
      <c r="AF308"/>
      <c r="AG308"/>
      <c r="AH308"/>
      <c r="AI308"/>
      <c r="AJ308"/>
      <c r="AK308" s="1405"/>
      <c r="AL308" s="1405"/>
      <c r="AM308" s="1405"/>
      <c r="AN308" s="1405"/>
      <c r="AO308" s="1405"/>
      <c r="AP308" s="1405"/>
      <c r="AQ308" s="1405"/>
      <c r="AR308" s="1405"/>
      <c r="AS308" s="1405"/>
      <c r="AT308" s="1405"/>
      <c r="AU308" s="1405"/>
      <c r="AV308" s="1405"/>
      <c r="AW308" s="1405"/>
      <c r="AX308" s="140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5"/>
      <c r="U309" s="1405"/>
      <c r="V309" s="1405"/>
      <c r="W309" s="1405"/>
      <c r="X309" s="1405"/>
      <c r="Y309" s="1405"/>
      <c r="Z309" s="1405"/>
      <c r="AA309"/>
      <c r="AB309"/>
      <c r="AC309"/>
      <c r="AD309"/>
      <c r="AE309"/>
      <c r="AF309"/>
      <c r="AG309"/>
      <c r="AH309"/>
      <c r="AI309"/>
      <c r="AJ309"/>
      <c r="AK309" s="1405"/>
      <c r="AL309" s="1405"/>
      <c r="AM309" s="1405"/>
      <c r="AN309" s="1405"/>
      <c r="AO309" s="1405"/>
      <c r="AP309" s="1405"/>
      <c r="AQ309" s="1405"/>
      <c r="AR309" s="1405"/>
      <c r="AS309" s="1405"/>
      <c r="AT309" s="1405"/>
      <c r="AU309" s="1405"/>
      <c r="AV309" s="1405"/>
      <c r="AW309" s="1405"/>
      <c r="AX309" s="140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5"/>
      <c r="U310" s="1405"/>
      <c r="V310" s="1597"/>
      <c r="W310" s="1597"/>
      <c r="X310" s="1405"/>
      <c r="Y310" s="1405"/>
      <c r="Z310" s="1405"/>
      <c r="AA310"/>
      <c r="AB310"/>
      <c r="AC310"/>
      <c r="AD310"/>
      <c r="AE310"/>
      <c r="AF310"/>
      <c r="AG310" s="1598"/>
      <c r="AH310" s="1598"/>
      <c r="AI310"/>
      <c r="AJ310"/>
      <c r="AK310" s="1405"/>
      <c r="AL310" s="1405"/>
      <c r="AM310" s="1405"/>
      <c r="AN310" s="1405"/>
      <c r="AO310" s="1405"/>
      <c r="AP310" s="1405"/>
      <c r="AQ310" s="1405"/>
      <c r="AR310" s="1405"/>
      <c r="AS310" s="1405"/>
      <c r="AT310" s="1405"/>
      <c r="AU310" s="1405"/>
      <c r="AV310" s="1405"/>
      <c r="AW310" s="1405"/>
      <c r="AX310" s="140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5"/>
      <c r="U311" s="1405"/>
      <c r="V311" s="1405"/>
      <c r="W311" s="1405"/>
      <c r="X311" s="1405"/>
      <c r="Y311" s="1405"/>
      <c r="Z311" s="1405"/>
      <c r="AA311"/>
      <c r="AB311"/>
      <c r="AC311"/>
      <c r="AD311"/>
      <c r="AE311"/>
      <c r="AF311"/>
      <c r="AG311"/>
      <c r="AH311"/>
      <c r="AI311"/>
      <c r="AJ311"/>
      <c r="AK311" s="1405"/>
      <c r="AL311" s="1405"/>
      <c r="AM311" s="1405"/>
      <c r="AN311" s="1405"/>
      <c r="AO311" s="1405"/>
      <c r="AP311" s="1405"/>
      <c r="AQ311" s="1405"/>
      <c r="AR311" s="1405"/>
      <c r="AS311" s="1405"/>
      <c r="AT311" s="1405"/>
      <c r="AU311" s="1405"/>
      <c r="AV311" s="1405"/>
      <c r="AW311" s="1405"/>
      <c r="AX311" s="140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5"/>
      <c r="U312" s="1405"/>
      <c r="V312" s="1405"/>
      <c r="W312" s="1405"/>
      <c r="X312" s="1405"/>
      <c r="Y312" s="1405"/>
      <c r="Z312" s="1405"/>
      <c r="AA312"/>
      <c r="AB312"/>
      <c r="AC312"/>
      <c r="AD312"/>
      <c r="AE312"/>
      <c r="AF312"/>
      <c r="AG312"/>
      <c r="AH312"/>
      <c r="AI312"/>
      <c r="AJ312"/>
      <c r="AK312" s="1405"/>
      <c r="AL312" s="1405"/>
      <c r="AM312" s="1405"/>
      <c r="AN312" s="1405"/>
      <c r="AO312" s="1405"/>
      <c r="AP312" s="1405"/>
      <c r="AQ312" s="1405"/>
      <c r="AR312" s="1405"/>
      <c r="AS312" s="1405"/>
      <c r="AT312" s="1405"/>
      <c r="AU312" s="1405"/>
      <c r="AV312" s="1405"/>
      <c r="AW312" s="1405"/>
      <c r="AX312" s="140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5"/>
      <c r="U313" s="1405"/>
      <c r="V313" s="1405"/>
      <c r="W313" s="1405"/>
      <c r="X313" s="1405"/>
      <c r="AB313"/>
      <c r="AC313"/>
      <c r="AD313"/>
      <c r="AE313"/>
      <c r="AF313"/>
      <c r="AG313"/>
      <c r="AH313"/>
      <c r="AI313"/>
      <c r="AJ313"/>
      <c r="AK313" s="1405"/>
      <c r="AL313" s="1405"/>
      <c r="AM313" s="1405"/>
      <c r="AN313" s="1405"/>
      <c r="AO313" s="1405"/>
      <c r="AP313" s="1405"/>
      <c r="AQ313" s="1405"/>
      <c r="AR313" s="1405"/>
      <c r="AS313" s="1405"/>
      <c r="AT313" s="1405"/>
      <c r="AU313" s="1405"/>
      <c r="AV313" s="1405"/>
      <c r="AW313" s="1405"/>
      <c r="AX313" s="140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5"/>
      <c r="U314" s="1405"/>
      <c r="V314" s="1405"/>
      <c r="W314" s="1405"/>
      <c r="X314" s="1405"/>
      <c r="AB314"/>
      <c r="AC314"/>
      <c r="AD314"/>
      <c r="AE314"/>
      <c r="AF314"/>
      <c r="AG314"/>
      <c r="AH314"/>
      <c r="AI314"/>
      <c r="AJ314"/>
      <c r="AK314" s="1405"/>
      <c r="AL314" s="1405"/>
      <c r="AM314" s="1405"/>
      <c r="AN314" s="1405"/>
      <c r="AO314" s="1405"/>
      <c r="AP314" s="1405"/>
      <c r="AQ314" s="1405"/>
      <c r="AR314" s="1405"/>
      <c r="AS314" s="1405"/>
      <c r="AT314" s="1405"/>
      <c r="AU314" s="1405"/>
      <c r="AV314" s="1405"/>
      <c r="AW314" s="1405"/>
      <c r="AX314" s="140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5"/>
      <c r="U315" s="1405"/>
      <c r="V315" s="1405"/>
      <c r="W315" s="1405"/>
      <c r="X315" s="1405"/>
      <c r="AB315"/>
      <c r="AC315"/>
      <c r="AD315"/>
      <c r="AE315"/>
      <c r="AF315"/>
      <c r="AG315"/>
      <c r="AH315"/>
      <c r="AI315"/>
      <c r="AJ315"/>
      <c r="AK315" s="1405"/>
      <c r="AL315" s="1405"/>
      <c r="AM315" s="1405"/>
      <c r="AN315" s="1405"/>
      <c r="AO315" s="1405"/>
      <c r="AP315" s="1405"/>
      <c r="AQ315" s="1405"/>
      <c r="AR315" s="1405"/>
      <c r="AS315" s="1405"/>
      <c r="AT315" s="1405"/>
      <c r="AU315" s="1405"/>
      <c r="AV315" s="1405"/>
      <c r="AW315" s="1405"/>
      <c r="AX315" s="140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5"/>
      <c r="U316" s="1405"/>
      <c r="V316" s="1405"/>
      <c r="W316" s="1405"/>
      <c r="X316" s="1405"/>
      <c r="Y316" s="1405"/>
      <c r="Z316" s="1405"/>
      <c r="AA316"/>
      <c r="AB316"/>
      <c r="AC316"/>
      <c r="AD316"/>
      <c r="AE316"/>
      <c r="AF316"/>
      <c r="AG316"/>
      <c r="AH316"/>
      <c r="AI316"/>
      <c r="AJ316"/>
      <c r="AK316" s="1405"/>
      <c r="AL316" s="1405"/>
      <c r="AM316" s="1405"/>
      <c r="AN316" s="1405"/>
      <c r="AO316" s="1405"/>
      <c r="AP316" s="1405"/>
      <c r="AQ316" s="1405"/>
      <c r="AR316" s="1405"/>
      <c r="AS316" s="1405"/>
      <c r="AT316" s="1405"/>
      <c r="AU316" s="1405"/>
      <c r="AV316" s="1405"/>
      <c r="AW316" s="1405"/>
      <c r="AX316" s="140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5"/>
      <c r="U317" s="1405"/>
      <c r="V317" s="1405"/>
      <c r="W317" s="1405"/>
      <c r="X317" s="1405"/>
      <c r="Y317" s="1405"/>
      <c r="Z317" s="1405"/>
      <c r="AA317"/>
      <c r="AB317"/>
      <c r="AC317"/>
      <c r="AD317"/>
      <c r="AE317"/>
      <c r="AF317"/>
      <c r="AG317"/>
      <c r="AH317"/>
      <c r="AI317"/>
      <c r="AJ317"/>
      <c r="AK317" s="1405"/>
      <c r="AL317" s="1405"/>
      <c r="AM317" s="1405"/>
      <c r="AN317" s="1405"/>
      <c r="AO317" s="1405"/>
      <c r="AP317" s="1405"/>
      <c r="AQ317" s="1405"/>
      <c r="AR317" s="1405"/>
      <c r="AS317" s="1405"/>
      <c r="AT317" s="1405"/>
      <c r="AU317" s="1405"/>
      <c r="AV317" s="1405"/>
      <c r="AW317" s="1405"/>
      <c r="AX317" s="140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5"/>
      <c r="U318" s="1405"/>
      <c r="V318" s="1405"/>
      <c r="W318" s="1405"/>
      <c r="X318" s="1405"/>
      <c r="Y318" s="1405"/>
      <c r="Z318" s="1405"/>
      <c r="AA318"/>
      <c r="AB318"/>
      <c r="AC318"/>
      <c r="AD318"/>
      <c r="AE318"/>
      <c r="AF318"/>
      <c r="AG318"/>
      <c r="AH318"/>
      <c r="AI318"/>
      <c r="AJ318"/>
      <c r="AK318" s="1405"/>
      <c r="AL318" s="1405"/>
      <c r="AM318" s="1405"/>
      <c r="AN318" s="1405"/>
      <c r="AO318" s="1405"/>
      <c r="AP318" s="1405"/>
      <c r="AQ318" s="1405"/>
      <c r="AR318" s="1405"/>
      <c r="AS318" s="1405"/>
      <c r="AT318" s="1405"/>
      <c r="AU318" s="1405"/>
      <c r="AV318" s="1405"/>
      <c r="AW318" s="1405"/>
      <c r="AX318" s="140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5"/>
      <c r="U319" s="1405"/>
      <c r="V319" s="1405"/>
      <c r="W319" s="1405"/>
      <c r="X319" s="1405"/>
      <c r="Y319" s="1405"/>
      <c r="Z319" s="1405"/>
      <c r="AA319"/>
      <c r="AB319"/>
      <c r="AC319"/>
      <c r="AD319"/>
      <c r="AE319"/>
      <c r="AF319"/>
      <c r="AG319"/>
      <c r="AH319"/>
      <c r="AI319"/>
      <c r="AJ319"/>
      <c r="AK319" s="1405"/>
      <c r="AL319" s="1405"/>
      <c r="AM319" s="1405"/>
      <c r="AN319" s="1405"/>
      <c r="AO319" s="1405"/>
      <c r="AP319" s="1405"/>
      <c r="AQ319" s="1405"/>
      <c r="AR319" s="1405"/>
      <c r="AS319" s="1405"/>
      <c r="AT319" s="1405"/>
      <c r="AU319" s="1405"/>
      <c r="AV319" s="1405"/>
      <c r="AW319" s="1405"/>
      <c r="AX319" s="140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9"/>
      <c r="O320" s="1360"/>
      <c r="P320" s="1360"/>
      <c r="Q320" s="1361"/>
      <c r="R320" s="1360"/>
      <c r="S320"/>
      <c r="T320" s="1405"/>
      <c r="U320" s="1405"/>
      <c r="V320" s="1405"/>
      <c r="W320" s="1405"/>
      <c r="AC320"/>
      <c r="AD320"/>
      <c r="AE320"/>
      <c r="AF320"/>
      <c r="AG320"/>
      <c r="AH320"/>
      <c r="AI320"/>
      <c r="AJ320"/>
      <c r="AK320" s="1405"/>
      <c r="AL320" s="1405"/>
      <c r="AM320" s="1405"/>
      <c r="AN320" s="1405"/>
      <c r="AO320" s="1405"/>
      <c r="AP320" s="1405"/>
      <c r="AQ320" s="1405"/>
      <c r="AR320" s="1405"/>
      <c r="AS320" s="1405"/>
      <c r="AT320" s="1405"/>
      <c r="AU320" s="1405"/>
      <c r="AV320" s="1405"/>
      <c r="AW320" s="1405"/>
      <c r="AX320" s="140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0"/>
      <c r="O321" s="1360"/>
      <c r="P321" s="1360"/>
      <c r="Q321" s="1361"/>
      <c r="R321" s="1362"/>
      <c r="S321"/>
      <c r="T321" s="1405"/>
      <c r="U321" s="1405"/>
      <c r="V321" s="1405"/>
      <c r="W321" s="1405"/>
      <c r="AC321"/>
      <c r="AD321"/>
      <c r="AE321"/>
      <c r="AF321"/>
      <c r="AG321"/>
      <c r="AH321"/>
      <c r="AI321"/>
      <c r="AJ321"/>
      <c r="AK321" s="1405"/>
      <c r="AL321" s="1405"/>
      <c r="AM321" s="1405"/>
      <c r="AN321" s="1405"/>
      <c r="AO321" s="1405"/>
      <c r="AP321" s="1405"/>
      <c r="AQ321" s="1405"/>
      <c r="AR321" s="1405"/>
      <c r="AS321" s="1405"/>
      <c r="AT321" s="1405"/>
      <c r="AU321" s="1405"/>
      <c r="AV321" s="1405"/>
      <c r="AW321" s="1405"/>
      <c r="AX321" s="1405"/>
    </row>
    <row r="322" spans="3:50" ht="12" customHeight="1">
      <c r="N322" s="1360"/>
      <c r="O322" s="1360"/>
      <c r="P322" s="1360"/>
      <c r="Q322" s="1361"/>
      <c r="R322" s="1362"/>
    </row>
    <row r="323" spans="3:50" ht="12" customHeight="1">
      <c r="N323" s="1360"/>
      <c r="O323" s="1360"/>
      <c r="P323" s="1360"/>
      <c r="Q323" s="1361"/>
      <c r="R323" s="1362"/>
    </row>
    <row r="324" spans="3:50" ht="12" customHeight="1">
      <c r="N324" s="1360"/>
      <c r="O324" s="1360"/>
      <c r="P324" s="1360"/>
      <c r="Q324" s="1361"/>
      <c r="R324" s="1362"/>
    </row>
    <row r="325" spans="3:50" ht="12" customHeight="1">
      <c r="N325" s="1360"/>
      <c r="O325" s="1360"/>
      <c r="P325" s="1360"/>
      <c r="Q325" s="1361"/>
      <c r="R325" s="1362"/>
    </row>
    <row r="326" spans="3:50" ht="12" customHeight="1">
      <c r="N326" s="1360"/>
      <c r="O326" s="1360"/>
      <c r="P326" s="1360"/>
      <c r="Q326" s="1361"/>
      <c r="R326" s="1362"/>
    </row>
    <row r="327" spans="3:50" ht="12" customHeight="1">
      <c r="N327" s="1360"/>
      <c r="O327" s="1360"/>
      <c r="P327" s="1360"/>
      <c r="Q327" s="1361"/>
      <c r="R327" s="1362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S225" activePane="bottomRight" state="frozen"/>
      <selection pane="topRight" activeCell="AU1" sqref="AU1"/>
      <selection pane="bottomLeft" activeCell="A419" sqref="A419"/>
      <selection pane="bottomRight" activeCell="BX241" sqref="BX24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1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17" t="s">
        <v>713</v>
      </c>
      <c r="E1" s="1417"/>
      <c r="F1" s="1417"/>
      <c r="G1" s="1418">
        <f>[1]ExpFactors!$C$1</f>
        <v>8800</v>
      </c>
      <c r="H1" s="1419" t="str">
        <f>[1]ExpFactors!$D$1</f>
        <v>kJ</v>
      </c>
      <c r="I1" s="1420"/>
      <c r="J1" s="1421" t="s">
        <v>737</v>
      </c>
      <c r="K1" s="1424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1" t="s">
        <v>949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4"/>
      <c r="CH4" s="1314"/>
      <c r="CI4" s="1314"/>
      <c r="CJ4" s="1314"/>
      <c r="CK4" s="1314"/>
      <c r="CL4" s="1314"/>
      <c r="CM4" s="1312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9" t="s">
        <v>50</v>
      </c>
      <c r="DJ4" s="1599"/>
      <c r="DK4" s="1599"/>
      <c r="DL4" s="1599"/>
      <c r="DM4" s="1599"/>
      <c r="DN4" s="1599"/>
      <c r="DO4" s="1599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15" t="str">
        <f>IF(UPPER($CD$4)=UPPER($BZ$4),$BV$4,IF(UPPER($CD$4)=UPPER($CA$4),$BW$4,IF(UPPER($CD$4)=UPPER($CB$4),$BX$4,$BY$4)))</f>
        <v>'Middle'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600" t="s">
        <v>47</v>
      </c>
      <c r="CE6" s="1600"/>
      <c r="CF6" s="1310"/>
      <c r="CG6" s="1310"/>
      <c r="CH6" s="1310"/>
      <c r="CI6" s="1310"/>
      <c r="CJ6" s="1310"/>
      <c r="CK6" s="1310"/>
      <c r="CL6" s="1310"/>
      <c r="CM6" s="1310" t="s">
        <v>922</v>
      </c>
      <c r="CN6" s="1566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601" t="s">
        <v>48</v>
      </c>
      <c r="DC6" s="1601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16">
        <v>13</v>
      </c>
      <c r="CE7" s="1317">
        <v>12</v>
      </c>
      <c r="CF7" s="1317">
        <v>11</v>
      </c>
      <c r="CG7" s="1317">
        <v>10</v>
      </c>
      <c r="CH7" s="1318">
        <v>9</v>
      </c>
      <c r="CI7" s="1318">
        <v>8</v>
      </c>
      <c r="CJ7" s="1317">
        <v>7</v>
      </c>
      <c r="CK7" s="1317">
        <v>6</v>
      </c>
      <c r="CL7" s="1317">
        <v>5</v>
      </c>
      <c r="CM7" s="1316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0"/>
      <c r="CE8" s="1310"/>
      <c r="CF8" s="1310"/>
      <c r="CG8" s="1310"/>
      <c r="CH8" s="1310"/>
      <c r="CI8" s="1310"/>
      <c r="CJ8" s="1310"/>
      <c r="CK8" s="1310"/>
      <c r="CL8" s="1310"/>
      <c r="CM8" s="1310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0"/>
      <c r="CE9" s="1310"/>
      <c r="CF9" s="1310"/>
      <c r="CG9" s="1310"/>
      <c r="CH9" s="1310"/>
      <c r="CI9" s="1310"/>
      <c r="CJ9" s="1310"/>
      <c r="CK9" s="1310"/>
      <c r="CL9" s="1310"/>
      <c r="CM9" s="1310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19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1.2978845922979305</v>
      </c>
      <c r="CE10" s="132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320">
        <f t="shared" si="12"/>
        <v>1.3311117514253521</v>
      </c>
      <c r="CG10" s="1320">
        <f t="shared" si="12"/>
        <v>1.3592828836814328</v>
      </c>
      <c r="CH10" s="1321">
        <f t="shared" si="12"/>
        <v>1.3685591011741682</v>
      </c>
      <c r="CI10" s="1321">
        <f t="shared" si="12"/>
        <v>1.3831917297823637</v>
      </c>
      <c r="CJ10" s="1320">
        <f t="shared" si="12"/>
        <v>1.4051070518247049</v>
      </c>
      <c r="CK10" s="1320">
        <f t="shared" si="12"/>
        <v>1.4087724672264723</v>
      </c>
      <c r="CL10" s="1320">
        <f t="shared" si="12"/>
        <v>1.4151442106861174</v>
      </c>
      <c r="CM10" s="1319">
        <f t="shared" si="12"/>
        <v>1.4738567594666259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691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19">
        <f t="shared" si="12"/>
        <v>-7.9773399750934001E-3</v>
      </c>
      <c r="CE11" s="1320">
        <f t="shared" si="13"/>
        <v>0.12330978362391032</v>
      </c>
      <c r="CF11" s="1320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320">
        <f t="shared" si="39"/>
        <v>0.16906357970112079</v>
      </c>
      <c r="CH11" s="1321">
        <f t="shared" si="39"/>
        <v>0.18324642412382139</v>
      </c>
      <c r="CI11" s="1321">
        <f t="shared" si="39"/>
        <v>0.18543016189290162</v>
      </c>
      <c r="CJ11" s="1320">
        <f t="shared" si="39"/>
        <v>0.1860710905532823</v>
      </c>
      <c r="CK11" s="1320">
        <f t="shared" si="39"/>
        <v>0.2108390099626401</v>
      </c>
      <c r="CL11" s="1320">
        <f t="shared" si="39"/>
        <v>0.2142411332503113</v>
      </c>
      <c r="CM11" s="1319">
        <f t="shared" si="39"/>
        <v>0.27211541457036115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692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19">
        <f t="shared" si="12"/>
        <v>0.05</v>
      </c>
      <c r="CE12" s="1320">
        <f t="shared" si="13"/>
        <v>0.10380522623495228</v>
      </c>
      <c r="CF12" s="1320">
        <f t="shared" si="39"/>
        <v>0.10990889521437466</v>
      </c>
      <c r="CG12" s="1320">
        <f t="shared" si="39"/>
        <v>0.11229092611041927</v>
      </c>
      <c r="CH12" s="1321">
        <f t="shared" si="39"/>
        <v>0.12774413437110838</v>
      </c>
      <c r="CI12" s="1321">
        <f t="shared" si="39"/>
        <v>0.1572821206191069</v>
      </c>
      <c r="CJ12" s="1320">
        <f t="shared" si="39"/>
        <v>0.17445041407222917</v>
      </c>
      <c r="CK12" s="1320">
        <f t="shared" si="39"/>
        <v>0.18400979919053551</v>
      </c>
      <c r="CL12" s="1320">
        <f t="shared" si="39"/>
        <v>0.20212995890410962</v>
      </c>
      <c r="CM12" s="1319">
        <f t="shared" si="39"/>
        <v>0.20634830635118306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19">
        <f t="shared" si="12"/>
        <v>0</v>
      </c>
      <c r="CE13" s="1320">
        <f t="shared" si="13"/>
        <v>0</v>
      </c>
      <c r="CF13" s="1320">
        <f t="shared" si="39"/>
        <v>1.3500400284646859E-2</v>
      </c>
      <c r="CG13" s="1320">
        <f t="shared" si="39"/>
        <v>6.0123334371108339E-2</v>
      </c>
      <c r="CH13" s="1321">
        <f t="shared" si="39"/>
        <v>7.9140277530688488E-2</v>
      </c>
      <c r="CI13" s="1321">
        <f t="shared" si="39"/>
        <v>9.1895828144458278E-2</v>
      </c>
      <c r="CJ13" s="1320">
        <f t="shared" si="39"/>
        <v>0.12969694894146949</v>
      </c>
      <c r="CK13" s="1320">
        <f t="shared" si="39"/>
        <v>0.13594173412204233</v>
      </c>
      <c r="CL13" s="1320">
        <f t="shared" si="39"/>
        <v>0.14729402241594022</v>
      </c>
      <c r="CM13" s="1319">
        <f t="shared" si="39"/>
        <v>0.22828552303860522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19">
        <f t="shared" si="12"/>
        <v>0</v>
      </c>
      <c r="CE14" s="1320">
        <f t="shared" si="13"/>
        <v>0</v>
      </c>
      <c r="CF14" s="1320">
        <f t="shared" si="39"/>
        <v>0</v>
      </c>
      <c r="CG14" s="1320">
        <f t="shared" si="39"/>
        <v>0</v>
      </c>
      <c r="CH14" s="1321">
        <f t="shared" si="39"/>
        <v>0</v>
      </c>
      <c r="CI14" s="1321">
        <f t="shared" si="39"/>
        <v>0</v>
      </c>
      <c r="CJ14" s="1320">
        <f t="shared" si="39"/>
        <v>0</v>
      </c>
      <c r="CK14" s="1320">
        <f t="shared" si="39"/>
        <v>0</v>
      </c>
      <c r="CL14" s="1320">
        <f t="shared" si="39"/>
        <v>0</v>
      </c>
      <c r="CM14" s="1319">
        <f t="shared" si="39"/>
        <v>5.1124651307596514E-3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19">
        <f t="shared" si="12"/>
        <v>0</v>
      </c>
      <c r="CE15" s="1320">
        <f t="shared" si="13"/>
        <v>0</v>
      </c>
      <c r="CF15" s="1320">
        <f t="shared" si="39"/>
        <v>0</v>
      </c>
      <c r="CG15" s="1320">
        <f t="shared" si="39"/>
        <v>0</v>
      </c>
      <c r="CH15" s="1321">
        <f t="shared" si="39"/>
        <v>0</v>
      </c>
      <c r="CI15" s="1321">
        <f t="shared" si="39"/>
        <v>0</v>
      </c>
      <c r="CJ15" s="1320">
        <f t="shared" si="39"/>
        <v>0</v>
      </c>
      <c r="CK15" s="1320">
        <f t="shared" si="39"/>
        <v>0</v>
      </c>
      <c r="CL15" s="1320">
        <f t="shared" si="39"/>
        <v>0</v>
      </c>
      <c r="CM15" s="1319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693</v>
      </c>
      <c r="B16" s="532">
        <f>SUM(B859:B864,B886)</f>
        <v>0.62400004632627648</v>
      </c>
      <c r="C16" s="532">
        <f t="shared" ref="C16:F16" si="59">SUM(C859:C864,C886)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ref="G16:K16" si="60">SUM(G859:G864,G886)</f>
        <v>0.50327630136986301</v>
      </c>
      <c r="H16" s="532">
        <f t="shared" si="60"/>
        <v>0.51235726027397255</v>
      </c>
      <c r="I16" s="532">
        <f t="shared" si="60"/>
        <v>0.57211605280199251</v>
      </c>
      <c r="J16" s="532">
        <f t="shared" si="60"/>
        <v>0.35663402241594017</v>
      </c>
      <c r="K16" s="532">
        <f t="shared" si="60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SUM(T859:T864,T886)</f>
        <v>0.53847044831880453</v>
      </c>
      <c r="U16" s="532">
        <f t="shared" ref="U16:AC16" si="61">SUM(U859:U864,U886)</f>
        <v>0.43573705746308483</v>
      </c>
      <c r="V16" s="532">
        <f t="shared" si="61"/>
        <v>0.51235726027397255</v>
      </c>
      <c r="W16" s="532">
        <f t="shared" si="61"/>
        <v>0.60260200498132011</v>
      </c>
      <c r="X16" s="532">
        <f t="shared" si="61"/>
        <v>0.57640191780821914</v>
      </c>
      <c r="Y16" s="532">
        <f t="shared" si="61"/>
        <v>0.47496456537982562</v>
      </c>
      <c r="Z16" s="532">
        <f t="shared" si="61"/>
        <v>0.69484542963885421</v>
      </c>
      <c r="AA16" s="532">
        <f t="shared" si="61"/>
        <v>0.52427547571606481</v>
      </c>
      <c r="AB16" s="532">
        <f t="shared" si="61"/>
        <v>0.54651133328144463</v>
      </c>
      <c r="AC16" s="532">
        <f t="shared" si="61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SUM(AL859:AL864,AL886)</f>
        <v>0.62053426080768548</v>
      </c>
      <c r="AM16" s="532">
        <f t="shared" ref="AM16:AU16" si="62">SUM(AM859:AM864,AM886)</f>
        <v>0.60527415317559152</v>
      </c>
      <c r="AN16" s="532">
        <f t="shared" si="62"/>
        <v>0.572882503113325</v>
      </c>
      <c r="AO16" s="532">
        <f t="shared" si="62"/>
        <v>0.64452214445828149</v>
      </c>
      <c r="AP16" s="532">
        <f t="shared" si="62"/>
        <v>0.54417972104607715</v>
      </c>
      <c r="AQ16" s="532">
        <f t="shared" si="62"/>
        <v>0.36826112577833126</v>
      </c>
      <c r="AR16" s="532">
        <f t="shared" si="62"/>
        <v>0.65211588685287314</v>
      </c>
      <c r="AS16" s="532">
        <f t="shared" si="62"/>
        <v>0.52569627646326278</v>
      </c>
      <c r="AT16" s="532">
        <f t="shared" si="62"/>
        <v>0.58500493150684929</v>
      </c>
      <c r="AU16" s="532">
        <f t="shared" si="62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SUM(BD859:BD864,BD886)</f>
        <v>0.62224555292652539</v>
      </c>
      <c r="BE16" s="532">
        <f t="shared" ref="BE16:BM16" si="63">SUM(BE859:BE864,BE886)</f>
        <v>0.65915052646326266</v>
      </c>
      <c r="BF16" s="532">
        <f t="shared" si="63"/>
        <v>0.47701755728518058</v>
      </c>
      <c r="BG16" s="532">
        <f t="shared" si="63"/>
        <v>0.53686157302970994</v>
      </c>
      <c r="BH16" s="532">
        <f t="shared" si="63"/>
        <v>0.57100548194271483</v>
      </c>
      <c r="BI16" s="532">
        <f t="shared" si="63"/>
        <v>0.50268451830635119</v>
      </c>
      <c r="BJ16" s="532">
        <f t="shared" si="63"/>
        <v>0.69861359308841831</v>
      </c>
      <c r="BK16" s="532">
        <f t="shared" si="63"/>
        <v>0.59618884931506844</v>
      </c>
      <c r="BL16" s="532">
        <f t="shared" si="63"/>
        <v>0.69877801018906371</v>
      </c>
      <c r="BM16" s="532">
        <f t="shared" si="63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SUM(BV859:BV864,BV886)</f>
        <v>0.57517989881693654</v>
      </c>
      <c r="BW16" s="532">
        <f t="shared" ref="BW16:BY16" si="64">SUM(BW859:BW864,BW886)</f>
        <v>0.57048734589041095</v>
      </c>
      <c r="BX16" s="532">
        <f t="shared" si="64"/>
        <v>0.56457277397260275</v>
      </c>
      <c r="BY16" s="532">
        <f t="shared" si="64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19">
        <f t="shared" si="12"/>
        <v>0.36826112577833126</v>
      </c>
      <c r="CE16" s="1320">
        <f t="shared" si="13"/>
        <v>0.52569627646326278</v>
      </c>
      <c r="CF16" s="1320">
        <f t="shared" si="39"/>
        <v>0.54417972104607715</v>
      </c>
      <c r="CG16" s="1320">
        <f t="shared" si="39"/>
        <v>0.54417972104607715</v>
      </c>
      <c r="CH16" s="1321">
        <f t="shared" si="39"/>
        <v>0.572882503113325</v>
      </c>
      <c r="CI16" s="1321">
        <f t="shared" si="39"/>
        <v>0.58500493150684929</v>
      </c>
      <c r="CJ16" s="1320">
        <f t="shared" si="39"/>
        <v>0.60527415317559152</v>
      </c>
      <c r="CK16" s="1320">
        <f t="shared" si="39"/>
        <v>0.62053426080768548</v>
      </c>
      <c r="CL16" s="1320">
        <f t="shared" si="39"/>
        <v>0.64452214445828149</v>
      </c>
      <c r="CM16" s="1319">
        <f t="shared" si="39"/>
        <v>0.65211588685287314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683</v>
      </c>
      <c r="B17" s="532">
        <f>SUM(B865:B885,B887:B888)</f>
        <v>0.16775876712328766</v>
      </c>
      <c r="C17" s="532">
        <f t="shared" ref="C17:F17" si="65">SUM(C865:C885,C887:C888)</f>
        <v>0.22892954634406687</v>
      </c>
      <c r="D17" s="532">
        <f t="shared" si="65"/>
        <v>0.12611235990037359</v>
      </c>
      <c r="E17" s="532">
        <f t="shared" si="65"/>
        <v>0.16025068244084681</v>
      </c>
      <c r="F17" s="532">
        <f t="shared" si="65"/>
        <v>0.22892954634406687</v>
      </c>
      <c r="G17" s="532">
        <f t="shared" ref="G17:K17" si="66">SUM(G865:G885,G887:G888)</f>
        <v>0.20031335305105852</v>
      </c>
      <c r="H17" s="532">
        <f t="shared" si="66"/>
        <v>0.18639863013698629</v>
      </c>
      <c r="I17" s="532">
        <f t="shared" si="66"/>
        <v>0.17655991083437111</v>
      </c>
      <c r="J17" s="532">
        <f t="shared" si="66"/>
        <v>0.20031335305105852</v>
      </c>
      <c r="K17" s="532">
        <f t="shared" si="66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SUM(T865:T885,T887:T888)</f>
        <v>0.21734829778953921</v>
      </c>
      <c r="U17" s="532">
        <f t="shared" ref="U17:AC17" si="67">SUM(U865:U885,U887:U888)</f>
        <v>0.23802974719800746</v>
      </c>
      <c r="V17" s="532">
        <f t="shared" si="67"/>
        <v>0.19911486924034869</v>
      </c>
      <c r="W17" s="532">
        <f t="shared" si="67"/>
        <v>0.21405127188044831</v>
      </c>
      <c r="X17" s="532">
        <f t="shared" si="67"/>
        <v>0.21466474408468242</v>
      </c>
      <c r="Y17" s="532">
        <f t="shared" si="67"/>
        <v>0.17357440438356164</v>
      </c>
      <c r="Z17" s="532">
        <f t="shared" si="67"/>
        <v>0.18258897235367372</v>
      </c>
      <c r="AA17" s="532">
        <f t="shared" si="67"/>
        <v>0.16916399120174341</v>
      </c>
      <c r="AB17" s="532">
        <f t="shared" si="67"/>
        <v>0.23433533938356163</v>
      </c>
      <c r="AC17" s="532">
        <f t="shared" si="67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SUM(AL865:AL885,AL887:AL888)</f>
        <v>0.22049412382138409</v>
      </c>
      <c r="AM17" s="532">
        <f t="shared" ref="AM17:AU17" si="68">SUM(AM865:AM885,AM887:AM888)</f>
        <v>0.25498047895392273</v>
      </c>
      <c r="AN17" s="532">
        <f t="shared" si="68"/>
        <v>0.35076051033623912</v>
      </c>
      <c r="AO17" s="532">
        <f t="shared" si="68"/>
        <v>0.26325088856787049</v>
      </c>
      <c r="AP17" s="532">
        <f t="shared" si="68"/>
        <v>0.2172464302864259</v>
      </c>
      <c r="AQ17" s="532">
        <f t="shared" si="68"/>
        <v>0.24295849195516811</v>
      </c>
      <c r="AR17" s="532">
        <f t="shared" si="68"/>
        <v>0.28360262946095</v>
      </c>
      <c r="AS17" s="532">
        <f t="shared" si="68"/>
        <v>0.19976145668742218</v>
      </c>
      <c r="AT17" s="532">
        <f t="shared" si="68"/>
        <v>0.25267699755915318</v>
      </c>
      <c r="AU17" s="532">
        <f t="shared" si="68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SUM(BD865:BD885,BD887:BD888)</f>
        <v>0.18722156488169364</v>
      </c>
      <c r="BE17" s="532">
        <f t="shared" ref="BE17:BM17" si="69">SUM(BE865:BE885,BE887:BE888)</f>
        <v>0.29826650669364879</v>
      </c>
      <c r="BF17" s="532">
        <f t="shared" si="69"/>
        <v>0.16136842247820671</v>
      </c>
      <c r="BG17" s="532">
        <f t="shared" si="69"/>
        <v>0.29695554043764449</v>
      </c>
      <c r="BH17" s="532">
        <f t="shared" si="69"/>
        <v>0.2054733837880674</v>
      </c>
      <c r="BI17" s="532">
        <f t="shared" si="69"/>
        <v>0.16691228271481939</v>
      </c>
      <c r="BJ17" s="532">
        <f t="shared" si="69"/>
        <v>0.32608159240348689</v>
      </c>
      <c r="BK17" s="532">
        <f t="shared" si="69"/>
        <v>0.29521357231809287</v>
      </c>
      <c r="BL17" s="532">
        <f t="shared" si="69"/>
        <v>0.19048920910223024</v>
      </c>
      <c r="BM17" s="532">
        <f t="shared" si="69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SUM(BV865:BV885,BV887:BV888)</f>
        <v>0.21670470112079698</v>
      </c>
      <c r="BW17" s="532">
        <f t="shared" ref="BW17:BY17" si="70">SUM(BW865:BW885,BW887:BW888)</f>
        <v>0.23709449533001245</v>
      </c>
      <c r="BX17" s="532">
        <f t="shared" si="70"/>
        <v>0.25135953035491904</v>
      </c>
      <c r="BY17" s="532">
        <f t="shared" si="70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19">
        <f t="shared" si="12"/>
        <v>0.19976145668742218</v>
      </c>
      <c r="CE17" s="1320">
        <f t="shared" si="13"/>
        <v>0.2172464302864259</v>
      </c>
      <c r="CF17" s="1320">
        <f t="shared" si="39"/>
        <v>0.22049412382138409</v>
      </c>
      <c r="CG17" s="1320">
        <f t="shared" si="39"/>
        <v>0.22201719242839352</v>
      </c>
      <c r="CH17" s="1321">
        <f t="shared" si="39"/>
        <v>0.24295849195516811</v>
      </c>
      <c r="CI17" s="1321">
        <f t="shared" si="39"/>
        <v>0.25267699755915318</v>
      </c>
      <c r="CJ17" s="1320">
        <f t="shared" si="39"/>
        <v>0.25498047895392273</v>
      </c>
      <c r="CK17" s="1320">
        <f t="shared" si="39"/>
        <v>0.26325088856787049</v>
      </c>
      <c r="CL17" s="1320">
        <f t="shared" si="39"/>
        <v>0.28360262946095</v>
      </c>
      <c r="CM17" s="1319">
        <f t="shared" si="39"/>
        <v>0.35076051033623912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71">SUM(B889:B895)</f>
        <v>0.11904761904761904</v>
      </c>
      <c r="C18" s="532">
        <f t="shared" si="71"/>
        <v>0.13605442176870747</v>
      </c>
      <c r="D18" s="532">
        <f t="shared" si="71"/>
        <v>0.17857142857142858</v>
      </c>
      <c r="E18" s="532">
        <f t="shared" si="71"/>
        <v>0.16666666666666666</v>
      </c>
      <c r="F18" s="532">
        <f t="shared" si="71"/>
        <v>0.17006802721088435</v>
      </c>
      <c r="G18" s="532">
        <f t="shared" si="71"/>
        <v>0.14880952380952381</v>
      </c>
      <c r="H18" s="532">
        <f t="shared" si="71"/>
        <v>0.1322751322751323</v>
      </c>
      <c r="I18" s="532">
        <f t="shared" si="71"/>
        <v>0.19047619047619047</v>
      </c>
      <c r="J18" s="532">
        <f t="shared" si="71"/>
        <v>0.14880952380952381</v>
      </c>
      <c r="K18" s="532">
        <f t="shared" si="71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2">SUM(T889:T895)</f>
        <v>0.11904761904761904</v>
      </c>
      <c r="U18" s="532">
        <f t="shared" si="72"/>
        <v>0.17006802721088435</v>
      </c>
      <c r="V18" s="532">
        <f t="shared" si="72"/>
        <v>0.15873015873015875</v>
      </c>
      <c r="W18" s="532">
        <f t="shared" si="72"/>
        <v>0.16666666666666666</v>
      </c>
      <c r="X18" s="532">
        <f t="shared" si="72"/>
        <v>0.17857142857142858</v>
      </c>
      <c r="Y18" s="532">
        <f t="shared" si="72"/>
        <v>9.5238095238095233E-2</v>
      </c>
      <c r="Z18" s="532">
        <f t="shared" si="72"/>
        <v>0.10582010582010581</v>
      </c>
      <c r="AA18" s="532">
        <f t="shared" si="72"/>
        <v>0.16666666666666666</v>
      </c>
      <c r="AB18" s="532">
        <f t="shared" si="72"/>
        <v>0.11904761904761904</v>
      </c>
      <c r="AC18" s="532">
        <f t="shared" si="72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3">SUM(AL889:AL895)</f>
        <v>0.13605442176870747</v>
      </c>
      <c r="AM18" s="532">
        <f t="shared" si="73"/>
        <v>0.17857142857142858</v>
      </c>
      <c r="AN18" s="532">
        <f t="shared" si="73"/>
        <v>0.14285714285714285</v>
      </c>
      <c r="AO18" s="532">
        <f t="shared" si="73"/>
        <v>0.11904761904761904</v>
      </c>
      <c r="AP18" s="532">
        <f t="shared" si="73"/>
        <v>0.11904761904761904</v>
      </c>
      <c r="AQ18" s="532">
        <f t="shared" si="73"/>
        <v>0.19047619047619047</v>
      </c>
      <c r="AR18" s="532">
        <f t="shared" si="73"/>
        <v>0.13605442176870747</v>
      </c>
      <c r="AS18" s="532">
        <f t="shared" si="73"/>
        <v>9.5238095238095233E-2</v>
      </c>
      <c r="AT18" s="532">
        <f t="shared" si="73"/>
        <v>9.732367431655102E-2</v>
      </c>
      <c r="AU18" s="532">
        <f t="shared" si="73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4">SUM(BD889:BD895)</f>
        <v>0.14757880171578802</v>
      </c>
      <c r="BE18" s="532">
        <f t="shared" si="74"/>
        <v>8.9285714285714288E-2</v>
      </c>
      <c r="BF18" s="532">
        <f t="shared" si="74"/>
        <v>0.11904761904761904</v>
      </c>
      <c r="BG18" s="532">
        <f t="shared" si="74"/>
        <v>0.1020408163265306</v>
      </c>
      <c r="BH18" s="532">
        <f t="shared" si="74"/>
        <v>0.11162890056322294</v>
      </c>
      <c r="BI18" s="532">
        <f t="shared" si="74"/>
        <v>0.16371293364170075</v>
      </c>
      <c r="BJ18" s="532">
        <f t="shared" si="74"/>
        <v>8.9285714285714288E-2</v>
      </c>
      <c r="BK18" s="532">
        <f t="shared" si="74"/>
        <v>0.13605442176870747</v>
      </c>
      <c r="BL18" s="532">
        <f t="shared" si="74"/>
        <v>8.6580086580086577E-2</v>
      </c>
      <c r="BM18" s="532">
        <f t="shared" si="74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5">SUM(BW889:BW895)</f>
        <v>0.11904761904761904</v>
      </c>
      <c r="BX18" s="532">
        <f t="shared" si="75"/>
        <v>0.11904761904761904</v>
      </c>
      <c r="BY18" s="532">
        <f t="shared" si="75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19">
        <f t="shared" si="12"/>
        <v>9.5238095238095233E-2</v>
      </c>
      <c r="CE18" s="1320">
        <f t="shared" si="13"/>
        <v>9.732367431655102E-2</v>
      </c>
      <c r="CF18" s="1320">
        <f t="shared" si="39"/>
        <v>0.11904761904761904</v>
      </c>
      <c r="CG18" s="1320">
        <f t="shared" si="39"/>
        <v>0.11904761904761904</v>
      </c>
      <c r="CH18" s="1321">
        <f t="shared" si="39"/>
        <v>0.11904761904761904</v>
      </c>
      <c r="CI18" s="1321">
        <f t="shared" si="39"/>
        <v>0.13605442176870747</v>
      </c>
      <c r="CJ18" s="1320">
        <f t="shared" si="39"/>
        <v>0.13605442176870747</v>
      </c>
      <c r="CK18" s="1320">
        <f t="shared" si="39"/>
        <v>0.14285714285714285</v>
      </c>
      <c r="CL18" s="1320">
        <f t="shared" si="39"/>
        <v>0.17857142857142858</v>
      </c>
      <c r="CM18" s="1319">
        <f t="shared" si="39"/>
        <v>0.19047619047619047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6">SUM(C896:C899)+SUM(C851:C852)</f>
        <v>0</v>
      </c>
      <c r="D19" s="532">
        <f t="shared" si="76"/>
        <v>0</v>
      </c>
      <c r="E19" s="532">
        <f t="shared" si="76"/>
        <v>0</v>
      </c>
      <c r="F19" s="532">
        <f t="shared" si="76"/>
        <v>0</v>
      </c>
      <c r="G19" s="532">
        <f t="shared" si="76"/>
        <v>0</v>
      </c>
      <c r="H19" s="532">
        <f t="shared" si="76"/>
        <v>0</v>
      </c>
      <c r="I19" s="532">
        <f t="shared" si="76"/>
        <v>0</v>
      </c>
      <c r="J19" s="532">
        <f t="shared" si="76"/>
        <v>0</v>
      </c>
      <c r="K19" s="532">
        <f t="shared" si="76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7">SUM(T896:T899)+SUM(T851:T852)</f>
        <v>2.3704856787048569E-2</v>
      </c>
      <c r="U19" s="532">
        <f t="shared" si="77"/>
        <v>1.6982572495997154E-2</v>
      </c>
      <c r="V19" s="532">
        <f t="shared" si="77"/>
        <v>0</v>
      </c>
      <c r="W19" s="532">
        <f t="shared" si="77"/>
        <v>0</v>
      </c>
      <c r="X19" s="532">
        <f t="shared" si="77"/>
        <v>0</v>
      </c>
      <c r="Y19" s="532">
        <f t="shared" si="77"/>
        <v>0</v>
      </c>
      <c r="Z19" s="532">
        <f t="shared" si="77"/>
        <v>0</v>
      </c>
      <c r="AA19" s="532">
        <f t="shared" si="77"/>
        <v>0</v>
      </c>
      <c r="AB19" s="532">
        <f t="shared" si="77"/>
        <v>0</v>
      </c>
      <c r="AC19" s="532">
        <f t="shared" si="77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8">SUM(AL896:AL899)+SUM(AL851:AL852)</f>
        <v>0</v>
      </c>
      <c r="AM19" s="532">
        <f t="shared" si="78"/>
        <v>2.2413457658779577E-2</v>
      </c>
      <c r="AN19" s="532">
        <f t="shared" si="78"/>
        <v>2.4530645080946451E-2</v>
      </c>
      <c r="AO19" s="532">
        <f t="shared" si="78"/>
        <v>5.1124651307596514E-3</v>
      </c>
      <c r="AP19" s="532">
        <f t="shared" si="78"/>
        <v>0</v>
      </c>
      <c r="AQ19" s="532">
        <f t="shared" si="78"/>
        <v>5.3689273225404732E-2</v>
      </c>
      <c r="AR19" s="532">
        <f t="shared" si="78"/>
        <v>2.6963558085749864E-2</v>
      </c>
      <c r="AS19" s="532">
        <f t="shared" si="78"/>
        <v>0</v>
      </c>
      <c r="AT19" s="532">
        <f t="shared" si="78"/>
        <v>4.6348826899128268E-2</v>
      </c>
      <c r="AU19" s="532">
        <f t="shared" si="78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9">SUM(BD896:BD899)+SUM(BD851:BD852)</f>
        <v>4.2970958904109582E-2</v>
      </c>
      <c r="BE19" s="532">
        <f t="shared" si="79"/>
        <v>0.14720884184308841</v>
      </c>
      <c r="BF19" s="532">
        <f t="shared" si="79"/>
        <v>0</v>
      </c>
      <c r="BG19" s="532">
        <f t="shared" si="79"/>
        <v>0.11430721846646504</v>
      </c>
      <c r="BH19" s="532">
        <f t="shared" si="79"/>
        <v>6.577071210234349E-2</v>
      </c>
      <c r="BI19" s="532">
        <f t="shared" si="79"/>
        <v>6.5642017434620184E-2</v>
      </c>
      <c r="BJ19" s="532">
        <f t="shared" si="79"/>
        <v>1.316936488169365E-2</v>
      </c>
      <c r="BK19" s="532">
        <f t="shared" si="79"/>
        <v>0</v>
      </c>
      <c r="BL19" s="532">
        <f t="shared" si="79"/>
        <v>0</v>
      </c>
      <c r="BM19" s="532">
        <f t="shared" si="79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80">SUM(BX896:BX899)</f>
        <v>4.0764573474470739E-2</v>
      </c>
      <c r="BY19" s="532">
        <f t="shared" si="80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19">
        <f t="shared" si="12"/>
        <v>0</v>
      </c>
      <c r="CE19" s="1320">
        <f t="shared" si="13"/>
        <v>0</v>
      </c>
      <c r="CF19" s="1320">
        <f t="shared" si="39"/>
        <v>0</v>
      </c>
      <c r="CG19" s="1320">
        <f t="shared" si="39"/>
        <v>5.1124651307596514E-3</v>
      </c>
      <c r="CH19" s="1321">
        <f t="shared" si="39"/>
        <v>2.2413457658779577E-2</v>
      </c>
      <c r="CI19" s="1321">
        <f t="shared" si="39"/>
        <v>2.4530645080946451E-2</v>
      </c>
      <c r="CJ19" s="1320">
        <f t="shared" si="39"/>
        <v>2.6963558085749864E-2</v>
      </c>
      <c r="CK19" s="1320">
        <f t="shared" si="39"/>
        <v>4.6348826899128268E-2</v>
      </c>
      <c r="CL19" s="1320">
        <f t="shared" si="39"/>
        <v>5.3689273225404732E-2</v>
      </c>
      <c r="CM19" s="1319">
        <f t="shared" si="39"/>
        <v>5.3845460772104614E-2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81">SUM(B21:B30)</f>
        <v>23160</v>
      </c>
      <c r="C20" s="534">
        <f t="shared" si="81"/>
        <v>29120</v>
      </c>
      <c r="D20" s="534">
        <f t="shared" si="81"/>
        <v>40825</v>
      </c>
      <c r="E20" s="534">
        <f t="shared" si="81"/>
        <v>43200</v>
      </c>
      <c r="F20" s="534">
        <f t="shared" si="81"/>
        <v>27140</v>
      </c>
      <c r="G20" s="534">
        <f t="shared" si="81"/>
        <v>27360</v>
      </c>
      <c r="H20" s="534">
        <f t="shared" si="81"/>
        <v>31080</v>
      </c>
      <c r="I20" s="534">
        <f t="shared" si="81"/>
        <v>15000</v>
      </c>
      <c r="J20" s="534">
        <f t="shared" si="81"/>
        <v>34800</v>
      </c>
      <c r="K20" s="534">
        <f t="shared" si="81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2">SUM(T21:T30)</f>
        <v>22819.5</v>
      </c>
      <c r="U20" s="534">
        <f t="shared" si="82"/>
        <v>12491.2</v>
      </c>
      <c r="V20" s="534">
        <f t="shared" si="82"/>
        <v>19440</v>
      </c>
      <c r="W20" s="534">
        <f t="shared" si="82"/>
        <v>26040</v>
      </c>
      <c r="X20" s="534">
        <f t="shared" si="82"/>
        <v>26040</v>
      </c>
      <c r="Y20" s="534">
        <f t="shared" si="82"/>
        <v>37332</v>
      </c>
      <c r="Z20" s="534">
        <f t="shared" si="82"/>
        <v>36253.03</v>
      </c>
      <c r="AA20" s="534">
        <f t="shared" si="82"/>
        <v>29495.4</v>
      </c>
      <c r="AB20" s="534">
        <f t="shared" si="82"/>
        <v>33940</v>
      </c>
      <c r="AC20" s="534">
        <f t="shared" si="82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3">SUM(AL21:AL30)</f>
        <v>36240</v>
      </c>
      <c r="AM20" s="534">
        <f t="shared" si="83"/>
        <v>46255</v>
      </c>
      <c r="AN20" s="534">
        <f t="shared" si="83"/>
        <v>37080</v>
      </c>
      <c r="AO20" s="534">
        <f t="shared" si="83"/>
        <v>51340</v>
      </c>
      <c r="AP20" s="534">
        <f t="shared" si="83"/>
        <v>40876</v>
      </c>
      <c r="AQ20" s="534">
        <f t="shared" si="83"/>
        <v>42851.199999999997</v>
      </c>
      <c r="AR20" s="534">
        <f t="shared" si="83"/>
        <v>49435</v>
      </c>
      <c r="AS20" s="534">
        <f t="shared" si="83"/>
        <v>37370</v>
      </c>
      <c r="AT20" s="534">
        <f t="shared" si="83"/>
        <v>22460</v>
      </c>
      <c r="AU20" s="534">
        <f t="shared" si="83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4">SUM(BD21:BD30)</f>
        <v>94570</v>
      </c>
      <c r="BE20" s="534">
        <f t="shared" si="84"/>
        <v>44260</v>
      </c>
      <c r="BF20" s="534">
        <f t="shared" si="84"/>
        <v>65535</v>
      </c>
      <c r="BG20" s="534">
        <f t="shared" si="84"/>
        <v>45201.25</v>
      </c>
      <c r="BH20" s="534">
        <f t="shared" si="84"/>
        <v>65720</v>
      </c>
      <c r="BI20" s="534">
        <f t="shared" si="84"/>
        <v>47000</v>
      </c>
      <c r="BJ20" s="534">
        <f t="shared" si="84"/>
        <v>83540</v>
      </c>
      <c r="BK20" s="534">
        <f t="shared" si="84"/>
        <v>47720</v>
      </c>
      <c r="BL20" s="534">
        <f t="shared" si="84"/>
        <v>63790</v>
      </c>
      <c r="BM20" s="534">
        <f t="shared" si="84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34453</v>
      </c>
      <c r="BY20" s="534">
        <f>SUM(BY21:BY30)</f>
        <v>57746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343">
        <f t="shared" si="12"/>
        <v>33547.5</v>
      </c>
      <c r="CF20" s="1343">
        <f t="shared" si="12"/>
        <v>36240</v>
      </c>
      <c r="CG20" s="1343">
        <f t="shared" si="12"/>
        <v>37080</v>
      </c>
      <c r="CH20" s="1344">
        <f t="shared" si="12"/>
        <v>37370</v>
      </c>
      <c r="CI20" s="1344">
        <f t="shared" si="12"/>
        <v>40876</v>
      </c>
      <c r="CJ20" s="1343">
        <f t="shared" si="12"/>
        <v>42851.199999999997</v>
      </c>
      <c r="CK20" s="1343">
        <f t="shared" si="12"/>
        <v>46255</v>
      </c>
      <c r="CL20" s="1343">
        <f t="shared" si="12"/>
        <v>49435</v>
      </c>
      <c r="CM20" s="1342">
        <f t="shared" si="12"/>
        <v>51340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5">SUM(B931:B961)</f>
        <v>0</v>
      </c>
      <c r="C21" s="542">
        <f t="shared" si="85"/>
        <v>1400</v>
      </c>
      <c r="D21" s="542">
        <f t="shared" si="85"/>
        <v>3625</v>
      </c>
      <c r="E21" s="542">
        <f t="shared" si="85"/>
        <v>0</v>
      </c>
      <c r="F21" s="542">
        <f t="shared" si="85"/>
        <v>500</v>
      </c>
      <c r="G21" s="542">
        <f t="shared" si="85"/>
        <v>0</v>
      </c>
      <c r="H21" s="542">
        <f t="shared" si="85"/>
        <v>0</v>
      </c>
      <c r="I21" s="542">
        <f t="shared" si="85"/>
        <v>120</v>
      </c>
      <c r="J21" s="542">
        <f t="shared" si="85"/>
        <v>0</v>
      </c>
      <c r="K21" s="542">
        <f t="shared" si="85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6">SUM(T931:T961)</f>
        <v>739.5</v>
      </c>
      <c r="U21" s="542">
        <f t="shared" si="86"/>
        <v>1151.2</v>
      </c>
      <c r="V21" s="542">
        <f t="shared" si="86"/>
        <v>0</v>
      </c>
      <c r="W21" s="542">
        <f t="shared" si="86"/>
        <v>0</v>
      </c>
      <c r="X21" s="542">
        <f t="shared" si="86"/>
        <v>0</v>
      </c>
      <c r="Y21" s="542">
        <f t="shared" si="86"/>
        <v>0</v>
      </c>
      <c r="Z21" s="542">
        <f t="shared" si="86"/>
        <v>253.03</v>
      </c>
      <c r="AA21" s="542">
        <f t="shared" si="86"/>
        <v>405</v>
      </c>
      <c r="AB21" s="542">
        <f t="shared" si="86"/>
        <v>1780</v>
      </c>
      <c r="AC21" s="542">
        <f t="shared" si="86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7">SUM(AL931:AL961)</f>
        <v>9600</v>
      </c>
      <c r="AM21" s="542">
        <f t="shared" si="87"/>
        <v>3175</v>
      </c>
      <c r="AN21" s="542">
        <f t="shared" si="87"/>
        <v>600</v>
      </c>
      <c r="AO21" s="542">
        <f t="shared" si="87"/>
        <v>0</v>
      </c>
      <c r="AP21" s="542">
        <f t="shared" si="87"/>
        <v>600</v>
      </c>
      <c r="AQ21" s="542">
        <f t="shared" si="87"/>
        <v>6360</v>
      </c>
      <c r="AR21" s="542">
        <f t="shared" si="87"/>
        <v>2215</v>
      </c>
      <c r="AS21" s="542">
        <f t="shared" si="87"/>
        <v>80</v>
      </c>
      <c r="AT21" s="542">
        <f t="shared" si="87"/>
        <v>4100</v>
      </c>
      <c r="AU21" s="542">
        <f t="shared" si="87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8">SUM(BD931:BD961)</f>
        <v>2100</v>
      </c>
      <c r="BE21" s="542">
        <f t="shared" si="88"/>
        <v>4950</v>
      </c>
      <c r="BF21" s="542">
        <f t="shared" si="88"/>
        <v>8975</v>
      </c>
      <c r="BG21" s="542">
        <f t="shared" si="88"/>
        <v>840</v>
      </c>
      <c r="BH21" s="542">
        <f t="shared" si="88"/>
        <v>9220</v>
      </c>
      <c r="BI21" s="542">
        <f t="shared" si="88"/>
        <v>8400</v>
      </c>
      <c r="BJ21" s="542">
        <f t="shared" si="88"/>
        <v>0</v>
      </c>
      <c r="BK21" s="542">
        <f t="shared" si="88"/>
        <v>12800</v>
      </c>
      <c r="BL21" s="542">
        <f t="shared" si="88"/>
        <v>850</v>
      </c>
      <c r="BM21" s="542">
        <f t="shared" si="88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9">SUM(BW931:BW961)</f>
        <v>836</v>
      </c>
      <c r="BX21" s="542">
        <f t="shared" si="89"/>
        <v>3621</v>
      </c>
      <c r="BY21" s="542">
        <f t="shared" si="89"/>
        <v>5774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2">
        <f t="shared" si="12"/>
        <v>0</v>
      </c>
      <c r="CE21" s="1343">
        <f t="shared" si="12"/>
        <v>80</v>
      </c>
      <c r="CF21" s="1343">
        <f t="shared" si="12"/>
        <v>600</v>
      </c>
      <c r="CG21" s="1343">
        <f t="shared" si="12"/>
        <v>600</v>
      </c>
      <c r="CH21" s="1344">
        <f t="shared" si="12"/>
        <v>2215</v>
      </c>
      <c r="CI21" s="1344">
        <f t="shared" si="12"/>
        <v>3175</v>
      </c>
      <c r="CJ21" s="1343">
        <f t="shared" si="12"/>
        <v>4100</v>
      </c>
      <c r="CK21" s="1343">
        <f t="shared" si="12"/>
        <v>6360</v>
      </c>
      <c r="CL21" s="1343">
        <f t="shared" si="12"/>
        <v>7227.5</v>
      </c>
      <c r="CM21" s="1342">
        <f t="shared" si="12"/>
        <v>9600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90">SUM(B904:B919)</f>
        <v>0</v>
      </c>
      <c r="C22" s="542">
        <f t="shared" si="90"/>
        <v>0</v>
      </c>
      <c r="D22" s="542">
        <f t="shared" si="90"/>
        <v>0</v>
      </c>
      <c r="E22" s="542">
        <f t="shared" si="90"/>
        <v>0</v>
      </c>
      <c r="F22" s="542">
        <f t="shared" si="90"/>
        <v>0</v>
      </c>
      <c r="G22" s="542">
        <f t="shared" si="90"/>
        <v>0</v>
      </c>
      <c r="H22" s="542">
        <f t="shared" si="90"/>
        <v>0</v>
      </c>
      <c r="I22" s="542">
        <f t="shared" si="90"/>
        <v>0</v>
      </c>
      <c r="J22" s="542">
        <f t="shared" si="90"/>
        <v>0</v>
      </c>
      <c r="K22" s="542">
        <f t="shared" si="90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91">SUM(T904:T919)</f>
        <v>0</v>
      </c>
      <c r="U22" s="542">
        <f t="shared" si="91"/>
        <v>0</v>
      </c>
      <c r="V22" s="542">
        <f t="shared" si="91"/>
        <v>0</v>
      </c>
      <c r="W22" s="542">
        <f t="shared" si="91"/>
        <v>0</v>
      </c>
      <c r="X22" s="542">
        <f t="shared" si="91"/>
        <v>0</v>
      </c>
      <c r="Y22" s="542">
        <f t="shared" si="91"/>
        <v>0</v>
      </c>
      <c r="Z22" s="542">
        <f t="shared" si="91"/>
        <v>0</v>
      </c>
      <c r="AA22" s="542">
        <f t="shared" si="91"/>
        <v>0</v>
      </c>
      <c r="AB22" s="542">
        <f t="shared" si="91"/>
        <v>0</v>
      </c>
      <c r="AC22" s="542">
        <f t="shared" si="91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2">SUM(AL904:AL919)</f>
        <v>0</v>
      </c>
      <c r="AM22" s="542">
        <f t="shared" si="92"/>
        <v>0</v>
      </c>
      <c r="AN22" s="542">
        <f t="shared" si="92"/>
        <v>0</v>
      </c>
      <c r="AO22" s="542">
        <f t="shared" si="92"/>
        <v>0</v>
      </c>
      <c r="AP22" s="542">
        <f t="shared" si="92"/>
        <v>0</v>
      </c>
      <c r="AQ22" s="542">
        <f t="shared" si="92"/>
        <v>0</v>
      </c>
      <c r="AR22" s="542">
        <f t="shared" si="92"/>
        <v>0</v>
      </c>
      <c r="AS22" s="542">
        <f t="shared" si="92"/>
        <v>0</v>
      </c>
      <c r="AT22" s="542">
        <f t="shared" si="92"/>
        <v>0</v>
      </c>
      <c r="AU22" s="542">
        <f t="shared" si="92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3">SUM(BD904:BD919)</f>
        <v>0</v>
      </c>
      <c r="BE22" s="542">
        <f t="shared" si="93"/>
        <v>0</v>
      </c>
      <c r="BF22" s="542">
        <f t="shared" si="93"/>
        <v>0</v>
      </c>
      <c r="BG22" s="542">
        <f t="shared" si="93"/>
        <v>0</v>
      </c>
      <c r="BH22" s="542">
        <f t="shared" si="93"/>
        <v>0</v>
      </c>
      <c r="BI22" s="542">
        <f t="shared" si="93"/>
        <v>0</v>
      </c>
      <c r="BJ22" s="542">
        <f t="shared" si="93"/>
        <v>0</v>
      </c>
      <c r="BK22" s="542">
        <f t="shared" si="93"/>
        <v>0</v>
      </c>
      <c r="BL22" s="542">
        <f t="shared" si="93"/>
        <v>0</v>
      </c>
      <c r="BM22" s="542">
        <f t="shared" si="93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4">SUM(BW904:BW919)</f>
        <v>0</v>
      </c>
      <c r="BX22" s="542">
        <f t="shared" si="94"/>
        <v>0</v>
      </c>
      <c r="BY22" s="542">
        <f t="shared" si="94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2">
        <f t="shared" si="12"/>
        <v>0</v>
      </c>
      <c r="CE22" s="1343">
        <f t="shared" si="12"/>
        <v>0</v>
      </c>
      <c r="CF22" s="1343">
        <f t="shared" si="12"/>
        <v>0</v>
      </c>
      <c r="CG22" s="1343">
        <f t="shared" si="12"/>
        <v>0</v>
      </c>
      <c r="CH22" s="1344">
        <f t="shared" si="12"/>
        <v>0</v>
      </c>
      <c r="CI22" s="1344">
        <f t="shared" si="12"/>
        <v>0</v>
      </c>
      <c r="CJ22" s="1343">
        <f t="shared" si="12"/>
        <v>0</v>
      </c>
      <c r="CK22" s="1343">
        <f t="shared" si="12"/>
        <v>0</v>
      </c>
      <c r="CL22" s="1343">
        <f t="shared" si="12"/>
        <v>0</v>
      </c>
      <c r="CM22" s="1342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5">SUM(B920:B930)</f>
        <v>0</v>
      </c>
      <c r="C23" s="542">
        <f t="shared" si="95"/>
        <v>0</v>
      </c>
      <c r="D23" s="542">
        <f t="shared" si="95"/>
        <v>0</v>
      </c>
      <c r="E23" s="542">
        <f t="shared" si="95"/>
        <v>0</v>
      </c>
      <c r="F23" s="542">
        <f t="shared" si="95"/>
        <v>0</v>
      </c>
      <c r="G23" s="542">
        <f t="shared" si="95"/>
        <v>0</v>
      </c>
      <c r="H23" s="542">
        <f t="shared" si="95"/>
        <v>0</v>
      </c>
      <c r="I23" s="542">
        <f t="shared" si="95"/>
        <v>0</v>
      </c>
      <c r="J23" s="542">
        <f t="shared" si="95"/>
        <v>0</v>
      </c>
      <c r="K23" s="542">
        <f t="shared" si="95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6">SUM(T920:T930)</f>
        <v>0</v>
      </c>
      <c r="U23" s="542">
        <f t="shared" si="96"/>
        <v>0</v>
      </c>
      <c r="V23" s="542">
        <f t="shared" si="96"/>
        <v>0</v>
      </c>
      <c r="W23" s="542">
        <f t="shared" si="96"/>
        <v>0</v>
      </c>
      <c r="X23" s="542">
        <f t="shared" si="96"/>
        <v>0</v>
      </c>
      <c r="Y23" s="542">
        <f t="shared" si="96"/>
        <v>0</v>
      </c>
      <c r="Z23" s="542">
        <f t="shared" si="96"/>
        <v>0</v>
      </c>
      <c r="AA23" s="542">
        <f t="shared" si="96"/>
        <v>0</v>
      </c>
      <c r="AB23" s="542">
        <f t="shared" si="96"/>
        <v>0</v>
      </c>
      <c r="AC23" s="542">
        <f t="shared" si="96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7">SUM(AL920:AL930)</f>
        <v>0</v>
      </c>
      <c r="AM23" s="542">
        <f t="shared" si="97"/>
        <v>0</v>
      </c>
      <c r="AN23" s="542">
        <f t="shared" si="97"/>
        <v>0</v>
      </c>
      <c r="AO23" s="542">
        <f t="shared" si="97"/>
        <v>0</v>
      </c>
      <c r="AP23" s="542">
        <f t="shared" si="97"/>
        <v>0</v>
      </c>
      <c r="AQ23" s="542">
        <f t="shared" si="97"/>
        <v>0</v>
      </c>
      <c r="AR23" s="542">
        <f t="shared" si="97"/>
        <v>0</v>
      </c>
      <c r="AS23" s="542">
        <f t="shared" si="97"/>
        <v>0</v>
      </c>
      <c r="AT23" s="542">
        <f t="shared" si="97"/>
        <v>0</v>
      </c>
      <c r="AU23" s="542">
        <f t="shared" si="97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8">SUM(BD920:BD930)</f>
        <v>25150</v>
      </c>
      <c r="BE23" s="542">
        <f t="shared" si="98"/>
        <v>13550</v>
      </c>
      <c r="BF23" s="542">
        <f t="shared" si="98"/>
        <v>17440</v>
      </c>
      <c r="BG23" s="542">
        <f t="shared" si="98"/>
        <v>14500</v>
      </c>
      <c r="BH23" s="542">
        <f t="shared" si="98"/>
        <v>21100</v>
      </c>
      <c r="BI23" s="542">
        <f t="shared" si="98"/>
        <v>6200</v>
      </c>
      <c r="BJ23" s="542">
        <f t="shared" si="98"/>
        <v>10000</v>
      </c>
      <c r="BK23" s="542">
        <f t="shared" si="98"/>
        <v>0</v>
      </c>
      <c r="BL23" s="542">
        <f t="shared" si="98"/>
        <v>16500</v>
      </c>
      <c r="BM23" s="542">
        <f t="shared" si="98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9">SUM(BW920:BW930)</f>
        <v>500</v>
      </c>
      <c r="BX23" s="542">
        <f t="shared" si="99"/>
        <v>3500</v>
      </c>
      <c r="BY23" s="542">
        <f t="shared" si="99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2">
        <f t="shared" si="12"/>
        <v>0</v>
      </c>
      <c r="CE23" s="1343">
        <f t="shared" si="12"/>
        <v>0</v>
      </c>
      <c r="CF23" s="1343">
        <f t="shared" si="12"/>
        <v>0</v>
      </c>
      <c r="CG23" s="1343">
        <f t="shared" si="12"/>
        <v>0</v>
      </c>
      <c r="CH23" s="1344">
        <f t="shared" si="12"/>
        <v>0</v>
      </c>
      <c r="CI23" s="1344">
        <f t="shared" si="12"/>
        <v>0</v>
      </c>
      <c r="CJ23" s="1343">
        <f t="shared" si="12"/>
        <v>0</v>
      </c>
      <c r="CK23" s="1343">
        <f t="shared" si="12"/>
        <v>0</v>
      </c>
      <c r="CL23" s="1343">
        <f t="shared" si="12"/>
        <v>0</v>
      </c>
      <c r="CM23" s="1342">
        <f t="shared" si="12"/>
        <v>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676</v>
      </c>
      <c r="B24" s="542">
        <f>SUM(B965:B968)</f>
        <v>0</v>
      </c>
      <c r="C24" s="542">
        <f t="shared" ref="C24:K24" si="100">SUM(C965:C968)</f>
        <v>0</v>
      </c>
      <c r="D24" s="542">
        <f t="shared" si="100"/>
        <v>0</v>
      </c>
      <c r="E24" s="542">
        <f t="shared" si="100"/>
        <v>0</v>
      </c>
      <c r="F24" s="542">
        <f t="shared" si="100"/>
        <v>0</v>
      </c>
      <c r="G24" s="542">
        <f t="shared" si="100"/>
        <v>0</v>
      </c>
      <c r="H24" s="542">
        <f t="shared" si="100"/>
        <v>0</v>
      </c>
      <c r="I24" s="542">
        <f t="shared" si="100"/>
        <v>0</v>
      </c>
      <c r="J24" s="542">
        <f t="shared" si="100"/>
        <v>0</v>
      </c>
      <c r="K24" s="542">
        <f t="shared" si="100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101">SUM(U965:U968)</f>
        <v>2700</v>
      </c>
      <c r="V24" s="542">
        <f t="shared" si="101"/>
        <v>720</v>
      </c>
      <c r="W24" s="542">
        <f t="shared" si="101"/>
        <v>0</v>
      </c>
      <c r="X24" s="542">
        <f t="shared" si="101"/>
        <v>0</v>
      </c>
      <c r="Y24" s="542">
        <f t="shared" si="101"/>
        <v>0</v>
      </c>
      <c r="Z24" s="542">
        <f t="shared" si="101"/>
        <v>0</v>
      </c>
      <c r="AA24" s="542">
        <f t="shared" si="101"/>
        <v>3050.4</v>
      </c>
      <c r="AB24" s="542">
        <f t="shared" si="101"/>
        <v>2400</v>
      </c>
      <c r="AC24" s="542">
        <f t="shared" si="101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2">SUM(AM965:AM968)</f>
        <v>6000</v>
      </c>
      <c r="AN24" s="542">
        <f t="shared" si="102"/>
        <v>5000</v>
      </c>
      <c r="AO24" s="542">
        <f t="shared" si="102"/>
        <v>1000</v>
      </c>
      <c r="AP24" s="542">
        <f t="shared" si="102"/>
        <v>996</v>
      </c>
      <c r="AQ24" s="542">
        <f t="shared" si="102"/>
        <v>0</v>
      </c>
      <c r="AR24" s="542">
        <f t="shared" si="102"/>
        <v>4500</v>
      </c>
      <c r="AS24" s="542">
        <f t="shared" si="102"/>
        <v>180</v>
      </c>
      <c r="AT24" s="542">
        <f t="shared" si="102"/>
        <v>0</v>
      </c>
      <c r="AU24" s="542">
        <f t="shared" si="102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3">SUM(BE965:BE968)</f>
        <v>0</v>
      </c>
      <c r="BF24" s="542">
        <f t="shared" si="103"/>
        <v>2400</v>
      </c>
      <c r="BG24" s="542">
        <f t="shared" si="103"/>
        <v>0</v>
      </c>
      <c r="BH24" s="542">
        <f t="shared" si="103"/>
        <v>0</v>
      </c>
      <c r="BI24" s="542">
        <f t="shared" si="103"/>
        <v>0</v>
      </c>
      <c r="BJ24" s="542">
        <f t="shared" si="103"/>
        <v>0</v>
      </c>
      <c r="BK24" s="542">
        <f t="shared" si="103"/>
        <v>0</v>
      </c>
      <c r="BL24" s="542">
        <f t="shared" si="103"/>
        <v>0</v>
      </c>
      <c r="BM24" s="542">
        <f t="shared" si="103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4">SUM(BW965:BW968)</f>
        <v>1109</v>
      </c>
      <c r="BX24" s="542">
        <f t="shared" si="104"/>
        <v>752</v>
      </c>
      <c r="BY24" s="542">
        <f t="shared" si="104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2">
        <f t="shared" si="12"/>
        <v>0</v>
      </c>
      <c r="CE24" s="1343">
        <f t="shared" si="12"/>
        <v>0</v>
      </c>
      <c r="CF24" s="1343">
        <f t="shared" si="12"/>
        <v>0</v>
      </c>
      <c r="CG24" s="1343">
        <f t="shared" si="12"/>
        <v>0</v>
      </c>
      <c r="CH24" s="1344">
        <f t="shared" si="12"/>
        <v>180</v>
      </c>
      <c r="CI24" s="1344">
        <f t="shared" si="12"/>
        <v>996</v>
      </c>
      <c r="CJ24" s="1343">
        <f t="shared" si="12"/>
        <v>1000</v>
      </c>
      <c r="CK24" s="1343">
        <f t="shared" si="12"/>
        <v>4500</v>
      </c>
      <c r="CL24" s="1343">
        <f t="shared" si="12"/>
        <v>5000</v>
      </c>
      <c r="CM24" s="1342">
        <f t="shared" si="12"/>
        <v>6000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677</v>
      </c>
      <c r="B25" s="542">
        <f>SUM(B969:B971)</f>
        <v>0</v>
      </c>
      <c r="C25" s="542">
        <f t="shared" ref="C25:K25" si="105">SUM(C969:C971)</f>
        <v>0</v>
      </c>
      <c r="D25" s="542">
        <f t="shared" si="105"/>
        <v>0</v>
      </c>
      <c r="E25" s="542">
        <f t="shared" si="105"/>
        <v>0</v>
      </c>
      <c r="F25" s="542">
        <f t="shared" si="105"/>
        <v>0</v>
      </c>
      <c r="G25" s="542">
        <f t="shared" si="105"/>
        <v>0</v>
      </c>
      <c r="H25" s="542">
        <f t="shared" si="105"/>
        <v>0</v>
      </c>
      <c r="I25" s="542">
        <f t="shared" si="105"/>
        <v>0</v>
      </c>
      <c r="J25" s="542">
        <f t="shared" si="105"/>
        <v>0</v>
      </c>
      <c r="K25" s="542">
        <f t="shared" si="105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6">SUM(U969:U971)</f>
        <v>0</v>
      </c>
      <c r="V25" s="542">
        <f t="shared" si="106"/>
        <v>0</v>
      </c>
      <c r="W25" s="542">
        <f t="shared" si="106"/>
        <v>0</v>
      </c>
      <c r="X25" s="542">
        <f t="shared" si="106"/>
        <v>0</v>
      </c>
      <c r="Y25" s="542">
        <f t="shared" si="106"/>
        <v>0</v>
      </c>
      <c r="Z25" s="542">
        <f t="shared" si="106"/>
        <v>0</v>
      </c>
      <c r="AA25" s="542">
        <f t="shared" si="106"/>
        <v>0</v>
      </c>
      <c r="AB25" s="542">
        <f t="shared" si="106"/>
        <v>0</v>
      </c>
      <c r="AC25" s="542">
        <f t="shared" si="106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7">SUM(AM969:AM971)</f>
        <v>0</v>
      </c>
      <c r="AN25" s="542">
        <f t="shared" si="107"/>
        <v>0</v>
      </c>
      <c r="AO25" s="542">
        <f t="shared" si="107"/>
        <v>2800</v>
      </c>
      <c r="AP25" s="542">
        <f t="shared" si="107"/>
        <v>0</v>
      </c>
      <c r="AQ25" s="542">
        <f t="shared" si="107"/>
        <v>0</v>
      </c>
      <c r="AR25" s="542">
        <f t="shared" si="107"/>
        <v>0</v>
      </c>
      <c r="AS25" s="542">
        <f t="shared" si="107"/>
        <v>0</v>
      </c>
      <c r="AT25" s="542">
        <f t="shared" si="107"/>
        <v>0</v>
      </c>
      <c r="AU25" s="542">
        <f t="shared" si="107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8">SUM(BE969:BE971)</f>
        <v>3600</v>
      </c>
      <c r="BF25" s="542">
        <f t="shared" si="108"/>
        <v>10800</v>
      </c>
      <c r="BG25" s="542">
        <f t="shared" si="108"/>
        <v>0</v>
      </c>
      <c r="BH25" s="542">
        <f t="shared" si="108"/>
        <v>12000</v>
      </c>
      <c r="BI25" s="542">
        <f t="shared" si="108"/>
        <v>0</v>
      </c>
      <c r="BJ25" s="542">
        <f t="shared" si="108"/>
        <v>38500</v>
      </c>
      <c r="BK25" s="542">
        <f t="shared" si="108"/>
        <v>0</v>
      </c>
      <c r="BL25" s="542">
        <f t="shared" si="108"/>
        <v>0</v>
      </c>
      <c r="BM25" s="542">
        <f t="shared" si="108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9">SUM(BW969:BW971)</f>
        <v>0</v>
      </c>
      <c r="BX25" s="542">
        <f t="shared" si="109"/>
        <v>0</v>
      </c>
      <c r="BY25" s="542">
        <f t="shared" si="109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2">
        <f t="shared" si="12"/>
        <v>0</v>
      </c>
      <c r="CE25" s="1343">
        <f t="shared" si="12"/>
        <v>0</v>
      </c>
      <c r="CF25" s="1343">
        <f t="shared" si="12"/>
        <v>0</v>
      </c>
      <c r="CG25" s="1343">
        <f t="shared" si="12"/>
        <v>0</v>
      </c>
      <c r="CH25" s="1344">
        <f t="shared" si="12"/>
        <v>0</v>
      </c>
      <c r="CI25" s="1344">
        <f t="shared" si="12"/>
        <v>0</v>
      </c>
      <c r="CJ25" s="1343">
        <f t="shared" si="12"/>
        <v>0</v>
      </c>
      <c r="CK25" s="1343">
        <f t="shared" si="12"/>
        <v>0</v>
      </c>
      <c r="CL25" s="1343">
        <f t="shared" si="12"/>
        <v>0</v>
      </c>
      <c r="CM25" s="1342">
        <f t="shared" si="12"/>
        <v>2800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10">SUM(B972:B974)</f>
        <v>0</v>
      </c>
      <c r="C26" s="542">
        <f t="shared" si="110"/>
        <v>0</v>
      </c>
      <c r="D26" s="542">
        <f t="shared" si="110"/>
        <v>0</v>
      </c>
      <c r="E26" s="542">
        <f t="shared" si="110"/>
        <v>0</v>
      </c>
      <c r="F26" s="542">
        <f t="shared" si="110"/>
        <v>0</v>
      </c>
      <c r="G26" s="542">
        <f t="shared" si="110"/>
        <v>0</v>
      </c>
      <c r="H26" s="542">
        <f t="shared" si="110"/>
        <v>0</v>
      </c>
      <c r="I26" s="542">
        <f t="shared" si="110"/>
        <v>0</v>
      </c>
      <c r="J26" s="542">
        <f t="shared" si="110"/>
        <v>0</v>
      </c>
      <c r="K26" s="542">
        <f t="shared" si="110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11">SUM(T972:T974)</f>
        <v>0</v>
      </c>
      <c r="U26" s="542">
        <f t="shared" si="111"/>
        <v>0</v>
      </c>
      <c r="V26" s="542">
        <f t="shared" si="111"/>
        <v>0</v>
      </c>
      <c r="W26" s="542">
        <f t="shared" si="111"/>
        <v>0</v>
      </c>
      <c r="X26" s="542">
        <f t="shared" si="111"/>
        <v>0</v>
      </c>
      <c r="Y26" s="542">
        <f t="shared" si="111"/>
        <v>0</v>
      </c>
      <c r="Z26" s="542">
        <f t="shared" si="111"/>
        <v>0</v>
      </c>
      <c r="AA26" s="542">
        <f t="shared" si="111"/>
        <v>0</v>
      </c>
      <c r="AB26" s="542">
        <f t="shared" si="111"/>
        <v>0</v>
      </c>
      <c r="AC26" s="542">
        <f t="shared" si="111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2">SUM(AL972:AL974)</f>
        <v>0</v>
      </c>
      <c r="AM26" s="542">
        <f t="shared" si="112"/>
        <v>0</v>
      </c>
      <c r="AN26" s="542">
        <f t="shared" si="112"/>
        <v>0</v>
      </c>
      <c r="AO26" s="542">
        <f t="shared" si="112"/>
        <v>12000</v>
      </c>
      <c r="AP26" s="542">
        <f t="shared" si="112"/>
        <v>1000</v>
      </c>
      <c r="AQ26" s="542">
        <f t="shared" si="112"/>
        <v>2160</v>
      </c>
      <c r="AR26" s="542">
        <f t="shared" si="112"/>
        <v>0</v>
      </c>
      <c r="AS26" s="542">
        <f t="shared" si="112"/>
        <v>270</v>
      </c>
      <c r="AT26" s="542">
        <f t="shared" si="112"/>
        <v>0</v>
      </c>
      <c r="AU26" s="542">
        <f t="shared" si="112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3">SUM(BD972:BD974)</f>
        <v>0</v>
      </c>
      <c r="BE26" s="542">
        <f t="shared" si="113"/>
        <v>0</v>
      </c>
      <c r="BF26" s="542">
        <f t="shared" si="113"/>
        <v>0</v>
      </c>
      <c r="BG26" s="542">
        <f t="shared" si="113"/>
        <v>0</v>
      </c>
      <c r="BH26" s="542">
        <f t="shared" si="113"/>
        <v>0</v>
      </c>
      <c r="BI26" s="542">
        <f t="shared" si="113"/>
        <v>0</v>
      </c>
      <c r="BJ26" s="542">
        <f t="shared" si="113"/>
        <v>0</v>
      </c>
      <c r="BK26" s="542">
        <f t="shared" si="113"/>
        <v>0</v>
      </c>
      <c r="BL26" s="542">
        <f t="shared" si="113"/>
        <v>0</v>
      </c>
      <c r="BM26" s="542">
        <f t="shared" si="113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4">SUM(BW972:BW974)</f>
        <v>0</v>
      </c>
      <c r="BX26" s="542">
        <f t="shared" si="114"/>
        <v>429</v>
      </c>
      <c r="BY26" s="542">
        <f t="shared" si="114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2">
        <f t="shared" si="12"/>
        <v>0</v>
      </c>
      <c r="CE26" s="1343">
        <f t="shared" si="12"/>
        <v>0</v>
      </c>
      <c r="CF26" s="1343">
        <f t="shared" si="12"/>
        <v>0</v>
      </c>
      <c r="CG26" s="1343">
        <f t="shared" si="12"/>
        <v>0</v>
      </c>
      <c r="CH26" s="1344">
        <f t="shared" si="12"/>
        <v>0</v>
      </c>
      <c r="CI26" s="1344">
        <f t="shared" si="12"/>
        <v>0</v>
      </c>
      <c r="CJ26" s="1343">
        <f t="shared" si="12"/>
        <v>270</v>
      </c>
      <c r="CK26" s="1343">
        <f t="shared" si="12"/>
        <v>1000</v>
      </c>
      <c r="CL26" s="1343">
        <f t="shared" si="12"/>
        <v>2160</v>
      </c>
      <c r="CM26" s="1342">
        <f t="shared" si="12"/>
        <v>12000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5">SUM(B975:B976)</f>
        <v>0</v>
      </c>
      <c r="C27" s="542">
        <f t="shared" si="115"/>
        <v>0</v>
      </c>
      <c r="D27" s="542">
        <f t="shared" si="115"/>
        <v>0</v>
      </c>
      <c r="E27" s="542">
        <f t="shared" si="115"/>
        <v>0</v>
      </c>
      <c r="F27" s="542">
        <f t="shared" si="115"/>
        <v>0</v>
      </c>
      <c r="G27" s="542">
        <f t="shared" si="115"/>
        <v>0</v>
      </c>
      <c r="H27" s="542">
        <f t="shared" si="115"/>
        <v>0</v>
      </c>
      <c r="I27" s="542">
        <f t="shared" si="115"/>
        <v>0</v>
      </c>
      <c r="J27" s="542">
        <f t="shared" si="115"/>
        <v>0</v>
      </c>
      <c r="K27" s="542">
        <f t="shared" si="115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6">SUM(T975:T976)</f>
        <v>0</v>
      </c>
      <c r="U27" s="542">
        <f t="shared" si="116"/>
        <v>0</v>
      </c>
      <c r="V27" s="542">
        <f t="shared" si="116"/>
        <v>0</v>
      </c>
      <c r="W27" s="542">
        <f t="shared" si="116"/>
        <v>0</v>
      </c>
      <c r="X27" s="542">
        <f t="shared" si="116"/>
        <v>0</v>
      </c>
      <c r="Y27" s="542">
        <f t="shared" si="116"/>
        <v>4680</v>
      </c>
      <c r="Z27" s="542">
        <f t="shared" si="116"/>
        <v>0</v>
      </c>
      <c r="AA27" s="542">
        <f t="shared" si="116"/>
        <v>0</v>
      </c>
      <c r="AB27" s="542">
        <f t="shared" si="116"/>
        <v>0</v>
      </c>
      <c r="AC27" s="542">
        <f t="shared" si="116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7">SUM(AL975:AL976)</f>
        <v>0</v>
      </c>
      <c r="AM27" s="542">
        <f t="shared" si="117"/>
        <v>2160</v>
      </c>
      <c r="AN27" s="542">
        <f t="shared" si="117"/>
        <v>1800</v>
      </c>
      <c r="AO27" s="542">
        <f t="shared" si="117"/>
        <v>500</v>
      </c>
      <c r="AP27" s="542">
        <f t="shared" si="117"/>
        <v>0</v>
      </c>
      <c r="AQ27" s="542">
        <f t="shared" si="117"/>
        <v>0</v>
      </c>
      <c r="AR27" s="542">
        <f t="shared" si="117"/>
        <v>0</v>
      </c>
      <c r="AS27" s="542">
        <f t="shared" si="117"/>
        <v>0</v>
      </c>
      <c r="AT27" s="542">
        <f t="shared" si="117"/>
        <v>0</v>
      </c>
      <c r="AU27" s="542">
        <f t="shared" si="117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8">SUM(BD975:BD976)</f>
        <v>16800</v>
      </c>
      <c r="BE27" s="542">
        <f t="shared" si="118"/>
        <v>0</v>
      </c>
      <c r="BF27" s="542">
        <f t="shared" si="118"/>
        <v>5760</v>
      </c>
      <c r="BG27" s="542">
        <f t="shared" si="118"/>
        <v>0</v>
      </c>
      <c r="BH27" s="542">
        <f t="shared" si="118"/>
        <v>4200</v>
      </c>
      <c r="BI27" s="542">
        <f t="shared" si="118"/>
        <v>0</v>
      </c>
      <c r="BJ27" s="542">
        <f t="shared" si="118"/>
        <v>0</v>
      </c>
      <c r="BK27" s="542">
        <f t="shared" si="118"/>
        <v>0</v>
      </c>
      <c r="BL27" s="542">
        <f t="shared" si="118"/>
        <v>0</v>
      </c>
      <c r="BM27" s="542">
        <f t="shared" si="118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9">SUM(BW975:BW976)</f>
        <v>0</v>
      </c>
      <c r="BX27" s="542">
        <f t="shared" si="119"/>
        <v>2160</v>
      </c>
      <c r="BY27" s="542">
        <f t="shared" si="119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2">
        <f t="shared" si="12"/>
        <v>0</v>
      </c>
      <c r="CE27" s="1343">
        <f t="shared" si="12"/>
        <v>0</v>
      </c>
      <c r="CF27" s="1343">
        <f t="shared" si="12"/>
        <v>0</v>
      </c>
      <c r="CG27" s="1343">
        <f t="shared" si="12"/>
        <v>0</v>
      </c>
      <c r="CH27" s="1344">
        <f t="shared" si="12"/>
        <v>0</v>
      </c>
      <c r="CI27" s="1344">
        <f t="shared" si="12"/>
        <v>0</v>
      </c>
      <c r="CJ27" s="1343">
        <f t="shared" si="12"/>
        <v>500</v>
      </c>
      <c r="CK27" s="1343">
        <f t="shared" si="12"/>
        <v>1800</v>
      </c>
      <c r="CL27" s="1343">
        <f t="shared" si="12"/>
        <v>1920</v>
      </c>
      <c r="CM27" s="1342">
        <f t="shared" si="12"/>
        <v>2160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20">SUM(B977:B980)</f>
        <v>23160</v>
      </c>
      <c r="C28" s="542">
        <f t="shared" si="120"/>
        <v>27720</v>
      </c>
      <c r="D28" s="542">
        <f t="shared" si="120"/>
        <v>37200</v>
      </c>
      <c r="E28" s="542">
        <f t="shared" si="120"/>
        <v>43200</v>
      </c>
      <c r="F28" s="542">
        <f t="shared" si="120"/>
        <v>26640</v>
      </c>
      <c r="G28" s="542">
        <f t="shared" si="120"/>
        <v>27360</v>
      </c>
      <c r="H28" s="542">
        <f t="shared" si="120"/>
        <v>31080</v>
      </c>
      <c r="I28" s="542">
        <f t="shared" si="120"/>
        <v>10080</v>
      </c>
      <c r="J28" s="542">
        <f t="shared" si="120"/>
        <v>34800</v>
      </c>
      <c r="K28" s="542">
        <f t="shared" si="120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21">SUM(T977:T980)</f>
        <v>7680</v>
      </c>
      <c r="U28" s="542">
        <f t="shared" si="121"/>
        <v>7680</v>
      </c>
      <c r="V28" s="542">
        <f t="shared" si="121"/>
        <v>18720</v>
      </c>
      <c r="W28" s="542">
        <f t="shared" si="121"/>
        <v>26040</v>
      </c>
      <c r="X28" s="542">
        <f t="shared" si="121"/>
        <v>26040</v>
      </c>
      <c r="Y28" s="542">
        <f t="shared" si="121"/>
        <v>32652</v>
      </c>
      <c r="Z28" s="542">
        <f t="shared" si="121"/>
        <v>36000</v>
      </c>
      <c r="AA28" s="542">
        <f t="shared" si="121"/>
        <v>26040</v>
      </c>
      <c r="AB28" s="542">
        <f t="shared" si="121"/>
        <v>29760</v>
      </c>
      <c r="AC28" s="542">
        <f t="shared" si="121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2">SUM(AL977:AL980)</f>
        <v>26640</v>
      </c>
      <c r="AM28" s="542">
        <f t="shared" si="122"/>
        <v>32520</v>
      </c>
      <c r="AN28" s="542">
        <f t="shared" si="122"/>
        <v>28680</v>
      </c>
      <c r="AO28" s="542">
        <f t="shared" si="122"/>
        <v>35040</v>
      </c>
      <c r="AP28" s="542">
        <f t="shared" si="122"/>
        <v>35880</v>
      </c>
      <c r="AQ28" s="542">
        <f t="shared" si="122"/>
        <v>32731.200000000001</v>
      </c>
      <c r="AR28" s="542">
        <f t="shared" si="122"/>
        <v>42720</v>
      </c>
      <c r="AS28" s="542">
        <f t="shared" si="122"/>
        <v>36840</v>
      </c>
      <c r="AT28" s="542">
        <f t="shared" si="122"/>
        <v>18360</v>
      </c>
      <c r="AU28" s="542">
        <f t="shared" si="122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3">SUM(BD977:BD980)</f>
        <v>17520</v>
      </c>
      <c r="BE28" s="542">
        <f t="shared" si="123"/>
        <v>20160</v>
      </c>
      <c r="BF28" s="542">
        <f t="shared" si="123"/>
        <v>20160</v>
      </c>
      <c r="BG28" s="542">
        <f t="shared" si="123"/>
        <v>29760</v>
      </c>
      <c r="BH28" s="542">
        <f t="shared" si="123"/>
        <v>19200</v>
      </c>
      <c r="BI28" s="542">
        <f t="shared" si="123"/>
        <v>32400</v>
      </c>
      <c r="BJ28" s="542">
        <f t="shared" si="123"/>
        <v>35040</v>
      </c>
      <c r="BK28" s="542">
        <f t="shared" si="123"/>
        <v>34920</v>
      </c>
      <c r="BL28" s="542">
        <f t="shared" si="123"/>
        <v>44640</v>
      </c>
      <c r="BM28" s="542">
        <f t="shared" si="123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4">SUM(BV977:BV980)</f>
        <v>22020</v>
      </c>
      <c r="BW28" s="542">
        <f t="shared" ref="BW28:BY28" si="125">SUM(BW977:BW980)</f>
        <v>22020</v>
      </c>
      <c r="BX28" s="542">
        <f t="shared" si="125"/>
        <v>22391</v>
      </c>
      <c r="BY28" s="542">
        <f t="shared" si="125"/>
        <v>6162</v>
      </c>
      <c r="BZ28" s="536"/>
      <c r="CA28" s="536"/>
      <c r="CB28" s="536"/>
      <c r="CC28" s="536"/>
      <c r="CD28" s="1342">
        <f t="shared" si="12"/>
        <v>18360</v>
      </c>
      <c r="CE28" s="1343">
        <f t="shared" si="12"/>
        <v>23400</v>
      </c>
      <c r="CF28" s="1343">
        <f t="shared" si="12"/>
        <v>26640</v>
      </c>
      <c r="CG28" s="1343">
        <f t="shared" si="12"/>
        <v>28680</v>
      </c>
      <c r="CH28" s="1344">
        <f t="shared" si="12"/>
        <v>32520</v>
      </c>
      <c r="CI28" s="1344">
        <f t="shared" si="12"/>
        <v>32731.200000000001</v>
      </c>
      <c r="CJ28" s="1343">
        <f t="shared" si="12"/>
        <v>35040</v>
      </c>
      <c r="CK28" s="1343">
        <f t="shared" si="12"/>
        <v>35880</v>
      </c>
      <c r="CL28" s="1343">
        <f t="shared" si="12"/>
        <v>36840</v>
      </c>
      <c r="CM28" s="1342">
        <f t="shared" si="12"/>
        <v>42720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6">SUM(B981:B984)</f>
        <v>0</v>
      </c>
      <c r="C29" s="542">
        <f t="shared" si="126"/>
        <v>0</v>
      </c>
      <c r="D29" s="542">
        <f t="shared" si="126"/>
        <v>0</v>
      </c>
      <c r="E29" s="542">
        <f t="shared" si="126"/>
        <v>0</v>
      </c>
      <c r="F29" s="542">
        <f t="shared" si="126"/>
        <v>0</v>
      </c>
      <c r="G29" s="542">
        <f t="shared" si="126"/>
        <v>0</v>
      </c>
      <c r="H29" s="542">
        <f t="shared" si="126"/>
        <v>0</v>
      </c>
      <c r="I29" s="542">
        <f t="shared" si="126"/>
        <v>4800</v>
      </c>
      <c r="J29" s="542">
        <f t="shared" si="126"/>
        <v>0</v>
      </c>
      <c r="K29" s="542">
        <f t="shared" si="126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7">SUM(T981:T984)</f>
        <v>0</v>
      </c>
      <c r="U29" s="542">
        <f t="shared" si="127"/>
        <v>0</v>
      </c>
      <c r="V29" s="542">
        <f t="shared" si="127"/>
        <v>0</v>
      </c>
      <c r="W29" s="542">
        <f t="shared" si="127"/>
        <v>0</v>
      </c>
      <c r="X29" s="542">
        <f t="shared" si="127"/>
        <v>0</v>
      </c>
      <c r="Y29" s="542">
        <f t="shared" si="127"/>
        <v>0</v>
      </c>
      <c r="Z29" s="542">
        <f t="shared" si="127"/>
        <v>0</v>
      </c>
      <c r="AA29" s="542">
        <f t="shared" si="127"/>
        <v>0</v>
      </c>
      <c r="AB29" s="542">
        <f t="shared" si="127"/>
        <v>0</v>
      </c>
      <c r="AC29" s="542">
        <f t="shared" si="127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8">SUM(AL981:AL984)</f>
        <v>0</v>
      </c>
      <c r="AM29" s="542">
        <f t="shared" si="128"/>
        <v>2400</v>
      </c>
      <c r="AN29" s="542">
        <f t="shared" si="128"/>
        <v>1000</v>
      </c>
      <c r="AO29" s="542">
        <f t="shared" si="128"/>
        <v>0</v>
      </c>
      <c r="AP29" s="542">
        <f t="shared" si="128"/>
        <v>2400</v>
      </c>
      <c r="AQ29" s="542">
        <f t="shared" si="128"/>
        <v>1600</v>
      </c>
      <c r="AR29" s="542">
        <f t="shared" si="128"/>
        <v>0</v>
      </c>
      <c r="AS29" s="542">
        <f t="shared" si="128"/>
        <v>0</v>
      </c>
      <c r="AT29" s="542">
        <f t="shared" si="128"/>
        <v>0</v>
      </c>
      <c r="AU29" s="542">
        <f t="shared" si="128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9">SUM(BD981:BD984)</f>
        <v>0</v>
      </c>
      <c r="BE29" s="542">
        <f t="shared" si="129"/>
        <v>0</v>
      </c>
      <c r="BF29" s="542">
        <f t="shared" si="129"/>
        <v>0</v>
      </c>
      <c r="BG29" s="542">
        <f t="shared" si="129"/>
        <v>0</v>
      </c>
      <c r="BH29" s="542">
        <f t="shared" si="129"/>
        <v>0</v>
      </c>
      <c r="BI29" s="542">
        <f t="shared" si="129"/>
        <v>0</v>
      </c>
      <c r="BJ29" s="542">
        <f t="shared" si="129"/>
        <v>0</v>
      </c>
      <c r="BK29" s="542">
        <f t="shared" si="129"/>
        <v>0</v>
      </c>
      <c r="BL29" s="542">
        <f t="shared" si="129"/>
        <v>1800</v>
      </c>
      <c r="BM29" s="542">
        <f t="shared" si="129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30">SUM(BW981:BW984)</f>
        <v>0</v>
      </c>
      <c r="BX29" s="542">
        <f t="shared" si="130"/>
        <v>1600</v>
      </c>
      <c r="BY29" s="542">
        <f t="shared" si="130"/>
        <v>0</v>
      </c>
      <c r="BZ29" s="536"/>
      <c r="CA29" s="536"/>
      <c r="CB29" s="536"/>
      <c r="CC29" s="536"/>
      <c r="CD29" s="1342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3">
        <f t="shared" si="131"/>
        <v>0</v>
      </c>
      <c r="CF29" s="1343">
        <f t="shared" si="131"/>
        <v>0</v>
      </c>
      <c r="CG29" s="1343">
        <f t="shared" si="131"/>
        <v>0</v>
      </c>
      <c r="CH29" s="1344">
        <f t="shared" si="131"/>
        <v>0</v>
      </c>
      <c r="CI29" s="1344">
        <f t="shared" si="131"/>
        <v>1000</v>
      </c>
      <c r="CJ29" s="1343">
        <f t="shared" si="131"/>
        <v>1000</v>
      </c>
      <c r="CK29" s="1343">
        <f t="shared" si="131"/>
        <v>1600</v>
      </c>
      <c r="CL29" s="1343">
        <f t="shared" si="131"/>
        <v>2400</v>
      </c>
      <c r="CM29" s="1342">
        <f t="shared" si="131"/>
        <v>2400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2">SUM(B962:B964)</f>
        <v>0</v>
      </c>
      <c r="C30" s="542">
        <f t="shared" si="132"/>
        <v>0</v>
      </c>
      <c r="D30" s="542">
        <f t="shared" si="132"/>
        <v>0</v>
      </c>
      <c r="E30" s="542">
        <f t="shared" si="132"/>
        <v>0</v>
      </c>
      <c r="F30" s="542">
        <f t="shared" si="132"/>
        <v>0</v>
      </c>
      <c r="G30" s="542">
        <f t="shared" si="132"/>
        <v>0</v>
      </c>
      <c r="H30" s="542">
        <f t="shared" si="132"/>
        <v>0</v>
      </c>
      <c r="I30" s="542">
        <f t="shared" si="132"/>
        <v>0</v>
      </c>
      <c r="J30" s="542">
        <f t="shared" si="132"/>
        <v>0</v>
      </c>
      <c r="K30" s="542">
        <f t="shared" si="132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3">SUM(T962:T964)</f>
        <v>0</v>
      </c>
      <c r="U30" s="542">
        <f t="shared" si="133"/>
        <v>960</v>
      </c>
      <c r="V30" s="542">
        <f t="shared" si="133"/>
        <v>0</v>
      </c>
      <c r="W30" s="542">
        <f t="shared" si="133"/>
        <v>0</v>
      </c>
      <c r="X30" s="542">
        <f t="shared" si="133"/>
        <v>0</v>
      </c>
      <c r="Y30" s="542">
        <f t="shared" si="133"/>
        <v>0</v>
      </c>
      <c r="Z30" s="542">
        <f t="shared" si="133"/>
        <v>0</v>
      </c>
      <c r="AA30" s="542">
        <f t="shared" si="133"/>
        <v>0</v>
      </c>
      <c r="AB30" s="542">
        <f t="shared" si="133"/>
        <v>0</v>
      </c>
      <c r="AC30" s="542">
        <f t="shared" si="133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4">SUM(AL962:AL964)</f>
        <v>0</v>
      </c>
      <c r="AM30" s="542">
        <f t="shared" si="134"/>
        <v>0</v>
      </c>
      <c r="AN30" s="542">
        <f t="shared" si="134"/>
        <v>0</v>
      </c>
      <c r="AO30" s="542">
        <f t="shared" si="134"/>
        <v>0</v>
      </c>
      <c r="AP30" s="542">
        <f t="shared" si="134"/>
        <v>0</v>
      </c>
      <c r="AQ30" s="542">
        <f t="shared" si="134"/>
        <v>0</v>
      </c>
      <c r="AR30" s="542">
        <f t="shared" si="134"/>
        <v>0</v>
      </c>
      <c r="AS30" s="542">
        <f t="shared" si="134"/>
        <v>0</v>
      </c>
      <c r="AT30" s="542">
        <f t="shared" si="134"/>
        <v>0</v>
      </c>
      <c r="AU30" s="542">
        <f t="shared" si="134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5">SUM(BD962:BD964)</f>
        <v>0</v>
      </c>
      <c r="BE30" s="542">
        <f t="shared" si="135"/>
        <v>2000</v>
      </c>
      <c r="BF30" s="542">
        <f t="shared" si="135"/>
        <v>0</v>
      </c>
      <c r="BG30" s="542">
        <f t="shared" si="135"/>
        <v>101.25</v>
      </c>
      <c r="BH30" s="542">
        <f t="shared" si="135"/>
        <v>0</v>
      </c>
      <c r="BI30" s="542">
        <f t="shared" si="135"/>
        <v>0</v>
      </c>
      <c r="BJ30" s="542">
        <f t="shared" si="135"/>
        <v>0</v>
      </c>
      <c r="BK30" s="542">
        <f t="shared" si="135"/>
        <v>0</v>
      </c>
      <c r="BL30" s="542">
        <f t="shared" si="135"/>
        <v>0</v>
      </c>
      <c r="BM30" s="542">
        <f t="shared" si="135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6">SUM(BW962:BW964)</f>
        <v>0</v>
      </c>
      <c r="BX30" s="542">
        <f t="shared" si="136"/>
        <v>0</v>
      </c>
      <c r="BY30" s="542">
        <f t="shared" si="136"/>
        <v>0</v>
      </c>
      <c r="BZ30" s="536">
        <f t="shared" ref="BZ30:BZ93" si="137">IF(DD30&lt;3,"",(SUM(B30:R30)-MIN(B30:R30)-MAX(B30:R30))/(DD30-2))</f>
        <v>0</v>
      </c>
      <c r="CA30" s="536">
        <f t="shared" ref="CA30:CA93" si="138">IF(DE30&lt;3,"",(SUM(T30:AJ30)-MIN(T30:AJ30)-MAX(T30:AJ30))/(DE30-2))</f>
        <v>0</v>
      </c>
      <c r="CB30" s="536">
        <f t="shared" ref="CB30:CB93" si="139">IF(DF30&lt;3,"",(SUM(AL30:BB30)-MIN(AL30:BB30)-MAX(AL30:BB30))/(DF30-2))</f>
        <v>0</v>
      </c>
      <c r="CC30" s="536">
        <f t="shared" ref="CC30:CC93" si="140">IF(DG30&lt;3,"",(SUM(BD30:BT30)-MIN(BD30:BT30)-MAX(BD30:BT30))/(DG30-2))</f>
        <v>12.65625</v>
      </c>
      <c r="CD30" s="1342">
        <f t="shared" si="131"/>
        <v>0</v>
      </c>
      <c r="CE30" s="1343">
        <f t="shared" si="131"/>
        <v>0</v>
      </c>
      <c r="CF30" s="1343">
        <f t="shared" si="131"/>
        <v>0</v>
      </c>
      <c r="CG30" s="1343">
        <f t="shared" si="131"/>
        <v>0</v>
      </c>
      <c r="CH30" s="1344">
        <f t="shared" si="131"/>
        <v>0</v>
      </c>
      <c r="CI30" s="1344">
        <f t="shared" si="131"/>
        <v>0</v>
      </c>
      <c r="CJ30" s="1343">
        <f t="shared" si="131"/>
        <v>0</v>
      </c>
      <c r="CK30" s="1343">
        <f t="shared" si="131"/>
        <v>0</v>
      </c>
      <c r="CL30" s="1343">
        <f t="shared" si="131"/>
        <v>0</v>
      </c>
      <c r="CM30" s="1342">
        <f t="shared" si="131"/>
        <v>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41">COUNT(B30:R30)</f>
        <v>10</v>
      </c>
      <c r="DE30" s="499">
        <f t="shared" ref="DE30:DE43" si="142">COUNT(T30:AJ30)</f>
        <v>10</v>
      </c>
      <c r="DF30" s="499">
        <f t="shared" ref="DF30:DF43" si="143">COUNT(AL30:BB30)</f>
        <v>10</v>
      </c>
      <c r="DG30" s="499">
        <f t="shared" ref="DG30:DG43" si="144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5">SUM(B32:B41)</f>
        <v>22600</v>
      </c>
      <c r="C31" s="534">
        <f t="shared" si="145"/>
        <v>27519</v>
      </c>
      <c r="D31" s="534">
        <f t="shared" si="145"/>
        <v>35531.599999999999</v>
      </c>
      <c r="E31" s="534">
        <f t="shared" si="145"/>
        <v>38378</v>
      </c>
      <c r="F31" s="534">
        <f t="shared" si="145"/>
        <v>26506</v>
      </c>
      <c r="G31" s="534">
        <f t="shared" si="145"/>
        <v>27234</v>
      </c>
      <c r="H31" s="534">
        <f t="shared" si="145"/>
        <v>30904</v>
      </c>
      <c r="I31" s="534">
        <f t="shared" si="145"/>
        <v>15192</v>
      </c>
      <c r="J31" s="534">
        <f t="shared" si="145"/>
        <v>32826</v>
      </c>
      <c r="K31" s="534">
        <f t="shared" si="145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6">SUM(T32:T41)</f>
        <v>23304</v>
      </c>
      <c r="U31" s="534">
        <f t="shared" si="146"/>
        <v>14478</v>
      </c>
      <c r="V31" s="534">
        <f t="shared" si="146"/>
        <v>21487.599999999999</v>
      </c>
      <c r="W31" s="534">
        <f t="shared" si="146"/>
        <v>26232.6</v>
      </c>
      <c r="X31" s="534">
        <f t="shared" si="146"/>
        <v>26926.2</v>
      </c>
      <c r="Y31" s="534">
        <f t="shared" si="146"/>
        <v>35560</v>
      </c>
      <c r="Z31" s="534">
        <f t="shared" si="146"/>
        <v>38360</v>
      </c>
      <c r="AA31" s="534">
        <f t="shared" si="146"/>
        <v>24881.7</v>
      </c>
      <c r="AB31" s="534">
        <f t="shared" si="146"/>
        <v>28408</v>
      </c>
      <c r="AC31" s="534">
        <f t="shared" si="146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7">SUM(AL32:AL41)</f>
        <v>34807</v>
      </c>
      <c r="AM31" s="534">
        <f t="shared" si="147"/>
        <v>43506</v>
      </c>
      <c r="AN31" s="534">
        <f t="shared" si="147"/>
        <v>36405</v>
      </c>
      <c r="AO31" s="534">
        <f t="shared" si="147"/>
        <v>51963.6</v>
      </c>
      <c r="AP31" s="534">
        <f t="shared" si="147"/>
        <v>40692.479999999996</v>
      </c>
      <c r="AQ31" s="534">
        <f t="shared" si="147"/>
        <v>39183</v>
      </c>
      <c r="AR31" s="534">
        <f t="shared" si="147"/>
        <v>43119.4</v>
      </c>
      <c r="AS31" s="534">
        <f t="shared" si="147"/>
        <v>30855</v>
      </c>
      <c r="AT31" s="534">
        <f t="shared" si="147"/>
        <v>19029.400000000001</v>
      </c>
      <c r="AU31" s="534">
        <f t="shared" si="147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8">SUM(BD32:BD41)</f>
        <v>73563.44</v>
      </c>
      <c r="BE31" s="534">
        <f t="shared" si="148"/>
        <v>44010</v>
      </c>
      <c r="BF31" s="534">
        <f t="shared" si="148"/>
        <v>64568.2</v>
      </c>
      <c r="BG31" s="534">
        <f t="shared" si="148"/>
        <v>40787.119999999995</v>
      </c>
      <c r="BH31" s="534">
        <f t="shared" si="148"/>
        <v>53729.8</v>
      </c>
      <c r="BI31" s="534">
        <f t="shared" si="148"/>
        <v>44115.4</v>
      </c>
      <c r="BJ31" s="534">
        <f t="shared" si="148"/>
        <v>48108.4</v>
      </c>
      <c r="BK31" s="534">
        <f t="shared" si="148"/>
        <v>41814.5</v>
      </c>
      <c r="BL31" s="534">
        <f t="shared" si="148"/>
        <v>65343.76</v>
      </c>
      <c r="BM31" s="534">
        <f t="shared" si="148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7"/>
        <v>29075.324999999997</v>
      </c>
      <c r="CA31" s="536">
        <f t="shared" si="138"/>
        <v>28120.025000000001</v>
      </c>
      <c r="CB31" s="536">
        <f t="shared" si="139"/>
        <v>37328.135000000009</v>
      </c>
      <c r="CC31" s="536">
        <f t="shared" si="140"/>
        <v>52769.682500000003</v>
      </c>
      <c r="CD31" s="1342">
        <f t="shared" si="131"/>
        <v>19029.400000000001</v>
      </c>
      <c r="CE31" s="1343">
        <f t="shared" si="131"/>
        <v>30057.200000000001</v>
      </c>
      <c r="CF31" s="1343">
        <f t="shared" si="131"/>
        <v>30855</v>
      </c>
      <c r="CG31" s="1343">
        <f t="shared" si="131"/>
        <v>34807</v>
      </c>
      <c r="CH31" s="1344">
        <f t="shared" si="131"/>
        <v>36405</v>
      </c>
      <c r="CI31" s="1344">
        <f t="shared" si="131"/>
        <v>39183</v>
      </c>
      <c r="CJ31" s="1343">
        <f t="shared" si="131"/>
        <v>40692.479999999996</v>
      </c>
      <c r="CK31" s="1343">
        <f t="shared" si="131"/>
        <v>43119.4</v>
      </c>
      <c r="CL31" s="1343">
        <f t="shared" si="131"/>
        <v>43506</v>
      </c>
      <c r="CM31" s="1342">
        <f t="shared" si="131"/>
        <v>51963.6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40787.119999999995</v>
      </c>
      <c r="CR31" s="539">
        <f t="shared" si="18"/>
        <v>41814.5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41"/>
        <v>10</v>
      </c>
      <c r="DE31" s="499">
        <f t="shared" si="142"/>
        <v>10</v>
      </c>
      <c r="DF31" s="499">
        <f t="shared" si="143"/>
        <v>10</v>
      </c>
      <c r="DG31" s="499">
        <f t="shared" si="144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9">B988</f>
        <v>8880</v>
      </c>
      <c r="C32" s="547">
        <f t="shared" si="149"/>
        <v>3420</v>
      </c>
      <c r="D32" s="547">
        <f t="shared" si="149"/>
        <v>3120</v>
      </c>
      <c r="E32" s="547">
        <f t="shared" si="149"/>
        <v>8544</v>
      </c>
      <c r="F32" s="547">
        <f t="shared" si="149"/>
        <v>4380</v>
      </c>
      <c r="G32" s="547">
        <f t="shared" si="149"/>
        <v>4596</v>
      </c>
      <c r="H32" s="547">
        <f t="shared" si="149"/>
        <v>4800</v>
      </c>
      <c r="I32" s="547">
        <f t="shared" si="149"/>
        <v>5178</v>
      </c>
      <c r="J32" s="547">
        <f t="shared" si="149"/>
        <v>2640</v>
      </c>
      <c r="K32" s="547">
        <f t="shared" si="149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50">T988</f>
        <v>5480</v>
      </c>
      <c r="U32" s="547">
        <f t="shared" si="150"/>
        <v>2790</v>
      </c>
      <c r="V32" s="547">
        <f t="shared" si="150"/>
        <v>5940</v>
      </c>
      <c r="W32" s="547">
        <f t="shared" si="150"/>
        <v>8946</v>
      </c>
      <c r="X32" s="547">
        <f t="shared" si="150"/>
        <v>6120</v>
      </c>
      <c r="Y32" s="547">
        <f t="shared" si="150"/>
        <v>6756</v>
      </c>
      <c r="Z32" s="547">
        <f t="shared" si="150"/>
        <v>8160</v>
      </c>
      <c r="AA32" s="547">
        <f t="shared" si="150"/>
        <v>7865</v>
      </c>
      <c r="AB32" s="547">
        <f t="shared" si="150"/>
        <v>6710</v>
      </c>
      <c r="AC32" s="547">
        <f t="shared" si="150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51">AL988</f>
        <v>6423</v>
      </c>
      <c r="AM32" s="547">
        <f t="shared" si="151"/>
        <v>7800</v>
      </c>
      <c r="AN32" s="547">
        <f t="shared" si="151"/>
        <v>3370</v>
      </c>
      <c r="AO32" s="547">
        <f t="shared" si="151"/>
        <v>6600</v>
      </c>
      <c r="AP32" s="547">
        <f t="shared" si="151"/>
        <v>6840</v>
      </c>
      <c r="AQ32" s="547">
        <f t="shared" si="151"/>
        <v>2575</v>
      </c>
      <c r="AR32" s="547">
        <f t="shared" si="151"/>
        <v>6500</v>
      </c>
      <c r="AS32" s="547">
        <f t="shared" si="151"/>
        <v>6800</v>
      </c>
      <c r="AT32" s="547">
        <f t="shared" si="151"/>
        <v>2910</v>
      </c>
      <c r="AU32" s="547">
        <f t="shared" si="151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2">BD988</f>
        <v>12906</v>
      </c>
      <c r="BE32" s="547">
        <f t="shared" si="152"/>
        <v>6771</v>
      </c>
      <c r="BF32" s="547">
        <f t="shared" si="152"/>
        <v>7716</v>
      </c>
      <c r="BG32" s="547">
        <f t="shared" si="152"/>
        <v>5748</v>
      </c>
      <c r="BH32" s="547">
        <f t="shared" si="152"/>
        <v>10488</v>
      </c>
      <c r="BI32" s="547">
        <f t="shared" si="152"/>
        <v>7428</v>
      </c>
      <c r="BJ32" s="547">
        <f t="shared" si="152"/>
        <v>7458</v>
      </c>
      <c r="BK32" s="547">
        <f t="shared" si="152"/>
        <v>6678</v>
      </c>
      <c r="BL32" s="547">
        <f t="shared" si="152"/>
        <v>13584</v>
      </c>
      <c r="BM32" s="547">
        <f t="shared" si="152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3">BV988</f>
        <v>4820</v>
      </c>
      <c r="BW32" s="547">
        <f t="shared" si="153"/>
        <v>4825</v>
      </c>
      <c r="BX32" s="547">
        <f t="shared" si="153"/>
        <v>5180</v>
      </c>
      <c r="BY32" s="547">
        <f t="shared" si="153"/>
        <v>8340</v>
      </c>
      <c r="BZ32" s="536">
        <f t="shared" si="137"/>
        <v>4587</v>
      </c>
      <c r="CA32" s="536">
        <f t="shared" si="138"/>
        <v>6861.375</v>
      </c>
      <c r="CB32" s="536">
        <f t="shared" si="139"/>
        <v>5905.375</v>
      </c>
      <c r="CC32" s="536">
        <f t="shared" si="140"/>
        <v>8240.25</v>
      </c>
      <c r="CD32" s="1342">
        <f t="shared" si="131"/>
        <v>2575</v>
      </c>
      <c r="CE32" s="1343">
        <f t="shared" si="131"/>
        <v>2910</v>
      </c>
      <c r="CF32" s="1343">
        <f t="shared" si="131"/>
        <v>3370</v>
      </c>
      <c r="CG32" s="1343">
        <f t="shared" si="131"/>
        <v>6423</v>
      </c>
      <c r="CH32" s="1344">
        <f t="shared" si="131"/>
        <v>6500</v>
      </c>
      <c r="CI32" s="1344">
        <f t="shared" si="131"/>
        <v>6600</v>
      </c>
      <c r="CJ32" s="1343">
        <f t="shared" si="131"/>
        <v>6800</v>
      </c>
      <c r="CK32" s="1343">
        <f t="shared" si="131"/>
        <v>6840</v>
      </c>
      <c r="CL32" s="1343">
        <f t="shared" si="131"/>
        <v>7800</v>
      </c>
      <c r="CM32" s="1342">
        <f t="shared" si="131"/>
        <v>8280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41"/>
        <v>10</v>
      </c>
      <c r="DE32" s="499">
        <f t="shared" si="142"/>
        <v>10</v>
      </c>
      <c r="DF32" s="499">
        <f t="shared" si="143"/>
        <v>10</v>
      </c>
      <c r="DG32" s="499">
        <f t="shared" si="144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4">SUM(C989:C991)</f>
        <v>2493</v>
      </c>
      <c r="D33" s="547">
        <f t="shared" si="154"/>
        <v>2343.6</v>
      </c>
      <c r="E33" s="547">
        <f t="shared" si="154"/>
        <v>2028</v>
      </c>
      <c r="F33" s="547">
        <f t="shared" si="154"/>
        <v>2076</v>
      </c>
      <c r="G33" s="547">
        <f t="shared" si="154"/>
        <v>2328</v>
      </c>
      <c r="H33" s="547">
        <f t="shared" si="154"/>
        <v>2096</v>
      </c>
      <c r="I33" s="547">
        <f t="shared" si="154"/>
        <v>1634</v>
      </c>
      <c r="J33" s="547">
        <f t="shared" si="154"/>
        <v>2076</v>
      </c>
      <c r="K33" s="547">
        <f t="shared" si="154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5">SUM(U989:U991)</f>
        <v>4310</v>
      </c>
      <c r="V33" s="547">
        <f t="shared" si="155"/>
        <v>5229.6000000000004</v>
      </c>
      <c r="W33" s="547">
        <f t="shared" si="155"/>
        <v>6321.6</v>
      </c>
      <c r="X33" s="547">
        <f t="shared" si="155"/>
        <v>4936.2000000000007</v>
      </c>
      <c r="Y33" s="547">
        <f t="shared" si="155"/>
        <v>5226</v>
      </c>
      <c r="Z33" s="547">
        <f t="shared" si="155"/>
        <v>7632</v>
      </c>
      <c r="AA33" s="547">
        <f t="shared" si="155"/>
        <v>5194.7</v>
      </c>
      <c r="AB33" s="547">
        <f t="shared" si="155"/>
        <v>6353</v>
      </c>
      <c r="AC33" s="547">
        <f t="shared" si="155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6">SUM(AM989:AM991)</f>
        <v>7018</v>
      </c>
      <c r="AN33" s="547">
        <f t="shared" si="156"/>
        <v>5225</v>
      </c>
      <c r="AO33" s="547">
        <f t="shared" si="156"/>
        <v>7173.6</v>
      </c>
      <c r="AP33" s="547">
        <f t="shared" si="156"/>
        <v>8520.48</v>
      </c>
      <c r="AQ33" s="547">
        <f t="shared" si="156"/>
        <v>4398</v>
      </c>
      <c r="AR33" s="547">
        <f t="shared" si="156"/>
        <v>7099.4</v>
      </c>
      <c r="AS33" s="547">
        <f t="shared" si="156"/>
        <v>6641</v>
      </c>
      <c r="AT33" s="547">
        <f t="shared" si="156"/>
        <v>5174.3999999999996</v>
      </c>
      <c r="AU33" s="547">
        <f t="shared" si="156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7">SUM(BE989:BE991)</f>
        <v>5499</v>
      </c>
      <c r="BF33" s="547">
        <f t="shared" si="157"/>
        <v>6278.2</v>
      </c>
      <c r="BG33" s="547">
        <f t="shared" si="157"/>
        <v>6525.12</v>
      </c>
      <c r="BH33" s="547">
        <f t="shared" si="157"/>
        <v>7506.8</v>
      </c>
      <c r="BI33" s="547">
        <f t="shared" si="157"/>
        <v>5617.4</v>
      </c>
      <c r="BJ33" s="547">
        <f t="shared" si="157"/>
        <v>4714.3999999999996</v>
      </c>
      <c r="BK33" s="547">
        <f t="shared" si="157"/>
        <v>8698.5</v>
      </c>
      <c r="BL33" s="547">
        <f t="shared" si="157"/>
        <v>7379.76</v>
      </c>
      <c r="BM33" s="547">
        <f t="shared" si="157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8">SUM(BV989:BV991)</f>
        <v>5112</v>
      </c>
      <c r="BW33" s="547">
        <f t="shared" si="158"/>
        <v>5877</v>
      </c>
      <c r="BX33" s="547">
        <f t="shared" si="158"/>
        <v>7078</v>
      </c>
      <c r="BY33" s="547">
        <f t="shared" si="158"/>
        <v>7768</v>
      </c>
      <c r="BZ33" s="536">
        <f t="shared" si="137"/>
        <v>2203.0749999999998</v>
      </c>
      <c r="CA33" s="536">
        <f t="shared" si="138"/>
        <v>5551.4</v>
      </c>
      <c r="CB33" s="536">
        <f t="shared" si="139"/>
        <v>6406.2350000000006</v>
      </c>
      <c r="CC33" s="536">
        <f t="shared" si="140"/>
        <v>6182.2650000000003</v>
      </c>
      <c r="CD33" s="1342">
        <f t="shared" si="131"/>
        <v>3786</v>
      </c>
      <c r="CE33" s="1343">
        <f t="shared" si="131"/>
        <v>4398</v>
      </c>
      <c r="CF33" s="1343">
        <f t="shared" si="131"/>
        <v>5174.3999999999996</v>
      </c>
      <c r="CG33" s="1343">
        <f t="shared" si="131"/>
        <v>5225</v>
      </c>
      <c r="CH33" s="1344">
        <f t="shared" si="131"/>
        <v>6641</v>
      </c>
      <c r="CI33" s="1344">
        <f t="shared" si="131"/>
        <v>7018</v>
      </c>
      <c r="CJ33" s="1343">
        <f t="shared" si="131"/>
        <v>7099.4</v>
      </c>
      <c r="CK33" s="1343">
        <f t="shared" si="131"/>
        <v>7173.6</v>
      </c>
      <c r="CL33" s="1343">
        <f t="shared" si="131"/>
        <v>8520.48</v>
      </c>
      <c r="CM33" s="1342">
        <f t="shared" si="131"/>
        <v>9327.2000000000007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5850.4</v>
      </c>
      <c r="CV33" s="540">
        <f t="shared" si="22"/>
        <v>6278.2</v>
      </c>
      <c r="CW33" s="539">
        <f t="shared" si="23"/>
        <v>6525.12</v>
      </c>
      <c r="CX33" s="539">
        <f t="shared" si="24"/>
        <v>7379.76</v>
      </c>
      <c r="CY33" s="539">
        <f t="shared" si="25"/>
        <v>7506.8</v>
      </c>
      <c r="CZ33" s="539">
        <f t="shared" si="26"/>
        <v>8698.5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41"/>
        <v>10</v>
      </c>
      <c r="DE33" s="499">
        <f t="shared" si="142"/>
        <v>10</v>
      </c>
      <c r="DF33" s="499">
        <f t="shared" si="143"/>
        <v>10</v>
      </c>
      <c r="DG33" s="499">
        <f t="shared" si="144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9">B992</f>
        <v>710</v>
      </c>
      <c r="C34" s="547">
        <f t="shared" si="159"/>
        <v>1646</v>
      </c>
      <c r="D34" s="547">
        <f t="shared" si="159"/>
        <v>950</v>
      </c>
      <c r="E34" s="547">
        <f t="shared" si="159"/>
        <v>2856</v>
      </c>
      <c r="F34" s="547">
        <f t="shared" si="159"/>
        <v>650</v>
      </c>
      <c r="G34" s="547">
        <f t="shared" si="159"/>
        <v>720</v>
      </c>
      <c r="H34" s="547">
        <f t="shared" si="159"/>
        <v>1514</v>
      </c>
      <c r="I34" s="547">
        <f t="shared" si="159"/>
        <v>454</v>
      </c>
      <c r="J34" s="547">
        <f t="shared" si="159"/>
        <v>1190</v>
      </c>
      <c r="K34" s="547">
        <f t="shared" si="159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60">T992</f>
        <v>770</v>
      </c>
      <c r="U34" s="547">
        <f t="shared" si="160"/>
        <v>348</v>
      </c>
      <c r="V34" s="547">
        <f t="shared" si="160"/>
        <v>278</v>
      </c>
      <c r="W34" s="547">
        <f t="shared" si="160"/>
        <v>970</v>
      </c>
      <c r="X34" s="547">
        <f t="shared" si="160"/>
        <v>1490</v>
      </c>
      <c r="Y34" s="547">
        <f t="shared" si="160"/>
        <v>458</v>
      </c>
      <c r="Z34" s="547">
        <f t="shared" si="160"/>
        <v>1248</v>
      </c>
      <c r="AA34" s="547">
        <f t="shared" si="160"/>
        <v>48</v>
      </c>
      <c r="AB34" s="547">
        <f t="shared" si="160"/>
        <v>1070</v>
      </c>
      <c r="AC34" s="547">
        <f t="shared" si="160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61">AL992</f>
        <v>2858</v>
      </c>
      <c r="AM34" s="547">
        <f t="shared" si="161"/>
        <v>2648</v>
      </c>
      <c r="AN34" s="547">
        <f t="shared" si="161"/>
        <v>2690</v>
      </c>
      <c r="AO34" s="547">
        <f t="shared" si="161"/>
        <v>3940</v>
      </c>
      <c r="AP34" s="547">
        <f t="shared" si="161"/>
        <v>2302</v>
      </c>
      <c r="AQ34" s="547">
        <f t="shared" si="161"/>
        <v>2640</v>
      </c>
      <c r="AR34" s="547">
        <f t="shared" si="161"/>
        <v>2140</v>
      </c>
      <c r="AS34" s="547">
        <f t="shared" si="161"/>
        <v>864</v>
      </c>
      <c r="AT34" s="547">
        <f t="shared" si="161"/>
        <v>720</v>
      </c>
      <c r="AU34" s="547">
        <f t="shared" si="161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2">BD992</f>
        <v>1706</v>
      </c>
      <c r="BE34" s="547">
        <f t="shared" si="162"/>
        <v>1850</v>
      </c>
      <c r="BF34" s="547">
        <f t="shared" si="162"/>
        <v>434</v>
      </c>
      <c r="BG34" s="547">
        <f t="shared" si="162"/>
        <v>3422</v>
      </c>
      <c r="BH34" s="547">
        <f t="shared" si="162"/>
        <v>710</v>
      </c>
      <c r="BI34" s="547">
        <f t="shared" si="162"/>
        <v>530</v>
      </c>
      <c r="BJ34" s="547">
        <f t="shared" si="162"/>
        <v>576</v>
      </c>
      <c r="BK34" s="547">
        <f t="shared" si="162"/>
        <v>958</v>
      </c>
      <c r="BL34" s="547">
        <f t="shared" si="162"/>
        <v>1320</v>
      </c>
      <c r="BM34" s="547">
        <f t="shared" si="162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3">BV992</f>
        <v>770</v>
      </c>
      <c r="BW34" s="547">
        <f t="shared" si="163"/>
        <v>830</v>
      </c>
      <c r="BX34" s="547">
        <f t="shared" si="163"/>
        <v>1850</v>
      </c>
      <c r="BY34" s="547">
        <f t="shared" si="163"/>
        <v>2510</v>
      </c>
      <c r="BZ34" s="536">
        <f t="shared" si="137"/>
        <v>1188.125</v>
      </c>
      <c r="CA34" s="536">
        <f t="shared" si="138"/>
        <v>829</v>
      </c>
      <c r="CB34" s="536">
        <f t="shared" si="139"/>
        <v>2115.25</v>
      </c>
      <c r="CC34" s="536">
        <f t="shared" si="140"/>
        <v>1260</v>
      </c>
      <c r="CD34" s="1342">
        <f t="shared" si="131"/>
        <v>720</v>
      </c>
      <c r="CE34" s="1343">
        <f t="shared" si="131"/>
        <v>780</v>
      </c>
      <c r="CF34" s="1343">
        <f t="shared" si="131"/>
        <v>864</v>
      </c>
      <c r="CG34" s="1343">
        <f t="shared" si="131"/>
        <v>2140</v>
      </c>
      <c r="CH34" s="1344">
        <f t="shared" si="131"/>
        <v>2302</v>
      </c>
      <c r="CI34" s="1344">
        <f t="shared" si="131"/>
        <v>2640</v>
      </c>
      <c r="CJ34" s="1343">
        <f t="shared" si="131"/>
        <v>2648</v>
      </c>
      <c r="CK34" s="1343">
        <f t="shared" si="131"/>
        <v>2690</v>
      </c>
      <c r="CL34" s="1343">
        <f t="shared" si="131"/>
        <v>2858</v>
      </c>
      <c r="CM34" s="1342">
        <f t="shared" si="131"/>
        <v>3940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41"/>
        <v>10</v>
      </c>
      <c r="DE34" s="499">
        <f t="shared" si="142"/>
        <v>10</v>
      </c>
      <c r="DF34" s="499">
        <f t="shared" si="143"/>
        <v>10</v>
      </c>
      <c r="DG34" s="499">
        <f t="shared" si="144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4">B993</f>
        <v>0</v>
      </c>
      <c r="C35" s="547">
        <f t="shared" si="164"/>
        <v>0</v>
      </c>
      <c r="D35" s="547">
        <f t="shared" si="164"/>
        <v>0</v>
      </c>
      <c r="E35" s="547">
        <f t="shared" si="164"/>
        <v>0</v>
      </c>
      <c r="F35" s="547">
        <f t="shared" si="164"/>
        <v>0</v>
      </c>
      <c r="G35" s="547">
        <f t="shared" si="164"/>
        <v>0</v>
      </c>
      <c r="H35" s="547">
        <f t="shared" si="164"/>
        <v>0</v>
      </c>
      <c r="I35" s="547">
        <f t="shared" si="164"/>
        <v>0</v>
      </c>
      <c r="J35" s="547">
        <f t="shared" si="164"/>
        <v>0</v>
      </c>
      <c r="K35" s="547">
        <f t="shared" si="164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5">T993</f>
        <v>0</v>
      </c>
      <c r="U35" s="547">
        <f t="shared" si="165"/>
        <v>0</v>
      </c>
      <c r="V35" s="547">
        <f t="shared" si="165"/>
        <v>1200</v>
      </c>
      <c r="W35" s="547">
        <f t="shared" si="165"/>
        <v>0</v>
      </c>
      <c r="X35" s="547">
        <f t="shared" si="165"/>
        <v>0</v>
      </c>
      <c r="Y35" s="547">
        <f t="shared" si="165"/>
        <v>0</v>
      </c>
      <c r="Z35" s="547">
        <f t="shared" si="165"/>
        <v>0</v>
      </c>
      <c r="AA35" s="547">
        <f t="shared" si="165"/>
        <v>0</v>
      </c>
      <c r="AB35" s="547">
        <f t="shared" si="165"/>
        <v>0</v>
      </c>
      <c r="AC35" s="547">
        <f t="shared" si="165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6">AL993</f>
        <v>0</v>
      </c>
      <c r="AM35" s="547">
        <f t="shared" si="166"/>
        <v>0</v>
      </c>
      <c r="AN35" s="547">
        <f t="shared" si="166"/>
        <v>300</v>
      </c>
      <c r="AO35" s="547">
        <f t="shared" si="166"/>
        <v>3600</v>
      </c>
      <c r="AP35" s="547">
        <f t="shared" si="166"/>
        <v>0</v>
      </c>
      <c r="AQ35" s="547">
        <f t="shared" si="166"/>
        <v>0</v>
      </c>
      <c r="AR35" s="547">
        <f t="shared" si="166"/>
        <v>0</v>
      </c>
      <c r="AS35" s="547">
        <f t="shared" si="166"/>
        <v>0</v>
      </c>
      <c r="AT35" s="547">
        <f t="shared" si="166"/>
        <v>0</v>
      </c>
      <c r="AU35" s="547">
        <f t="shared" si="166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7">BD993</f>
        <v>0</v>
      </c>
      <c r="BE35" s="547">
        <f t="shared" si="167"/>
        <v>0</v>
      </c>
      <c r="BF35" s="547">
        <f t="shared" si="167"/>
        <v>1200</v>
      </c>
      <c r="BG35" s="547">
        <f t="shared" si="167"/>
        <v>0</v>
      </c>
      <c r="BH35" s="547">
        <f t="shared" si="167"/>
        <v>0</v>
      </c>
      <c r="BI35" s="547">
        <f t="shared" si="167"/>
        <v>0</v>
      </c>
      <c r="BJ35" s="547">
        <f t="shared" si="167"/>
        <v>0</v>
      </c>
      <c r="BK35" s="547">
        <f t="shared" si="167"/>
        <v>0</v>
      </c>
      <c r="BL35" s="547">
        <f t="shared" si="167"/>
        <v>0</v>
      </c>
      <c r="BM35" s="547">
        <f t="shared" si="167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7"/>
        <v>0</v>
      </c>
      <c r="CA35" s="536">
        <f t="shared" si="138"/>
        <v>0</v>
      </c>
      <c r="CB35" s="536">
        <f t="shared" si="139"/>
        <v>37.5</v>
      </c>
      <c r="CC35" s="536">
        <f t="shared" si="140"/>
        <v>0</v>
      </c>
      <c r="CD35" s="1342">
        <f t="shared" si="131"/>
        <v>0</v>
      </c>
      <c r="CE35" s="1343">
        <f t="shared" si="131"/>
        <v>0</v>
      </c>
      <c r="CF35" s="1343">
        <f t="shared" si="131"/>
        <v>0</v>
      </c>
      <c r="CG35" s="1343">
        <f t="shared" si="131"/>
        <v>0</v>
      </c>
      <c r="CH35" s="1344">
        <f t="shared" si="131"/>
        <v>0</v>
      </c>
      <c r="CI35" s="1344">
        <f t="shared" si="131"/>
        <v>0</v>
      </c>
      <c r="CJ35" s="1343">
        <f t="shared" si="131"/>
        <v>0</v>
      </c>
      <c r="CK35" s="1343">
        <f t="shared" si="131"/>
        <v>0</v>
      </c>
      <c r="CL35" s="1343">
        <f t="shared" si="131"/>
        <v>300</v>
      </c>
      <c r="CM35" s="1342">
        <f t="shared" si="131"/>
        <v>3600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41"/>
        <v>10</v>
      </c>
      <c r="DE35" s="499">
        <f t="shared" si="142"/>
        <v>10</v>
      </c>
      <c r="DF35" s="499">
        <f t="shared" si="143"/>
        <v>10</v>
      </c>
      <c r="DG35" s="499">
        <f t="shared" si="144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8">B994</f>
        <v>0</v>
      </c>
      <c r="C36" s="547">
        <f t="shared" si="168"/>
        <v>350</v>
      </c>
      <c r="D36" s="547">
        <f t="shared" si="168"/>
        <v>700</v>
      </c>
      <c r="E36" s="547">
        <f t="shared" si="168"/>
        <v>1800</v>
      </c>
      <c r="F36" s="547">
        <f t="shared" si="168"/>
        <v>1750</v>
      </c>
      <c r="G36" s="547">
        <f t="shared" si="168"/>
        <v>1480</v>
      </c>
      <c r="H36" s="547">
        <f t="shared" si="168"/>
        <v>1350</v>
      </c>
      <c r="I36" s="547">
        <f t="shared" si="168"/>
        <v>1250</v>
      </c>
      <c r="J36" s="547">
        <f t="shared" si="168"/>
        <v>1600</v>
      </c>
      <c r="K36" s="547">
        <f t="shared" si="168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9">T994</f>
        <v>1355</v>
      </c>
      <c r="U36" s="547">
        <f t="shared" si="169"/>
        <v>270</v>
      </c>
      <c r="V36" s="547">
        <f t="shared" si="169"/>
        <v>1640</v>
      </c>
      <c r="W36" s="547">
        <f t="shared" si="169"/>
        <v>1900</v>
      </c>
      <c r="X36" s="547">
        <f t="shared" si="169"/>
        <v>2650</v>
      </c>
      <c r="Y36" s="547">
        <f t="shared" si="169"/>
        <v>1680</v>
      </c>
      <c r="Z36" s="547">
        <f t="shared" si="169"/>
        <v>1250</v>
      </c>
      <c r="AA36" s="547">
        <f t="shared" si="169"/>
        <v>1550</v>
      </c>
      <c r="AB36" s="547">
        <f t="shared" si="169"/>
        <v>1500</v>
      </c>
      <c r="AC36" s="547">
        <f t="shared" si="169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70">AL994</f>
        <v>4640</v>
      </c>
      <c r="AM36" s="547">
        <f t="shared" si="170"/>
        <v>2900</v>
      </c>
      <c r="AN36" s="547">
        <f t="shared" si="170"/>
        <v>2300</v>
      </c>
      <c r="AO36" s="547">
        <f t="shared" si="170"/>
        <v>0</v>
      </c>
      <c r="AP36" s="547">
        <f t="shared" si="170"/>
        <v>1810</v>
      </c>
      <c r="AQ36" s="547">
        <f t="shared" si="170"/>
        <v>1330</v>
      </c>
      <c r="AR36" s="547">
        <f t="shared" si="170"/>
        <v>2330</v>
      </c>
      <c r="AS36" s="547">
        <f t="shared" si="170"/>
        <v>750</v>
      </c>
      <c r="AT36" s="547">
        <f t="shared" si="170"/>
        <v>1275</v>
      </c>
      <c r="AU36" s="547">
        <f t="shared" si="170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71">BD994</f>
        <v>8800</v>
      </c>
      <c r="BE36" s="547">
        <f t="shared" si="171"/>
        <v>1440</v>
      </c>
      <c r="BF36" s="547">
        <f t="shared" si="171"/>
        <v>13480</v>
      </c>
      <c r="BG36" s="547">
        <f t="shared" si="171"/>
        <v>3950</v>
      </c>
      <c r="BH36" s="547">
        <f t="shared" si="171"/>
        <v>3525</v>
      </c>
      <c r="BI36" s="547">
        <f t="shared" si="171"/>
        <v>5940</v>
      </c>
      <c r="BJ36" s="547">
        <f t="shared" si="171"/>
        <v>5100</v>
      </c>
      <c r="BK36" s="547">
        <f t="shared" si="171"/>
        <v>3060</v>
      </c>
      <c r="BL36" s="547">
        <f t="shared" si="171"/>
        <v>3200</v>
      </c>
      <c r="BM36" s="547">
        <f t="shared" si="171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2">BV994</f>
        <v>1200</v>
      </c>
      <c r="BW36" s="547">
        <f t="shared" si="172"/>
        <v>1830</v>
      </c>
      <c r="BX36" s="547">
        <f t="shared" si="172"/>
        <v>3600</v>
      </c>
      <c r="BY36" s="547">
        <f t="shared" si="172"/>
        <v>8450</v>
      </c>
      <c r="BZ36" s="536">
        <f t="shared" si="137"/>
        <v>1276.25</v>
      </c>
      <c r="CA36" s="536">
        <f t="shared" si="138"/>
        <v>1664.375</v>
      </c>
      <c r="CB36" s="536">
        <f t="shared" si="139"/>
        <v>1671.875</v>
      </c>
      <c r="CC36" s="536">
        <f t="shared" si="140"/>
        <v>5091.875</v>
      </c>
      <c r="CD36" s="1342">
        <f t="shared" si="131"/>
        <v>0</v>
      </c>
      <c r="CE36" s="1343">
        <f t="shared" si="131"/>
        <v>680</v>
      </c>
      <c r="CF36" s="1343">
        <f t="shared" si="131"/>
        <v>750</v>
      </c>
      <c r="CG36" s="1343">
        <f t="shared" si="131"/>
        <v>1275</v>
      </c>
      <c r="CH36" s="1344">
        <f t="shared" si="131"/>
        <v>1330</v>
      </c>
      <c r="CI36" s="1344">
        <f t="shared" si="131"/>
        <v>1810</v>
      </c>
      <c r="CJ36" s="1343">
        <f t="shared" si="131"/>
        <v>2300</v>
      </c>
      <c r="CK36" s="1343">
        <f t="shared" si="131"/>
        <v>2330</v>
      </c>
      <c r="CL36" s="1343">
        <f t="shared" si="131"/>
        <v>2900</v>
      </c>
      <c r="CM36" s="1342">
        <f t="shared" si="131"/>
        <v>4640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41"/>
        <v>10</v>
      </c>
      <c r="DE36" s="499">
        <f t="shared" si="142"/>
        <v>10</v>
      </c>
      <c r="DF36" s="499">
        <f t="shared" si="143"/>
        <v>10</v>
      </c>
      <c r="DG36" s="499">
        <f t="shared" si="144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3">B995</f>
        <v>3000</v>
      </c>
      <c r="C37" s="547">
        <f t="shared" si="173"/>
        <v>4000</v>
      </c>
      <c r="D37" s="547">
        <f t="shared" si="173"/>
        <v>8500</v>
      </c>
      <c r="E37" s="547">
        <f t="shared" si="173"/>
        <v>3450</v>
      </c>
      <c r="F37" s="547">
        <f t="shared" si="173"/>
        <v>1400</v>
      </c>
      <c r="G37" s="547">
        <f t="shared" si="173"/>
        <v>2750</v>
      </c>
      <c r="H37" s="547">
        <f t="shared" si="173"/>
        <v>2850</v>
      </c>
      <c r="I37" s="547">
        <f t="shared" si="173"/>
        <v>1400</v>
      </c>
      <c r="J37" s="547">
        <f t="shared" si="173"/>
        <v>1920</v>
      </c>
      <c r="K37" s="547">
        <f t="shared" si="173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4">T995</f>
        <v>1750</v>
      </c>
      <c r="U37" s="547">
        <f t="shared" si="174"/>
        <v>1450</v>
      </c>
      <c r="V37" s="547">
        <f t="shared" si="174"/>
        <v>1750</v>
      </c>
      <c r="W37" s="547">
        <f t="shared" si="174"/>
        <v>1275</v>
      </c>
      <c r="X37" s="547">
        <f t="shared" si="174"/>
        <v>1850</v>
      </c>
      <c r="Y37" s="547">
        <f t="shared" si="174"/>
        <v>1800</v>
      </c>
      <c r="Z37" s="547">
        <f t="shared" si="174"/>
        <v>1720</v>
      </c>
      <c r="AA37" s="547">
        <f t="shared" si="174"/>
        <v>1800</v>
      </c>
      <c r="AB37" s="547">
        <f t="shared" si="174"/>
        <v>1715</v>
      </c>
      <c r="AC37" s="547">
        <f t="shared" si="174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5">AL995</f>
        <v>1900</v>
      </c>
      <c r="AM37" s="547">
        <f t="shared" si="175"/>
        <v>2580</v>
      </c>
      <c r="AN37" s="547">
        <f t="shared" si="175"/>
        <v>3150</v>
      </c>
      <c r="AO37" s="547">
        <f t="shared" si="175"/>
        <v>3900</v>
      </c>
      <c r="AP37" s="547">
        <f t="shared" si="175"/>
        <v>2950</v>
      </c>
      <c r="AQ37" s="547">
        <f t="shared" si="175"/>
        <v>5360</v>
      </c>
      <c r="AR37" s="547">
        <f t="shared" si="175"/>
        <v>1900</v>
      </c>
      <c r="AS37" s="547">
        <f t="shared" si="175"/>
        <v>3250</v>
      </c>
      <c r="AT37" s="547">
        <f t="shared" si="175"/>
        <v>700</v>
      </c>
      <c r="AU37" s="547">
        <f t="shared" si="175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6">BD995</f>
        <v>10000</v>
      </c>
      <c r="BE37" s="547">
        <f t="shared" si="176"/>
        <v>5000</v>
      </c>
      <c r="BF37" s="547">
        <f t="shared" si="176"/>
        <v>7980</v>
      </c>
      <c r="BG37" s="547">
        <f t="shared" si="176"/>
        <v>4000</v>
      </c>
      <c r="BH37" s="547">
        <f t="shared" si="176"/>
        <v>5000</v>
      </c>
      <c r="BI37" s="547">
        <f t="shared" si="176"/>
        <v>3650</v>
      </c>
      <c r="BJ37" s="547">
        <f t="shared" si="176"/>
        <v>7500</v>
      </c>
      <c r="BK37" s="547">
        <f t="shared" si="176"/>
        <v>4800</v>
      </c>
      <c r="BL37" s="547">
        <f t="shared" si="176"/>
        <v>11000</v>
      </c>
      <c r="BM37" s="547">
        <f t="shared" si="176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2"/>
        <v>1350</v>
      </c>
      <c r="BW37" s="547">
        <f t="shared" si="172"/>
        <v>1700</v>
      </c>
      <c r="BX37" s="547">
        <f t="shared" si="172"/>
        <v>2400</v>
      </c>
      <c r="BY37" s="547">
        <f t="shared" si="172"/>
        <v>5000</v>
      </c>
      <c r="BZ37" s="536">
        <f t="shared" si="137"/>
        <v>2921.25</v>
      </c>
      <c r="CA37" s="536">
        <f t="shared" si="138"/>
        <v>1729.375</v>
      </c>
      <c r="CB37" s="536">
        <f t="shared" si="139"/>
        <v>2635</v>
      </c>
      <c r="CC37" s="536">
        <f t="shared" si="140"/>
        <v>6072.5</v>
      </c>
      <c r="CD37" s="1342">
        <f t="shared" si="131"/>
        <v>700</v>
      </c>
      <c r="CE37" s="1343">
        <f t="shared" si="131"/>
        <v>1450</v>
      </c>
      <c r="CF37" s="1343">
        <f t="shared" si="131"/>
        <v>1900</v>
      </c>
      <c r="CG37" s="1343">
        <f t="shared" si="131"/>
        <v>1900</v>
      </c>
      <c r="CH37" s="1344">
        <f t="shared" si="131"/>
        <v>2580</v>
      </c>
      <c r="CI37" s="1344">
        <f t="shared" si="131"/>
        <v>2950</v>
      </c>
      <c r="CJ37" s="1343">
        <f t="shared" si="131"/>
        <v>3150</v>
      </c>
      <c r="CK37" s="1343">
        <f t="shared" si="131"/>
        <v>3250</v>
      </c>
      <c r="CL37" s="1343">
        <f t="shared" si="131"/>
        <v>3900</v>
      </c>
      <c r="CM37" s="1342">
        <f t="shared" si="131"/>
        <v>5360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41"/>
        <v>10</v>
      </c>
      <c r="DE37" s="499">
        <f t="shared" si="142"/>
        <v>10</v>
      </c>
      <c r="DF37" s="499">
        <f t="shared" si="143"/>
        <v>10</v>
      </c>
      <c r="DG37" s="499">
        <f t="shared" si="144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7">B996</f>
        <v>5000</v>
      </c>
      <c r="C38" s="547">
        <f t="shared" si="177"/>
        <v>5000</v>
      </c>
      <c r="D38" s="547">
        <f t="shared" si="177"/>
        <v>3000</v>
      </c>
      <c r="E38" s="547">
        <f t="shared" si="177"/>
        <v>5000</v>
      </c>
      <c r="F38" s="547">
        <f t="shared" si="177"/>
        <v>7000</v>
      </c>
      <c r="G38" s="547">
        <f t="shared" si="177"/>
        <v>2400</v>
      </c>
      <c r="H38" s="547">
        <f t="shared" si="177"/>
        <v>5400</v>
      </c>
      <c r="I38" s="547">
        <f t="shared" si="177"/>
        <v>1250</v>
      </c>
      <c r="J38" s="547">
        <f t="shared" si="177"/>
        <v>8000</v>
      </c>
      <c r="K38" s="547">
        <f t="shared" si="177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8">T996</f>
        <v>2800</v>
      </c>
      <c r="U38" s="547">
        <f t="shared" si="178"/>
        <v>1750</v>
      </c>
      <c r="V38" s="547">
        <f t="shared" si="178"/>
        <v>2250</v>
      </c>
      <c r="W38" s="547">
        <f t="shared" si="178"/>
        <v>3000</v>
      </c>
      <c r="X38" s="547">
        <f t="shared" si="178"/>
        <v>2800</v>
      </c>
      <c r="Y38" s="547">
        <f t="shared" si="178"/>
        <v>4500</v>
      </c>
      <c r="Z38" s="547">
        <f t="shared" si="178"/>
        <v>4050</v>
      </c>
      <c r="AA38" s="547">
        <f t="shared" si="178"/>
        <v>500</v>
      </c>
      <c r="AB38" s="547">
        <f t="shared" si="178"/>
        <v>2800</v>
      </c>
      <c r="AC38" s="547">
        <f t="shared" si="178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9">AL996</f>
        <v>3500</v>
      </c>
      <c r="AM38" s="547">
        <f t="shared" si="179"/>
        <v>3200</v>
      </c>
      <c r="AN38" s="547">
        <f t="shared" si="179"/>
        <v>2250</v>
      </c>
      <c r="AO38" s="547">
        <f t="shared" si="179"/>
        <v>4500</v>
      </c>
      <c r="AP38" s="547">
        <f t="shared" si="179"/>
        <v>4500</v>
      </c>
      <c r="AQ38" s="547">
        <f t="shared" si="179"/>
        <v>1350</v>
      </c>
      <c r="AR38" s="547">
        <f t="shared" si="179"/>
        <v>3150</v>
      </c>
      <c r="AS38" s="547">
        <f t="shared" si="179"/>
        <v>3000</v>
      </c>
      <c r="AT38" s="547">
        <f t="shared" si="179"/>
        <v>2000</v>
      </c>
      <c r="AU38" s="547">
        <f t="shared" si="179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80">BD996</f>
        <v>10000</v>
      </c>
      <c r="BE38" s="547">
        <f t="shared" si="180"/>
        <v>5500</v>
      </c>
      <c r="BF38" s="547">
        <f t="shared" si="180"/>
        <v>8500</v>
      </c>
      <c r="BG38" s="547">
        <f t="shared" si="180"/>
        <v>5000</v>
      </c>
      <c r="BH38" s="547">
        <f t="shared" si="180"/>
        <v>9000</v>
      </c>
      <c r="BI38" s="547">
        <f t="shared" si="180"/>
        <v>6500</v>
      </c>
      <c r="BJ38" s="547">
        <f t="shared" si="180"/>
        <v>5000</v>
      </c>
      <c r="BK38" s="547">
        <f t="shared" si="180"/>
        <v>2000</v>
      </c>
      <c r="BL38" s="547">
        <f t="shared" si="180"/>
        <v>11000</v>
      </c>
      <c r="BM38" s="547">
        <f t="shared" si="180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2"/>
        <v>1250</v>
      </c>
      <c r="BW38" s="547">
        <f t="shared" si="172"/>
        <v>1750</v>
      </c>
      <c r="BX38" s="547">
        <f t="shared" si="172"/>
        <v>3000</v>
      </c>
      <c r="BY38" s="547">
        <f t="shared" si="172"/>
        <v>6500</v>
      </c>
      <c r="BZ38" s="536">
        <f t="shared" si="137"/>
        <v>4537.5</v>
      </c>
      <c r="CA38" s="536">
        <f t="shared" si="138"/>
        <v>2681.25</v>
      </c>
      <c r="CB38" s="536">
        <f t="shared" si="139"/>
        <v>2950</v>
      </c>
      <c r="CC38" s="536">
        <f t="shared" si="140"/>
        <v>7562.5</v>
      </c>
      <c r="CD38" s="1342">
        <f t="shared" si="131"/>
        <v>1350</v>
      </c>
      <c r="CE38" s="1343">
        <f t="shared" si="131"/>
        <v>2000</v>
      </c>
      <c r="CF38" s="1343">
        <f t="shared" si="131"/>
        <v>2000</v>
      </c>
      <c r="CG38" s="1343">
        <f t="shared" si="131"/>
        <v>2250</v>
      </c>
      <c r="CH38" s="1344">
        <f t="shared" si="131"/>
        <v>3000</v>
      </c>
      <c r="CI38" s="1344">
        <f t="shared" si="131"/>
        <v>3150</v>
      </c>
      <c r="CJ38" s="1343">
        <f t="shared" si="131"/>
        <v>3200</v>
      </c>
      <c r="CK38" s="1343">
        <f t="shared" si="131"/>
        <v>3500</v>
      </c>
      <c r="CL38" s="1343">
        <f t="shared" si="131"/>
        <v>4500</v>
      </c>
      <c r="CM38" s="1342">
        <f t="shared" si="131"/>
        <v>4500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41"/>
        <v>10</v>
      </c>
      <c r="DE38" s="499">
        <f t="shared" si="142"/>
        <v>10</v>
      </c>
      <c r="DF38" s="499">
        <f t="shared" si="143"/>
        <v>10</v>
      </c>
      <c r="DG38" s="499">
        <f t="shared" si="144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81">SUM(B802,B804)</f>
        <v>1296</v>
      </c>
      <c r="C39" s="547">
        <f t="shared" si="181"/>
        <v>2760</v>
      </c>
      <c r="D39" s="547">
        <f t="shared" si="181"/>
        <v>5028</v>
      </c>
      <c r="E39" s="547">
        <f t="shared" si="181"/>
        <v>2400</v>
      </c>
      <c r="F39" s="547">
        <f t="shared" si="181"/>
        <v>2800</v>
      </c>
      <c r="G39" s="547">
        <f t="shared" si="181"/>
        <v>2800</v>
      </c>
      <c r="H39" s="547">
        <f t="shared" si="181"/>
        <v>1644</v>
      </c>
      <c r="I39" s="547">
        <f t="shared" si="181"/>
        <v>960</v>
      </c>
      <c r="J39" s="547">
        <f t="shared" si="181"/>
        <v>1850</v>
      </c>
      <c r="K39" s="547">
        <f t="shared" si="181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2">SUM(T802,T804)</f>
        <v>1180</v>
      </c>
      <c r="U39" s="547">
        <f t="shared" si="182"/>
        <v>1150</v>
      </c>
      <c r="V39" s="547">
        <f t="shared" si="182"/>
        <v>620</v>
      </c>
      <c r="W39" s="547">
        <f t="shared" si="182"/>
        <v>1320</v>
      </c>
      <c r="X39" s="547">
        <f t="shared" si="182"/>
        <v>2100</v>
      </c>
      <c r="Y39" s="547">
        <f t="shared" si="182"/>
        <v>2880</v>
      </c>
      <c r="Z39" s="547">
        <f t="shared" si="182"/>
        <v>2400</v>
      </c>
      <c r="AA39" s="547">
        <f t="shared" si="182"/>
        <v>1524</v>
      </c>
      <c r="AB39" s="547">
        <f t="shared" si="182"/>
        <v>2150</v>
      </c>
      <c r="AC39" s="547">
        <f t="shared" si="182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3">SUM(AL802,AL804)</f>
        <v>4200</v>
      </c>
      <c r="AM39" s="547">
        <f t="shared" si="183"/>
        <v>3000</v>
      </c>
      <c r="AN39" s="547">
        <f t="shared" si="183"/>
        <v>3060</v>
      </c>
      <c r="AO39" s="547">
        <f t="shared" si="183"/>
        <v>7200</v>
      </c>
      <c r="AP39" s="547">
        <f t="shared" si="183"/>
        <v>4020</v>
      </c>
      <c r="AQ39" s="547">
        <f t="shared" si="183"/>
        <v>4800</v>
      </c>
      <c r="AR39" s="547">
        <f t="shared" si="183"/>
        <v>5640</v>
      </c>
      <c r="AS39" s="547">
        <f t="shared" si="183"/>
        <v>2550</v>
      </c>
      <c r="AT39" s="547">
        <f t="shared" si="183"/>
        <v>3100</v>
      </c>
      <c r="AU39" s="547">
        <f t="shared" si="183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4">SUM(BD802,BD804)</f>
        <v>5700</v>
      </c>
      <c r="BE39" s="547">
        <f t="shared" si="184"/>
        <v>4250</v>
      </c>
      <c r="BF39" s="547">
        <f t="shared" si="184"/>
        <v>4230</v>
      </c>
      <c r="BG39" s="547">
        <f t="shared" si="184"/>
        <v>3750</v>
      </c>
      <c r="BH39" s="547">
        <f t="shared" si="184"/>
        <v>4450</v>
      </c>
      <c r="BI39" s="547">
        <f t="shared" si="184"/>
        <v>4200</v>
      </c>
      <c r="BJ39" s="547">
        <f t="shared" si="184"/>
        <v>4050</v>
      </c>
      <c r="BK39" s="547">
        <f t="shared" si="184"/>
        <v>3700</v>
      </c>
      <c r="BL39" s="547">
        <f t="shared" si="184"/>
        <v>3000</v>
      </c>
      <c r="BM39" s="547">
        <f t="shared" si="184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5">SUM(BV802,BV804)</f>
        <v>1300</v>
      </c>
      <c r="BW39" s="547">
        <f t="shared" si="185"/>
        <v>1750</v>
      </c>
      <c r="BX39" s="547">
        <f t="shared" si="185"/>
        <v>4900</v>
      </c>
      <c r="BY39" s="547">
        <f t="shared" si="185"/>
        <v>4200</v>
      </c>
      <c r="BZ39" s="536">
        <f t="shared" si="137"/>
        <v>2406.25</v>
      </c>
      <c r="CA39" s="536">
        <f t="shared" si="138"/>
        <v>1838</v>
      </c>
      <c r="CB39" s="536">
        <f t="shared" si="139"/>
        <v>3882.5</v>
      </c>
      <c r="CC39" s="536">
        <f t="shared" si="140"/>
        <v>3953.75</v>
      </c>
      <c r="CD39" s="1342">
        <f t="shared" si="131"/>
        <v>2550</v>
      </c>
      <c r="CE39" s="1343">
        <f t="shared" si="131"/>
        <v>3000</v>
      </c>
      <c r="CF39" s="1343">
        <f t="shared" si="131"/>
        <v>3060</v>
      </c>
      <c r="CG39" s="1343">
        <f t="shared" si="131"/>
        <v>3100</v>
      </c>
      <c r="CH39" s="1344">
        <f t="shared" si="131"/>
        <v>3240</v>
      </c>
      <c r="CI39" s="1344">
        <f t="shared" si="131"/>
        <v>4020</v>
      </c>
      <c r="CJ39" s="1343">
        <f t="shared" si="131"/>
        <v>4200</v>
      </c>
      <c r="CK39" s="1343">
        <f t="shared" si="131"/>
        <v>4800</v>
      </c>
      <c r="CL39" s="1343">
        <f t="shared" si="131"/>
        <v>5640</v>
      </c>
      <c r="CM39" s="1342">
        <f t="shared" si="131"/>
        <v>7200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41"/>
        <v>10</v>
      </c>
      <c r="DE39" s="499">
        <f t="shared" si="142"/>
        <v>10</v>
      </c>
      <c r="DF39" s="499">
        <f t="shared" si="143"/>
        <v>10</v>
      </c>
      <c r="DG39" s="499">
        <f t="shared" si="144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943</v>
      </c>
      <c r="B40" s="547">
        <f t="shared" ref="B40:K40" si="186">SUM(B803)</f>
        <v>672</v>
      </c>
      <c r="C40" s="547">
        <f t="shared" si="186"/>
        <v>3500</v>
      </c>
      <c r="D40" s="547">
        <f t="shared" si="186"/>
        <v>8640</v>
      </c>
      <c r="E40" s="547">
        <f t="shared" si="186"/>
        <v>10800</v>
      </c>
      <c r="F40" s="547">
        <f t="shared" si="186"/>
        <v>4800</v>
      </c>
      <c r="G40" s="547">
        <f t="shared" si="186"/>
        <v>3600</v>
      </c>
      <c r="H40" s="547">
        <f t="shared" si="186"/>
        <v>9600</v>
      </c>
      <c r="I40" s="547">
        <f t="shared" si="186"/>
        <v>2016</v>
      </c>
      <c r="J40" s="547">
        <f t="shared" si="186"/>
        <v>6000</v>
      </c>
      <c r="K40" s="547">
        <f t="shared" si="186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7">SUM(T803)</f>
        <v>2880</v>
      </c>
      <c r="U40" s="547">
        <f t="shared" si="187"/>
        <v>2160</v>
      </c>
      <c r="V40" s="547">
        <f t="shared" si="187"/>
        <v>1680</v>
      </c>
      <c r="W40" s="547">
        <f t="shared" si="187"/>
        <v>1600</v>
      </c>
      <c r="X40" s="547">
        <f t="shared" si="187"/>
        <v>3360</v>
      </c>
      <c r="Y40" s="547">
        <f t="shared" si="187"/>
        <v>5760</v>
      </c>
      <c r="Z40" s="547">
        <f t="shared" si="187"/>
        <v>4200</v>
      </c>
      <c r="AA40" s="547">
        <f t="shared" si="187"/>
        <v>1200</v>
      </c>
      <c r="AB40" s="547">
        <f t="shared" si="187"/>
        <v>4860</v>
      </c>
      <c r="AC40" s="547">
        <f t="shared" si="187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8">SUM(AL803)</f>
        <v>4800</v>
      </c>
      <c r="AM40" s="547">
        <f t="shared" si="188"/>
        <v>3360</v>
      </c>
      <c r="AN40" s="547">
        <f t="shared" si="188"/>
        <v>2160</v>
      </c>
      <c r="AO40" s="547">
        <f t="shared" si="188"/>
        <v>5400</v>
      </c>
      <c r="AP40" s="547">
        <f t="shared" si="188"/>
        <v>2520</v>
      </c>
      <c r="AQ40" s="547">
        <f t="shared" si="188"/>
        <v>2880</v>
      </c>
      <c r="AR40" s="547">
        <f t="shared" si="188"/>
        <v>3360</v>
      </c>
      <c r="AS40" s="547">
        <f t="shared" si="188"/>
        <v>2600</v>
      </c>
      <c r="AT40" s="547">
        <f t="shared" si="188"/>
        <v>600</v>
      </c>
      <c r="AU40" s="547">
        <f t="shared" si="188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9">SUM(BD803)</f>
        <v>9800</v>
      </c>
      <c r="BE40" s="547">
        <f t="shared" si="189"/>
        <v>7500</v>
      </c>
      <c r="BF40" s="547">
        <f t="shared" si="189"/>
        <v>9500</v>
      </c>
      <c r="BG40" s="547">
        <f t="shared" si="189"/>
        <v>4000</v>
      </c>
      <c r="BH40" s="547">
        <f t="shared" si="189"/>
        <v>8500</v>
      </c>
      <c r="BI40" s="547">
        <f t="shared" si="189"/>
        <v>5000</v>
      </c>
      <c r="BJ40" s="547">
        <f t="shared" si="189"/>
        <v>8000</v>
      </c>
      <c r="BK40" s="547">
        <f t="shared" si="189"/>
        <v>7000</v>
      </c>
      <c r="BL40" s="547">
        <f t="shared" si="189"/>
        <v>10000</v>
      </c>
      <c r="BM40" s="547">
        <f t="shared" si="189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90">SUM(BV803)</f>
        <v>1200</v>
      </c>
      <c r="BW40" s="547">
        <f t="shared" si="190"/>
        <v>1200</v>
      </c>
      <c r="BX40" s="547">
        <f t="shared" si="190"/>
        <v>2600</v>
      </c>
      <c r="BY40" s="547">
        <f t="shared" si="190"/>
        <v>8500</v>
      </c>
      <c r="BZ40" s="536">
        <f t="shared" si="137"/>
        <v>5189.5</v>
      </c>
      <c r="CA40" s="536">
        <f t="shared" si="138"/>
        <v>3312.5</v>
      </c>
      <c r="CB40" s="536">
        <f t="shared" si="139"/>
        <v>2785</v>
      </c>
      <c r="CC40" s="536">
        <f t="shared" si="140"/>
        <v>8100</v>
      </c>
      <c r="CD40" s="1342">
        <f t="shared" si="131"/>
        <v>600</v>
      </c>
      <c r="CE40" s="1343">
        <f t="shared" si="131"/>
        <v>600</v>
      </c>
      <c r="CF40" s="1343">
        <f t="shared" si="131"/>
        <v>2160</v>
      </c>
      <c r="CG40" s="1343">
        <f t="shared" si="131"/>
        <v>2520</v>
      </c>
      <c r="CH40" s="1344">
        <f t="shared" si="131"/>
        <v>2600</v>
      </c>
      <c r="CI40" s="1344">
        <f t="shared" si="131"/>
        <v>2880</v>
      </c>
      <c r="CJ40" s="1343">
        <f t="shared" si="131"/>
        <v>3360</v>
      </c>
      <c r="CK40" s="1343">
        <f t="shared" si="131"/>
        <v>3360</v>
      </c>
      <c r="CL40" s="1343">
        <f t="shared" si="131"/>
        <v>4800</v>
      </c>
      <c r="CM40" s="1342">
        <f t="shared" si="131"/>
        <v>5400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41"/>
        <v>10</v>
      </c>
      <c r="DE40" s="499">
        <f t="shared" si="142"/>
        <v>10</v>
      </c>
      <c r="DF40" s="499">
        <f t="shared" si="143"/>
        <v>10</v>
      </c>
      <c r="DG40" s="499">
        <f t="shared" si="144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151</v>
      </c>
      <c r="B41" s="549">
        <f t="shared" ref="B41:K41" si="191">SUM(B805:B810)</f>
        <v>50</v>
      </c>
      <c r="C41" s="549">
        <f t="shared" si="191"/>
        <v>4350</v>
      </c>
      <c r="D41" s="549">
        <f t="shared" si="191"/>
        <v>3250</v>
      </c>
      <c r="E41" s="549">
        <f t="shared" si="191"/>
        <v>1500</v>
      </c>
      <c r="F41" s="549">
        <f t="shared" si="191"/>
        <v>1650</v>
      </c>
      <c r="G41" s="549">
        <f t="shared" si="191"/>
        <v>6560</v>
      </c>
      <c r="H41" s="549">
        <f t="shared" si="191"/>
        <v>1650</v>
      </c>
      <c r="I41" s="549">
        <f t="shared" si="191"/>
        <v>1050</v>
      </c>
      <c r="J41" s="549">
        <f t="shared" si="191"/>
        <v>7550</v>
      </c>
      <c r="K41" s="549">
        <f t="shared" si="191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2">SUM(T805:T810)</f>
        <v>3050</v>
      </c>
      <c r="U41" s="549">
        <f t="shared" si="192"/>
        <v>250</v>
      </c>
      <c r="V41" s="549">
        <f t="shared" si="192"/>
        <v>900</v>
      </c>
      <c r="W41" s="549">
        <f t="shared" si="192"/>
        <v>900</v>
      </c>
      <c r="X41" s="549">
        <f t="shared" si="192"/>
        <v>1620</v>
      </c>
      <c r="Y41" s="549">
        <f t="shared" si="192"/>
        <v>6500</v>
      </c>
      <c r="Z41" s="549">
        <f t="shared" si="192"/>
        <v>7700</v>
      </c>
      <c r="AA41" s="549">
        <f t="shared" si="192"/>
        <v>5200</v>
      </c>
      <c r="AB41" s="549">
        <f t="shared" si="192"/>
        <v>1250</v>
      </c>
      <c r="AC41" s="549">
        <f t="shared" si="192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3">SUM(AL805:AL810)</f>
        <v>2700</v>
      </c>
      <c r="AM41" s="549">
        <f t="shared" si="193"/>
        <v>11000</v>
      </c>
      <c r="AN41" s="549">
        <f t="shared" si="193"/>
        <v>11900</v>
      </c>
      <c r="AO41" s="549">
        <f t="shared" si="193"/>
        <v>9650</v>
      </c>
      <c r="AP41" s="549">
        <f t="shared" si="193"/>
        <v>7230</v>
      </c>
      <c r="AQ41" s="549">
        <f t="shared" si="193"/>
        <v>13850</v>
      </c>
      <c r="AR41" s="549">
        <f t="shared" si="193"/>
        <v>11000</v>
      </c>
      <c r="AS41" s="549">
        <f t="shared" si="193"/>
        <v>4400</v>
      </c>
      <c r="AT41" s="549">
        <f t="shared" si="193"/>
        <v>2550</v>
      </c>
      <c r="AU41" s="549">
        <f t="shared" si="193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4">SUM(BD805:BD810)</f>
        <v>9850</v>
      </c>
      <c r="BE41" s="549">
        <f t="shared" si="194"/>
        <v>6200</v>
      </c>
      <c r="BF41" s="549">
        <f t="shared" si="194"/>
        <v>5250</v>
      </c>
      <c r="BG41" s="549">
        <f t="shared" si="194"/>
        <v>4392</v>
      </c>
      <c r="BH41" s="549">
        <f t="shared" si="194"/>
        <v>4550</v>
      </c>
      <c r="BI41" s="549">
        <f t="shared" si="194"/>
        <v>5250</v>
      </c>
      <c r="BJ41" s="549">
        <f t="shared" si="194"/>
        <v>5710</v>
      </c>
      <c r="BK41" s="549">
        <f t="shared" si="194"/>
        <v>4920</v>
      </c>
      <c r="BL41" s="549">
        <f t="shared" si="194"/>
        <v>4860</v>
      </c>
      <c r="BM41" s="549">
        <f t="shared" si="194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5">SUM(BV805:BV810)</f>
        <v>3350</v>
      </c>
      <c r="BW41" s="549">
        <f t="shared" si="195"/>
        <v>3350</v>
      </c>
      <c r="BX41" s="549">
        <f t="shared" si="195"/>
        <v>4500</v>
      </c>
      <c r="BY41" s="549">
        <f t="shared" si="195"/>
        <v>5750</v>
      </c>
      <c r="BZ41" s="536">
        <f t="shared" si="137"/>
        <v>3279.375</v>
      </c>
      <c r="CA41" s="536">
        <f t="shared" si="138"/>
        <v>2965</v>
      </c>
      <c r="CB41" s="536">
        <f t="shared" si="139"/>
        <v>7697.5</v>
      </c>
      <c r="CC41" s="536">
        <f t="shared" si="140"/>
        <v>5473.75</v>
      </c>
      <c r="CD41" s="1342">
        <f t="shared" si="131"/>
        <v>2550</v>
      </c>
      <c r="CE41" s="1343">
        <f t="shared" si="131"/>
        <v>2700</v>
      </c>
      <c r="CF41" s="1343">
        <f t="shared" si="131"/>
        <v>3700</v>
      </c>
      <c r="CG41" s="1343">
        <f t="shared" si="131"/>
        <v>4400</v>
      </c>
      <c r="CH41" s="1344">
        <f t="shared" si="131"/>
        <v>7230</v>
      </c>
      <c r="CI41" s="1344">
        <f t="shared" si="131"/>
        <v>9650</v>
      </c>
      <c r="CJ41" s="1343">
        <f t="shared" si="131"/>
        <v>11000</v>
      </c>
      <c r="CK41" s="1343">
        <f t="shared" si="131"/>
        <v>11000</v>
      </c>
      <c r="CL41" s="1343">
        <f t="shared" si="131"/>
        <v>11900</v>
      </c>
      <c r="CM41" s="1342">
        <f t="shared" si="131"/>
        <v>13850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41"/>
        <v>10</v>
      </c>
      <c r="DE41" s="499">
        <f t="shared" si="142"/>
        <v>10</v>
      </c>
      <c r="DF41" s="499">
        <f t="shared" si="143"/>
        <v>10</v>
      </c>
      <c r="DG41" s="499">
        <f t="shared" si="144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152</v>
      </c>
      <c r="B42" s="532">
        <f t="shared" ref="B42:K42" si="196">IF(B20=0,"",B32/B20)</f>
        <v>0.38341968911917096</v>
      </c>
      <c r="C42" s="532">
        <f t="shared" si="196"/>
        <v>0.11744505494505494</v>
      </c>
      <c r="D42" s="532">
        <f t="shared" si="196"/>
        <v>7.6423759951010417E-2</v>
      </c>
      <c r="E42" s="532">
        <f t="shared" si="196"/>
        <v>0.19777777777777777</v>
      </c>
      <c r="F42" s="532">
        <f t="shared" si="196"/>
        <v>0.16138540899042003</v>
      </c>
      <c r="G42" s="532">
        <f t="shared" si="196"/>
        <v>0.16798245614035087</v>
      </c>
      <c r="H42" s="532">
        <f t="shared" si="196"/>
        <v>0.15444015444015444</v>
      </c>
      <c r="I42" s="532">
        <f t="shared" si="196"/>
        <v>0.34520000000000001</v>
      </c>
      <c r="J42" s="532">
        <f t="shared" si="196"/>
        <v>7.586206896551724E-2</v>
      </c>
      <c r="K42" s="532">
        <f t="shared" si="196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7">IF(T20=0,"",T32/T20)</f>
        <v>0.24014548960319027</v>
      </c>
      <c r="U42" s="532">
        <f t="shared" si="197"/>
        <v>0.22335724349942357</v>
      </c>
      <c r="V42" s="532">
        <f t="shared" si="197"/>
        <v>0.30555555555555558</v>
      </c>
      <c r="W42" s="532">
        <f t="shared" si="197"/>
        <v>0.34354838709677421</v>
      </c>
      <c r="X42" s="532">
        <f t="shared" si="197"/>
        <v>0.23502304147465439</v>
      </c>
      <c r="Y42" s="532">
        <f t="shared" si="197"/>
        <v>0.18097074895531984</v>
      </c>
      <c r="Z42" s="532">
        <f t="shared" si="197"/>
        <v>0.22508463430504982</v>
      </c>
      <c r="AA42" s="532">
        <f t="shared" si="197"/>
        <v>0.26665174908629818</v>
      </c>
      <c r="AB42" s="532">
        <f t="shared" si="197"/>
        <v>0.1977018267530937</v>
      </c>
      <c r="AC42" s="532">
        <f t="shared" si="197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8">IF(AL20=0,"",AL32/AL20)</f>
        <v>0.17723509933774834</v>
      </c>
      <c r="AM42" s="532">
        <f t="shared" si="198"/>
        <v>0.16863041833315318</v>
      </c>
      <c r="AN42" s="532">
        <f t="shared" si="198"/>
        <v>9.088457389428263E-2</v>
      </c>
      <c r="AO42" s="532">
        <f t="shared" si="198"/>
        <v>0.12855473315153876</v>
      </c>
      <c r="AP42" s="532">
        <f t="shared" si="198"/>
        <v>0.16733535570995206</v>
      </c>
      <c r="AQ42" s="532">
        <f t="shared" si="198"/>
        <v>6.0091666044358158E-2</v>
      </c>
      <c r="AR42" s="532">
        <f t="shared" si="198"/>
        <v>0.13148578942045111</v>
      </c>
      <c r="AS42" s="532">
        <f t="shared" si="198"/>
        <v>0.18196414236018196</v>
      </c>
      <c r="AT42" s="532">
        <f t="shared" si="198"/>
        <v>0.12956366874443456</v>
      </c>
      <c r="AU42" s="532">
        <f t="shared" si="198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9">IF(BD20=0,"",BD32/BD20)</f>
        <v>0.13647033943110923</v>
      </c>
      <c r="BE42" s="532">
        <f t="shared" si="199"/>
        <v>0.15298237686398555</v>
      </c>
      <c r="BF42" s="532">
        <f t="shared" si="199"/>
        <v>0.11773861295490959</v>
      </c>
      <c r="BG42" s="532">
        <f t="shared" si="199"/>
        <v>0.12716462487209979</v>
      </c>
      <c r="BH42" s="532">
        <f t="shared" si="199"/>
        <v>0.1595861229458308</v>
      </c>
      <c r="BI42" s="532">
        <f t="shared" si="199"/>
        <v>0.15804255319148935</v>
      </c>
      <c r="BJ42" s="532">
        <f t="shared" si="199"/>
        <v>8.9274598994493651E-2</v>
      </c>
      <c r="BK42" s="532">
        <f t="shared" si="199"/>
        <v>0.13994132439228835</v>
      </c>
      <c r="BL42" s="532">
        <f t="shared" si="199"/>
        <v>0.2129487380467158</v>
      </c>
      <c r="BM42" s="532">
        <f t="shared" si="199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0.15034975183583432</v>
      </c>
      <c r="BY42" s="532">
        <f>IF(BY20=0,"",BY32/BY20)</f>
        <v>0.14442558791950957</v>
      </c>
      <c r="BZ42" s="536">
        <f t="shared" si="137"/>
        <v>0.16212924032369949</v>
      </c>
      <c r="CA42" s="520">
        <f t="shared" si="138"/>
        <v>0.23431128615407318</v>
      </c>
      <c r="CB42" s="520">
        <f t="shared" si="139"/>
        <v>0.14695672261896781</v>
      </c>
      <c r="CC42" s="520">
        <f t="shared" si="140"/>
        <v>0.13515006920577577</v>
      </c>
      <c r="CD42" s="1342">
        <f t="shared" si="131"/>
        <v>6.0091666044358158E-2</v>
      </c>
      <c r="CE42" s="1343">
        <f t="shared" si="131"/>
        <v>9.088457389428263E-2</v>
      </c>
      <c r="CF42" s="1343">
        <f t="shared" si="131"/>
        <v>0.12855473315153876</v>
      </c>
      <c r="CG42" s="1343">
        <f t="shared" si="131"/>
        <v>0.12956366874443456</v>
      </c>
      <c r="CH42" s="1344">
        <f t="shared" si="131"/>
        <v>0.13148578942045111</v>
      </c>
      <c r="CI42" s="1344">
        <f t="shared" si="131"/>
        <v>0.16733535570995206</v>
      </c>
      <c r="CJ42" s="1343">
        <f t="shared" si="131"/>
        <v>0.16863041833315318</v>
      </c>
      <c r="CK42" s="1343">
        <f t="shared" si="131"/>
        <v>0.17723509933774834</v>
      </c>
      <c r="CL42" s="1343">
        <f t="shared" si="131"/>
        <v>0.18196414236018196</v>
      </c>
      <c r="CM42" s="1342">
        <f t="shared" si="131"/>
        <v>0.24681421864520456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41"/>
        <v>10</v>
      </c>
      <c r="DE42" s="499">
        <f t="shared" si="142"/>
        <v>10</v>
      </c>
      <c r="DF42" s="499">
        <f t="shared" si="143"/>
        <v>10</v>
      </c>
      <c r="DG42" s="499">
        <f t="shared" si="144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153</v>
      </c>
      <c r="B43" s="552">
        <f t="shared" ref="B43:K43" si="200">B20-B31</f>
        <v>560</v>
      </c>
      <c r="C43" s="552">
        <f t="shared" si="200"/>
        <v>1601</v>
      </c>
      <c r="D43" s="552">
        <f t="shared" si="200"/>
        <v>5293.4000000000015</v>
      </c>
      <c r="E43" s="552">
        <f t="shared" si="200"/>
        <v>4822</v>
      </c>
      <c r="F43" s="552">
        <f t="shared" si="200"/>
        <v>634</v>
      </c>
      <c r="G43" s="552">
        <f t="shared" si="200"/>
        <v>126</v>
      </c>
      <c r="H43" s="552">
        <f t="shared" si="200"/>
        <v>176</v>
      </c>
      <c r="I43" s="552">
        <f t="shared" si="200"/>
        <v>-192</v>
      </c>
      <c r="J43" s="552">
        <f t="shared" si="200"/>
        <v>1974</v>
      </c>
      <c r="K43" s="552">
        <f t="shared" si="200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201">T20-T31</f>
        <v>-484.5</v>
      </c>
      <c r="U43" s="552">
        <f t="shared" si="201"/>
        <v>-1986.7999999999993</v>
      </c>
      <c r="V43" s="552">
        <f t="shared" si="201"/>
        <v>-2047.5999999999985</v>
      </c>
      <c r="W43" s="552">
        <f t="shared" si="201"/>
        <v>-192.59999999999854</v>
      </c>
      <c r="X43" s="552">
        <f t="shared" si="201"/>
        <v>-886.20000000000073</v>
      </c>
      <c r="Y43" s="552">
        <f t="shared" si="201"/>
        <v>1772</v>
      </c>
      <c r="Z43" s="552">
        <f t="shared" si="201"/>
        <v>-2106.9700000000012</v>
      </c>
      <c r="AA43" s="552">
        <f t="shared" si="201"/>
        <v>4613.7000000000007</v>
      </c>
      <c r="AB43" s="552">
        <f t="shared" si="201"/>
        <v>5532</v>
      </c>
      <c r="AC43" s="552">
        <f t="shared" si="201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2">AL20-AL31</f>
        <v>1433</v>
      </c>
      <c r="AM43" s="552">
        <f t="shared" si="202"/>
        <v>2749</v>
      </c>
      <c r="AN43" s="552">
        <f t="shared" si="202"/>
        <v>675</v>
      </c>
      <c r="AO43" s="552">
        <f t="shared" si="202"/>
        <v>-623.59999999999854</v>
      </c>
      <c r="AP43" s="552">
        <f t="shared" si="202"/>
        <v>183.52000000000407</v>
      </c>
      <c r="AQ43" s="552">
        <f t="shared" si="202"/>
        <v>3668.1999999999971</v>
      </c>
      <c r="AR43" s="552">
        <f t="shared" si="202"/>
        <v>6315.5999999999985</v>
      </c>
      <c r="AS43" s="552">
        <f t="shared" si="202"/>
        <v>6515</v>
      </c>
      <c r="AT43" s="552">
        <f t="shared" si="202"/>
        <v>3430.5999999999985</v>
      </c>
      <c r="AU43" s="552">
        <f t="shared" si="202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3">BD20-BD31</f>
        <v>21006.559999999998</v>
      </c>
      <c r="BE43" s="552">
        <f t="shared" si="203"/>
        <v>250</v>
      </c>
      <c r="BF43" s="552">
        <f t="shared" si="203"/>
        <v>966.80000000000291</v>
      </c>
      <c r="BG43" s="552">
        <f t="shared" si="203"/>
        <v>4414.1300000000047</v>
      </c>
      <c r="BH43" s="552">
        <f t="shared" si="203"/>
        <v>11990.199999999997</v>
      </c>
      <c r="BI43" s="552">
        <f t="shared" si="203"/>
        <v>2884.5999999999985</v>
      </c>
      <c r="BJ43" s="552">
        <f t="shared" si="203"/>
        <v>35431.599999999999</v>
      </c>
      <c r="BK43" s="552">
        <f t="shared" si="203"/>
        <v>5905.5</v>
      </c>
      <c r="BL43" s="552">
        <f t="shared" si="203"/>
        <v>-1553.760000000002</v>
      </c>
      <c r="BM43" s="552">
        <f t="shared" si="203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-655</v>
      </c>
      <c r="BY43" s="552">
        <f>BY20-BY31</f>
        <v>728</v>
      </c>
      <c r="BZ43" s="536">
        <f t="shared" si="137"/>
        <v>1898.3000000000002</v>
      </c>
      <c r="CA43" s="536">
        <f t="shared" si="138"/>
        <v>773.11250000000064</v>
      </c>
      <c r="CB43" s="536">
        <f t="shared" si="139"/>
        <v>2743.1524999999997</v>
      </c>
      <c r="CC43" s="536">
        <f t="shared" si="140"/>
        <v>7518.0487500000027</v>
      </c>
      <c r="CD43" s="1342">
        <f t="shared" si="131"/>
        <v>-623.59999999999854</v>
      </c>
      <c r="CE43" s="1343">
        <f t="shared" si="131"/>
        <v>183.52000000000407</v>
      </c>
      <c r="CF43" s="1343">
        <f t="shared" si="131"/>
        <v>675</v>
      </c>
      <c r="CG43" s="1343">
        <f t="shared" si="131"/>
        <v>1433</v>
      </c>
      <c r="CH43" s="1344">
        <f t="shared" si="131"/>
        <v>2749</v>
      </c>
      <c r="CI43" s="1344">
        <f t="shared" si="131"/>
        <v>3430.5999999999985</v>
      </c>
      <c r="CJ43" s="1343">
        <f t="shared" si="131"/>
        <v>3490.2999999999993</v>
      </c>
      <c r="CK43" s="1343">
        <f t="shared" si="131"/>
        <v>3668.1999999999971</v>
      </c>
      <c r="CL43" s="1343">
        <f t="shared" si="131"/>
        <v>6315.5999999999985</v>
      </c>
      <c r="CM43" s="1342">
        <f t="shared" si="131"/>
        <v>6515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4414.1300000000047</v>
      </c>
      <c r="CV43" s="540">
        <f t="shared" si="22"/>
        <v>5905.5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41"/>
        <v>10</v>
      </c>
      <c r="DE43" s="499">
        <f t="shared" si="142"/>
        <v>10</v>
      </c>
      <c r="DF43" s="499">
        <f t="shared" si="143"/>
        <v>10</v>
      </c>
      <c r="DG43" s="499">
        <f t="shared" si="144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7"/>
        <v/>
      </c>
      <c r="CA44" s="536" t="str">
        <f t="shared" si="138"/>
        <v/>
      </c>
      <c r="CB44" s="536" t="str">
        <f t="shared" si="139"/>
        <v/>
      </c>
      <c r="CC44" s="536" t="str">
        <f t="shared" si="140"/>
        <v/>
      </c>
      <c r="CD44" s="1322"/>
      <c r="CE44" s="1322"/>
      <c r="CF44" s="1322"/>
      <c r="CG44" s="1322"/>
      <c r="CH44" s="1322"/>
      <c r="CI44" s="1322"/>
      <c r="CJ44" s="1322"/>
      <c r="CK44" s="1322"/>
      <c r="CL44" s="1322"/>
      <c r="CM44" s="1322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154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7"/>
        <v/>
      </c>
      <c r="CA45" s="520" t="str">
        <f t="shared" si="138"/>
        <v/>
      </c>
      <c r="CB45" s="520" t="str">
        <f t="shared" si="139"/>
        <v/>
      </c>
      <c r="CC45" s="520" t="str">
        <f t="shared" si="140"/>
        <v/>
      </c>
      <c r="CD45" s="1323"/>
      <c r="CE45" s="1323"/>
      <c r="CF45" s="1323"/>
      <c r="CG45" s="1323"/>
      <c r="CH45" s="1323"/>
      <c r="CI45" s="1323"/>
      <c r="CJ45" s="1323"/>
      <c r="CK45" s="1323"/>
      <c r="CL45" s="1323"/>
      <c r="CM45" s="1323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7"/>
        <v/>
      </c>
      <c r="CA46" s="536" t="str">
        <f t="shared" si="138"/>
        <v/>
      </c>
      <c r="CB46" s="536" t="str">
        <f t="shared" si="139"/>
        <v/>
      </c>
      <c r="CC46" s="536" t="str">
        <f t="shared" si="140"/>
        <v/>
      </c>
      <c r="CD46" s="1324"/>
      <c r="CE46" s="1324"/>
      <c r="CF46" s="1324"/>
      <c r="CG46" s="1324"/>
      <c r="CH46" s="1324"/>
      <c r="CI46" s="1324"/>
      <c r="CJ46" s="1324"/>
      <c r="CK46" s="1324"/>
      <c r="CL46" s="1324"/>
      <c r="CM46" s="1324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155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7"/>
        <v/>
      </c>
      <c r="CA47" s="536" t="str">
        <f t="shared" si="138"/>
        <v/>
      </c>
      <c r="CB47" s="536" t="str">
        <f t="shared" si="139"/>
        <v/>
      </c>
      <c r="CC47" s="536" t="str">
        <f t="shared" si="140"/>
        <v/>
      </c>
      <c r="CD47" s="1324"/>
      <c r="CE47" s="1324"/>
      <c r="CF47" s="1324"/>
      <c r="CG47" s="1324"/>
      <c r="CH47" s="1324"/>
      <c r="CI47" s="1324"/>
      <c r="CJ47" s="1324"/>
      <c r="CK47" s="1324"/>
      <c r="CL47" s="1324"/>
      <c r="CM47" s="1324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156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7"/>
        <v/>
      </c>
      <c r="CA48" s="536" t="str">
        <f t="shared" si="138"/>
        <v/>
      </c>
      <c r="CB48" s="536" t="str">
        <f t="shared" si="139"/>
        <v/>
      </c>
      <c r="CC48" s="536" t="str">
        <f t="shared" si="140"/>
        <v/>
      </c>
      <c r="CD48" s="1324"/>
      <c r="CE48" s="1324"/>
      <c r="CF48" s="1324"/>
      <c r="CG48" s="1324"/>
      <c r="CH48" s="1324"/>
      <c r="CI48" s="1324"/>
      <c r="CJ48" s="1324"/>
      <c r="CK48" s="1324"/>
      <c r="CL48" s="1324"/>
      <c r="CM48" s="1324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157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7"/>
        <v/>
      </c>
      <c r="CA49" s="536" t="str">
        <f t="shared" si="138"/>
        <v/>
      </c>
      <c r="CB49" s="536" t="str">
        <f t="shared" si="139"/>
        <v/>
      </c>
      <c r="CC49" s="536" t="str">
        <f t="shared" si="140"/>
        <v/>
      </c>
      <c r="CD49" s="1324"/>
      <c r="CE49" s="1324"/>
      <c r="CF49" s="1324"/>
      <c r="CG49" s="1324"/>
      <c r="CH49" s="1324"/>
      <c r="CI49" s="1324"/>
      <c r="CJ49" s="1324"/>
      <c r="CK49" s="1324"/>
      <c r="CL49" s="1324"/>
      <c r="CM49" s="1324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158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7"/>
        <v/>
      </c>
      <c r="CA50" s="536" t="str">
        <f t="shared" si="138"/>
        <v/>
      </c>
      <c r="CB50" s="536" t="str">
        <f t="shared" si="139"/>
        <v/>
      </c>
      <c r="CC50" s="536" t="str">
        <f t="shared" si="140"/>
        <v/>
      </c>
      <c r="CD50" s="1324"/>
      <c r="CE50" s="1324"/>
      <c r="CF50" s="1324"/>
      <c r="CG50" s="1324"/>
      <c r="CH50" s="1324"/>
      <c r="CI50" s="1324"/>
      <c r="CJ50" s="1324"/>
      <c r="CK50" s="1324"/>
      <c r="CL50" s="1324"/>
      <c r="CM50" s="1324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159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7"/>
        <v/>
      </c>
      <c r="CA51" s="536" t="str">
        <f t="shared" si="138"/>
        <v/>
      </c>
      <c r="CB51" s="536" t="str">
        <f t="shared" si="139"/>
        <v/>
      </c>
      <c r="CC51" s="536" t="str">
        <f t="shared" si="140"/>
        <v/>
      </c>
      <c r="CD51" s="1324"/>
      <c r="CE51" s="1324"/>
      <c r="CF51" s="1324"/>
      <c r="CG51" s="1324"/>
      <c r="CH51" s="1324"/>
      <c r="CI51" s="1324"/>
      <c r="CJ51" s="1324"/>
      <c r="CK51" s="1324"/>
      <c r="CL51" s="1324"/>
      <c r="CM51" s="1324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160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7"/>
        <v/>
      </c>
      <c r="CA52" s="536" t="str">
        <f t="shared" si="138"/>
        <v/>
      </c>
      <c r="CB52" s="536" t="str">
        <f t="shared" si="139"/>
        <v/>
      </c>
      <c r="CC52" s="536" t="str">
        <f t="shared" si="140"/>
        <v/>
      </c>
      <c r="CD52" s="1324"/>
      <c r="CE52" s="1324"/>
      <c r="CF52" s="1324"/>
      <c r="CG52" s="1324"/>
      <c r="CH52" s="1324"/>
      <c r="CI52" s="1324"/>
      <c r="CJ52" s="1324"/>
      <c r="CK52" s="1324"/>
      <c r="CL52" s="1324"/>
      <c r="CM52" s="1324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161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7"/>
        <v/>
      </c>
      <c r="CA53" s="536" t="str">
        <f t="shared" si="138"/>
        <v/>
      </c>
      <c r="CB53" s="536" t="str">
        <f t="shared" si="139"/>
        <v/>
      </c>
      <c r="CC53" s="536" t="str">
        <f t="shared" si="140"/>
        <v/>
      </c>
      <c r="CD53" s="1324"/>
      <c r="CE53" s="1324"/>
      <c r="CF53" s="1324"/>
      <c r="CG53" s="1324"/>
      <c r="CH53" s="1324"/>
      <c r="CI53" s="1324"/>
      <c r="CJ53" s="1324"/>
      <c r="CK53" s="1324"/>
      <c r="CL53" s="1324"/>
      <c r="CM53" s="1324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162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7"/>
        <v/>
      </c>
      <c r="CA54" s="536" t="str">
        <f t="shared" si="138"/>
        <v/>
      </c>
      <c r="CB54" s="536" t="str">
        <f t="shared" si="139"/>
        <v/>
      </c>
      <c r="CC54" s="536" t="str">
        <f t="shared" si="140"/>
        <v/>
      </c>
      <c r="CD54" s="1324"/>
      <c r="CE54" s="1324"/>
      <c r="CF54" s="1324"/>
      <c r="CG54" s="1324"/>
      <c r="CH54" s="1324"/>
      <c r="CI54" s="1324"/>
      <c r="CJ54" s="1324"/>
      <c r="CK54" s="1324"/>
      <c r="CL54" s="1324"/>
      <c r="CM54" s="1324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163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7"/>
        <v/>
      </c>
      <c r="CA55" s="536" t="str">
        <f t="shared" si="138"/>
        <v/>
      </c>
      <c r="CB55" s="536" t="str">
        <f t="shared" si="139"/>
        <v/>
      </c>
      <c r="CC55" s="536" t="str">
        <f t="shared" si="140"/>
        <v/>
      </c>
      <c r="CD55" s="1324"/>
      <c r="CE55" s="1324"/>
      <c r="CF55" s="1324"/>
      <c r="CG55" s="1324"/>
      <c r="CH55" s="1324"/>
      <c r="CI55" s="1324"/>
      <c r="CJ55" s="1324"/>
      <c r="CK55" s="1324"/>
      <c r="CL55" s="1324"/>
      <c r="CM55" s="1324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164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7"/>
        <v/>
      </c>
      <c r="CA56" s="536" t="str">
        <f t="shared" si="138"/>
        <v/>
      </c>
      <c r="CB56" s="536" t="str">
        <f t="shared" si="139"/>
        <v/>
      </c>
      <c r="CC56" s="536" t="str">
        <f t="shared" si="140"/>
        <v/>
      </c>
      <c r="CD56" s="1324"/>
      <c r="CE56" s="1324"/>
      <c r="CF56" s="1324"/>
      <c r="CG56" s="1324"/>
      <c r="CH56" s="1324"/>
      <c r="CI56" s="1324"/>
      <c r="CJ56" s="1324"/>
      <c r="CK56" s="1324"/>
      <c r="CL56" s="1324"/>
      <c r="CM56" s="1324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165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7"/>
        <v/>
      </c>
      <c r="CA57" s="536" t="str">
        <f t="shared" si="138"/>
        <v/>
      </c>
      <c r="CB57" s="536" t="str">
        <f t="shared" si="139"/>
        <v/>
      </c>
      <c r="CC57" s="536" t="str">
        <f t="shared" si="140"/>
        <v/>
      </c>
      <c r="CD57" s="1324"/>
      <c r="CE57" s="1324"/>
      <c r="CF57" s="1324"/>
      <c r="CG57" s="1324"/>
      <c r="CH57" s="1324"/>
      <c r="CI57" s="1324"/>
      <c r="CJ57" s="1324"/>
      <c r="CK57" s="1324"/>
      <c r="CL57" s="1324"/>
      <c r="CM57" s="1324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7"/>
        <v/>
      </c>
      <c r="CA58" s="536" t="str">
        <f t="shared" si="138"/>
        <v/>
      </c>
      <c r="CB58" s="536" t="str">
        <f t="shared" si="139"/>
        <v/>
      </c>
      <c r="CC58" s="536" t="str">
        <f t="shared" si="140"/>
        <v/>
      </c>
      <c r="CD58" s="1324"/>
      <c r="CE58" s="1324"/>
      <c r="CF58" s="1324"/>
      <c r="CG58" s="1324"/>
      <c r="CH58" s="1324"/>
      <c r="CI58" s="1324"/>
      <c r="CJ58" s="1324"/>
      <c r="CK58" s="1324"/>
      <c r="CL58" s="1324"/>
      <c r="CM58" s="1324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7"/>
        <v/>
      </c>
      <c r="CA59" s="536" t="str">
        <f t="shared" si="138"/>
        <v/>
      </c>
      <c r="CB59" s="536" t="str">
        <f t="shared" si="139"/>
        <v/>
      </c>
      <c r="CC59" s="536" t="str">
        <f t="shared" si="140"/>
        <v/>
      </c>
      <c r="CD59" s="1324"/>
      <c r="CE59" s="1324"/>
      <c r="CF59" s="1324"/>
      <c r="CG59" s="1324"/>
      <c r="CH59" s="1324"/>
      <c r="CI59" s="1324"/>
      <c r="CJ59" s="1324"/>
      <c r="CK59" s="1324"/>
      <c r="CL59" s="1324"/>
      <c r="CM59" s="1324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7"/>
        <v/>
      </c>
      <c r="CA60" s="536" t="str">
        <f t="shared" si="138"/>
        <v/>
      </c>
      <c r="CB60" s="536" t="str">
        <f t="shared" si="139"/>
        <v/>
      </c>
      <c r="CC60" s="536" t="str">
        <f t="shared" si="140"/>
        <v/>
      </c>
      <c r="CD60" s="1324"/>
      <c r="CE60" s="1324"/>
      <c r="CF60" s="1324"/>
      <c r="CG60" s="1324"/>
      <c r="CH60" s="1324"/>
      <c r="CI60" s="1324"/>
      <c r="CJ60" s="1324"/>
      <c r="CK60" s="1324"/>
      <c r="CL60" s="1324"/>
      <c r="CM60" s="1324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7"/>
        <v/>
      </c>
      <c r="CA61" s="536" t="str">
        <f t="shared" si="138"/>
        <v/>
      </c>
      <c r="CB61" s="536" t="str">
        <f t="shared" si="139"/>
        <v/>
      </c>
      <c r="CC61" s="536" t="str">
        <f t="shared" si="140"/>
        <v/>
      </c>
      <c r="CD61" s="1324"/>
      <c r="CE61" s="1324"/>
      <c r="CF61" s="1324"/>
      <c r="CG61" s="1324"/>
      <c r="CH61" s="1324"/>
      <c r="CI61" s="1324"/>
      <c r="CJ61" s="1324"/>
      <c r="CK61" s="1324"/>
      <c r="CL61" s="1324"/>
      <c r="CM61" s="1324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7"/>
        <v/>
      </c>
      <c r="CA62" s="536" t="str">
        <f t="shared" si="138"/>
        <v/>
      </c>
      <c r="CB62" s="536" t="str">
        <f t="shared" si="139"/>
        <v/>
      </c>
      <c r="CC62" s="536" t="str">
        <f t="shared" si="140"/>
        <v/>
      </c>
      <c r="CD62" s="1324"/>
      <c r="CE62" s="1324"/>
      <c r="CF62" s="1324"/>
      <c r="CG62" s="1324"/>
      <c r="CH62" s="1324"/>
      <c r="CI62" s="1324"/>
      <c r="CJ62" s="1324"/>
      <c r="CK62" s="1324"/>
      <c r="CL62" s="1324"/>
      <c r="CM62" s="1324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7"/>
        <v/>
      </c>
      <c r="CA63" s="536" t="str">
        <f t="shared" si="138"/>
        <v/>
      </c>
      <c r="CB63" s="536" t="str">
        <f t="shared" si="139"/>
        <v/>
      </c>
      <c r="CC63" s="536" t="str">
        <f t="shared" si="140"/>
        <v/>
      </c>
      <c r="CD63" s="1324"/>
      <c r="CE63" s="1324"/>
      <c r="CF63" s="1324"/>
      <c r="CG63" s="1324"/>
      <c r="CH63" s="1324"/>
      <c r="CI63" s="1324"/>
      <c r="CJ63" s="1324"/>
      <c r="CK63" s="1324"/>
      <c r="CL63" s="1324"/>
      <c r="CM63" s="1324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166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7"/>
        <v/>
      </c>
      <c r="CA64" s="578" t="str">
        <f t="shared" si="138"/>
        <v/>
      </c>
      <c r="CB64" s="578" t="str">
        <f t="shared" si="139"/>
        <v/>
      </c>
      <c r="CC64" s="578" t="str">
        <f t="shared" si="140"/>
        <v/>
      </c>
      <c r="CD64" s="1322"/>
      <c r="CE64" s="1322"/>
      <c r="CF64" s="1322"/>
      <c r="CG64" s="1322"/>
      <c r="CH64" s="1322"/>
      <c r="CI64" s="1322"/>
      <c r="CJ64" s="1322"/>
      <c r="CK64" s="1322"/>
      <c r="CL64" s="1322"/>
      <c r="CM64" s="1322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7"/>
        <v/>
      </c>
      <c r="CA65" s="578" t="str">
        <f t="shared" si="138"/>
        <v/>
      </c>
      <c r="CB65" s="578" t="str">
        <f t="shared" si="139"/>
        <v/>
      </c>
      <c r="CC65" s="578" t="str">
        <f t="shared" si="140"/>
        <v/>
      </c>
      <c r="CD65" s="1322"/>
      <c r="CE65" s="1322"/>
      <c r="CF65" s="1322"/>
      <c r="CG65" s="1322"/>
      <c r="CH65" s="1322"/>
      <c r="CI65" s="1322"/>
      <c r="CJ65" s="1322"/>
      <c r="CK65" s="1322"/>
      <c r="CL65" s="1322"/>
      <c r="CM65" s="1322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168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169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7"/>
        <v>0</v>
      </c>
      <c r="CA66" s="586">
        <f t="shared" si="138"/>
        <v>0</v>
      </c>
      <c r="CB66" s="586">
        <f t="shared" si="139"/>
        <v>0</v>
      </c>
      <c r="CC66" s="586">
        <f t="shared" si="140"/>
        <v>0</v>
      </c>
      <c r="CD66" s="1316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7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8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8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7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7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6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30">COUNT(B66:R66)</f>
        <v>10</v>
      </c>
      <c r="DE66" s="97">
        <f t="shared" ref="DE66:DE91" si="231">COUNT(T66:AJ66)</f>
        <v>10</v>
      </c>
      <c r="DF66" s="97">
        <f t="shared" ref="DF66:DF91" si="232">COUNT(AL66:BB66)</f>
        <v>10</v>
      </c>
      <c r="DG66" s="97">
        <f t="shared" ref="DG66:DG91" si="233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170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7"/>
        <v/>
      </c>
      <c r="CA67" s="586" t="str">
        <f t="shared" si="138"/>
        <v/>
      </c>
      <c r="CB67" s="586" t="str">
        <f t="shared" si="139"/>
        <v/>
      </c>
      <c r="CC67" s="586" t="str">
        <f t="shared" si="140"/>
        <v/>
      </c>
      <c r="CD67" s="1316" t="str">
        <f t="shared" si="204"/>
        <v/>
      </c>
      <c r="CE67" s="1317" t="str">
        <f t="shared" si="205"/>
        <v/>
      </c>
      <c r="CF67" s="1317" t="str">
        <f t="shared" si="206"/>
        <v/>
      </c>
      <c r="CG67" s="1317" t="str">
        <f t="shared" si="207"/>
        <v/>
      </c>
      <c r="CH67" s="1318" t="str">
        <f t="shared" si="208"/>
        <v/>
      </c>
      <c r="CI67" s="1318" t="str">
        <f t="shared" si="209"/>
        <v/>
      </c>
      <c r="CJ67" s="1317" t="str">
        <f t="shared" si="210"/>
        <v/>
      </c>
      <c r="CK67" s="1317" t="str">
        <f t="shared" si="211"/>
        <v/>
      </c>
      <c r="CL67" s="1317" t="str">
        <f t="shared" si="212"/>
        <v/>
      </c>
      <c r="CM67" s="1316" t="str">
        <f t="shared" si="213"/>
        <v/>
      </c>
      <c r="CN67" s="538" t="str">
        <f t="shared" si="214"/>
        <v/>
      </c>
      <c r="CO67" s="539" t="str">
        <f t="shared" si="215"/>
        <v/>
      </c>
      <c r="CP67" s="539" t="str">
        <f t="shared" si="216"/>
        <v/>
      </c>
      <c r="CQ67" s="539" t="str">
        <f t="shared" si="217"/>
        <v/>
      </c>
      <c r="CR67" s="539" t="str">
        <f t="shared" si="218"/>
        <v/>
      </c>
      <c r="CS67" s="539" t="str">
        <f t="shared" si="219"/>
        <v/>
      </c>
      <c r="CT67" s="540" t="str">
        <f t="shared" si="220"/>
        <v/>
      </c>
      <c r="CU67" s="540" t="str">
        <f t="shared" si="221"/>
        <v/>
      </c>
      <c r="CV67" s="540" t="str">
        <f t="shared" si="222"/>
        <v/>
      </c>
      <c r="CW67" s="539" t="str">
        <f t="shared" si="223"/>
        <v/>
      </c>
      <c r="CX67" s="539" t="str">
        <f t="shared" si="224"/>
        <v/>
      </c>
      <c r="CY67" s="539" t="str">
        <f t="shared" si="225"/>
        <v/>
      </c>
      <c r="CZ67" s="539" t="str">
        <f t="shared" si="226"/>
        <v/>
      </c>
      <c r="DA67" s="539" t="str">
        <f t="shared" si="227"/>
        <v/>
      </c>
      <c r="DB67" s="538" t="str">
        <f t="shared" si="228"/>
        <v/>
      </c>
      <c r="DC67" s="537" t="str">
        <f t="shared" si="229"/>
        <v/>
      </c>
      <c r="DD67" s="587">
        <f t="shared" si="230"/>
        <v>0</v>
      </c>
      <c r="DE67" s="97">
        <f t="shared" si="231"/>
        <v>0</v>
      </c>
      <c r="DF67" s="97">
        <f t="shared" si="232"/>
        <v>0</v>
      </c>
      <c r="DG67" s="97">
        <f t="shared" si="233"/>
        <v>0</v>
      </c>
      <c r="DH67" s="580"/>
      <c r="DI67" s="191"/>
      <c r="DJ67" s="588" t="s">
        <v>172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7"/>
        <v/>
      </c>
      <c r="CA68" s="586" t="str">
        <f t="shared" si="138"/>
        <v/>
      </c>
      <c r="CB68" s="586" t="str">
        <f t="shared" si="139"/>
        <v/>
      </c>
      <c r="CC68" s="586" t="str">
        <f t="shared" si="140"/>
        <v/>
      </c>
      <c r="CD68" s="1316" t="str">
        <f t="shared" si="204"/>
        <v/>
      </c>
      <c r="CE68" s="1317" t="str">
        <f t="shared" si="205"/>
        <v/>
      </c>
      <c r="CF68" s="1317" t="str">
        <f t="shared" si="206"/>
        <v/>
      </c>
      <c r="CG68" s="1317" t="str">
        <f t="shared" si="207"/>
        <v/>
      </c>
      <c r="CH68" s="1318" t="str">
        <f t="shared" si="208"/>
        <v/>
      </c>
      <c r="CI68" s="1318" t="str">
        <f t="shared" si="209"/>
        <v/>
      </c>
      <c r="CJ68" s="1317" t="str">
        <f t="shared" si="210"/>
        <v/>
      </c>
      <c r="CK68" s="1317" t="str">
        <f t="shared" si="211"/>
        <v/>
      </c>
      <c r="CL68" s="1317" t="str">
        <f t="shared" si="212"/>
        <v/>
      </c>
      <c r="CM68" s="1316" t="str">
        <f t="shared" si="213"/>
        <v/>
      </c>
      <c r="CN68" s="538" t="str">
        <f t="shared" si="214"/>
        <v/>
      </c>
      <c r="CO68" s="539" t="str">
        <f t="shared" si="215"/>
        <v/>
      </c>
      <c r="CP68" s="539" t="str">
        <f t="shared" si="216"/>
        <v/>
      </c>
      <c r="CQ68" s="539" t="str">
        <f t="shared" si="217"/>
        <v/>
      </c>
      <c r="CR68" s="539" t="str">
        <f t="shared" si="218"/>
        <v/>
      </c>
      <c r="CS68" s="539" t="str">
        <f t="shared" si="219"/>
        <v/>
      </c>
      <c r="CT68" s="540" t="str">
        <f t="shared" si="220"/>
        <v/>
      </c>
      <c r="CU68" s="540" t="str">
        <f t="shared" si="221"/>
        <v/>
      </c>
      <c r="CV68" s="540" t="str">
        <f t="shared" si="222"/>
        <v/>
      </c>
      <c r="CW68" s="539" t="str">
        <f t="shared" si="223"/>
        <v/>
      </c>
      <c r="CX68" s="539" t="str">
        <f t="shared" si="224"/>
        <v/>
      </c>
      <c r="CY68" s="539" t="str">
        <f t="shared" si="225"/>
        <v/>
      </c>
      <c r="CZ68" s="539" t="str">
        <f t="shared" si="226"/>
        <v/>
      </c>
      <c r="DA68" s="539" t="str">
        <f t="shared" si="227"/>
        <v/>
      </c>
      <c r="DB68" s="538" t="str">
        <f t="shared" si="228"/>
        <v/>
      </c>
      <c r="DC68" s="537" t="str">
        <f t="shared" si="229"/>
        <v/>
      </c>
      <c r="DD68" s="587">
        <f t="shared" si="230"/>
        <v>0</v>
      </c>
      <c r="DE68" s="97">
        <f t="shared" si="231"/>
        <v>0</v>
      </c>
      <c r="DF68" s="97">
        <f t="shared" si="232"/>
        <v>0</v>
      </c>
      <c r="DG68" s="97">
        <f t="shared" si="233"/>
        <v>0</v>
      </c>
      <c r="DH68" s="580"/>
      <c r="DI68" s="191"/>
      <c r="DJ68" s="588" t="s">
        <v>174</v>
      </c>
      <c r="DK68" s="589" t="s">
        <v>175</v>
      </c>
      <c r="DL68" s="594"/>
      <c r="DM68" s="594"/>
      <c r="DN68" s="594">
        <f>BX74</f>
        <v>0</v>
      </c>
      <c r="DO68" s="594">
        <f>BY74</f>
        <v>0</v>
      </c>
      <c r="DP68" s="192" t="s">
        <v>176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177</v>
      </c>
      <c r="B69" s="595" t="str">
        <f t="shared" ref="B69:K69" si="234">IF(B68="","",B66*B67*B68)</f>
        <v/>
      </c>
      <c r="C69" s="595" t="str">
        <f t="shared" si="234"/>
        <v/>
      </c>
      <c r="D69" s="595" t="str">
        <f t="shared" si="234"/>
        <v/>
      </c>
      <c r="E69" s="595" t="str">
        <f t="shared" si="234"/>
        <v/>
      </c>
      <c r="F69" s="595" t="str">
        <f t="shared" si="234"/>
        <v/>
      </c>
      <c r="G69" s="595" t="str">
        <f t="shared" si="234"/>
        <v/>
      </c>
      <c r="H69" s="595" t="str">
        <f t="shared" si="234"/>
        <v/>
      </c>
      <c r="I69" s="595" t="str">
        <f t="shared" si="234"/>
        <v/>
      </c>
      <c r="J69" s="595" t="str">
        <f t="shared" si="234"/>
        <v/>
      </c>
      <c r="K69" s="595" t="str">
        <f t="shared" si="234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5">IF(T68="","",T66*T67*T68)</f>
        <v/>
      </c>
      <c r="U69" s="595" t="str">
        <f t="shared" si="235"/>
        <v/>
      </c>
      <c r="V69" s="595" t="str">
        <f t="shared" si="235"/>
        <v/>
      </c>
      <c r="W69" s="595" t="str">
        <f t="shared" si="235"/>
        <v/>
      </c>
      <c r="X69" s="595" t="str">
        <f t="shared" si="235"/>
        <v/>
      </c>
      <c r="Y69" s="595" t="str">
        <f t="shared" si="235"/>
        <v/>
      </c>
      <c r="Z69" s="595" t="str">
        <f t="shared" si="235"/>
        <v/>
      </c>
      <c r="AA69" s="595" t="str">
        <f t="shared" si="235"/>
        <v/>
      </c>
      <c r="AB69" s="595" t="str">
        <f t="shared" si="235"/>
        <v/>
      </c>
      <c r="AC69" s="595" t="str">
        <f t="shared" si="235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6">IF(AL68="","",AL66*AL67*AL68)</f>
        <v/>
      </c>
      <c r="AM69" s="595" t="str">
        <f t="shared" si="236"/>
        <v/>
      </c>
      <c r="AN69" s="595" t="str">
        <f t="shared" si="236"/>
        <v/>
      </c>
      <c r="AO69" s="595" t="str">
        <f t="shared" si="236"/>
        <v/>
      </c>
      <c r="AP69" s="595" t="str">
        <f t="shared" si="236"/>
        <v/>
      </c>
      <c r="AQ69" s="595" t="str">
        <f t="shared" si="236"/>
        <v/>
      </c>
      <c r="AR69" s="595" t="str">
        <f t="shared" si="236"/>
        <v/>
      </c>
      <c r="AS69" s="595" t="str">
        <f t="shared" si="236"/>
        <v/>
      </c>
      <c r="AT69" s="595" t="str">
        <f t="shared" si="236"/>
        <v/>
      </c>
      <c r="AU69" s="595" t="str">
        <f t="shared" si="236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7">IF(BD68="","",BD66*BD67*BD68)</f>
        <v/>
      </c>
      <c r="BE69" s="595" t="str">
        <f t="shared" si="237"/>
        <v/>
      </c>
      <c r="BF69" s="595" t="str">
        <f t="shared" si="237"/>
        <v/>
      </c>
      <c r="BG69" s="595" t="str">
        <f t="shared" si="237"/>
        <v/>
      </c>
      <c r="BH69" s="595" t="str">
        <f t="shared" si="237"/>
        <v/>
      </c>
      <c r="BI69" s="595" t="str">
        <f t="shared" si="237"/>
        <v/>
      </c>
      <c r="BJ69" s="595" t="str">
        <f t="shared" si="237"/>
        <v/>
      </c>
      <c r="BK69" s="595" t="str">
        <f t="shared" si="237"/>
        <v/>
      </c>
      <c r="BL69" s="595" t="str">
        <f t="shared" si="237"/>
        <v/>
      </c>
      <c r="BM69" s="595" t="str">
        <f t="shared" si="237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7"/>
        <v/>
      </c>
      <c r="CA69" s="586" t="str">
        <f t="shared" si="138"/>
        <v/>
      </c>
      <c r="CB69" s="586" t="str">
        <f t="shared" si="139"/>
        <v/>
      </c>
      <c r="CC69" s="586" t="str">
        <f t="shared" si="140"/>
        <v/>
      </c>
      <c r="CD69" s="1316" t="str">
        <f t="shared" si="204"/>
        <v/>
      </c>
      <c r="CE69" s="1317" t="str">
        <f t="shared" si="205"/>
        <v/>
      </c>
      <c r="CF69" s="1317" t="str">
        <f t="shared" si="206"/>
        <v/>
      </c>
      <c r="CG69" s="1317" t="str">
        <f t="shared" si="207"/>
        <v/>
      </c>
      <c r="CH69" s="1318" t="str">
        <f t="shared" si="208"/>
        <v/>
      </c>
      <c r="CI69" s="1318" t="str">
        <f t="shared" si="209"/>
        <v/>
      </c>
      <c r="CJ69" s="1317" t="str">
        <f t="shared" si="210"/>
        <v/>
      </c>
      <c r="CK69" s="1317" t="str">
        <f t="shared" si="211"/>
        <v/>
      </c>
      <c r="CL69" s="1317" t="str">
        <f t="shared" si="212"/>
        <v/>
      </c>
      <c r="CM69" s="1316" t="str">
        <f t="shared" si="213"/>
        <v/>
      </c>
      <c r="CN69" s="538" t="str">
        <f t="shared" si="214"/>
        <v/>
      </c>
      <c r="CO69" s="539" t="str">
        <f t="shared" si="215"/>
        <v/>
      </c>
      <c r="CP69" s="539" t="str">
        <f t="shared" si="216"/>
        <v/>
      </c>
      <c r="CQ69" s="539" t="str">
        <f t="shared" si="217"/>
        <v/>
      </c>
      <c r="CR69" s="539" t="str">
        <f t="shared" si="218"/>
        <v/>
      </c>
      <c r="CS69" s="539" t="str">
        <f t="shared" si="219"/>
        <v/>
      </c>
      <c r="CT69" s="540" t="str">
        <f t="shared" si="220"/>
        <v/>
      </c>
      <c r="CU69" s="540" t="str">
        <f t="shared" si="221"/>
        <v/>
      </c>
      <c r="CV69" s="540" t="str">
        <f t="shared" si="222"/>
        <v/>
      </c>
      <c r="CW69" s="539" t="str">
        <f t="shared" si="223"/>
        <v/>
      </c>
      <c r="CX69" s="539" t="str">
        <f t="shared" si="224"/>
        <v/>
      </c>
      <c r="CY69" s="539" t="str">
        <f t="shared" si="225"/>
        <v/>
      </c>
      <c r="CZ69" s="539" t="str">
        <f t="shared" si="226"/>
        <v/>
      </c>
      <c r="DA69" s="539" t="str">
        <f t="shared" si="227"/>
        <v/>
      </c>
      <c r="DB69" s="538" t="str">
        <f t="shared" si="228"/>
        <v/>
      </c>
      <c r="DC69" s="537" t="str">
        <f t="shared" si="229"/>
        <v/>
      </c>
      <c r="DD69" s="587">
        <f t="shared" si="230"/>
        <v>0</v>
      </c>
      <c r="DE69" s="97">
        <f t="shared" si="231"/>
        <v>0</v>
      </c>
      <c r="DF69" s="97">
        <f t="shared" si="232"/>
        <v>0</v>
      </c>
      <c r="DG69" s="97">
        <f t="shared" si="233"/>
        <v>0</v>
      </c>
      <c r="DH69" s="580"/>
      <c r="DI69" s="191"/>
      <c r="DJ69" s="588"/>
      <c r="DK69" s="589" t="s">
        <v>178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7"/>
        <v/>
      </c>
      <c r="CA70" s="586" t="str">
        <f t="shared" si="138"/>
        <v/>
      </c>
      <c r="CB70" s="586" t="str">
        <f t="shared" si="139"/>
        <v/>
      </c>
      <c r="CC70" s="586" t="str">
        <f t="shared" si="140"/>
        <v/>
      </c>
      <c r="CD70" s="1316" t="str">
        <f t="shared" si="204"/>
        <v/>
      </c>
      <c r="CE70" s="1317" t="str">
        <f t="shared" si="205"/>
        <v/>
      </c>
      <c r="CF70" s="1317" t="str">
        <f t="shared" si="206"/>
        <v/>
      </c>
      <c r="CG70" s="1317" t="str">
        <f t="shared" si="207"/>
        <v/>
      </c>
      <c r="CH70" s="1318" t="str">
        <f t="shared" si="208"/>
        <v/>
      </c>
      <c r="CI70" s="1318" t="str">
        <f t="shared" si="209"/>
        <v/>
      </c>
      <c r="CJ70" s="1317" t="str">
        <f t="shared" si="210"/>
        <v/>
      </c>
      <c r="CK70" s="1317" t="str">
        <f t="shared" si="211"/>
        <v/>
      </c>
      <c r="CL70" s="1317" t="str">
        <f t="shared" si="212"/>
        <v/>
      </c>
      <c r="CM70" s="1316" t="str">
        <f t="shared" si="213"/>
        <v/>
      </c>
      <c r="CN70" s="538" t="str">
        <f t="shared" si="214"/>
        <v/>
      </c>
      <c r="CO70" s="539" t="str">
        <f t="shared" si="215"/>
        <v/>
      </c>
      <c r="CP70" s="539" t="str">
        <f t="shared" si="216"/>
        <v/>
      </c>
      <c r="CQ70" s="539" t="str">
        <f t="shared" si="217"/>
        <v/>
      </c>
      <c r="CR70" s="539" t="str">
        <f t="shared" si="218"/>
        <v/>
      </c>
      <c r="CS70" s="539" t="str">
        <f t="shared" si="219"/>
        <v/>
      </c>
      <c r="CT70" s="540" t="str">
        <f t="shared" si="220"/>
        <v/>
      </c>
      <c r="CU70" s="540" t="str">
        <f t="shared" si="221"/>
        <v/>
      </c>
      <c r="CV70" s="540" t="str">
        <f t="shared" si="222"/>
        <v/>
      </c>
      <c r="CW70" s="539" t="str">
        <f t="shared" si="223"/>
        <v/>
      </c>
      <c r="CX70" s="539" t="str">
        <f t="shared" si="224"/>
        <v/>
      </c>
      <c r="CY70" s="539" t="str">
        <f t="shared" si="225"/>
        <v/>
      </c>
      <c r="CZ70" s="539" t="str">
        <f t="shared" si="226"/>
        <v/>
      </c>
      <c r="DA70" s="539" t="str">
        <f t="shared" si="227"/>
        <v/>
      </c>
      <c r="DB70" s="538" t="str">
        <f t="shared" si="228"/>
        <v/>
      </c>
      <c r="DC70" s="537" t="str">
        <f t="shared" si="229"/>
        <v/>
      </c>
      <c r="DD70" s="587">
        <f t="shared" si="230"/>
        <v>0</v>
      </c>
      <c r="DE70" s="97">
        <f t="shared" si="231"/>
        <v>0</v>
      </c>
      <c r="DF70" s="97">
        <f t="shared" si="232"/>
        <v>0</v>
      </c>
      <c r="DG70" s="97">
        <f t="shared" si="233"/>
        <v>0</v>
      </c>
      <c r="DH70" s="580"/>
      <c r="DI70" s="191"/>
      <c r="DJ70" s="588"/>
      <c r="DK70" s="589" t="s">
        <v>180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7"/>
        <v/>
      </c>
      <c r="CA71" s="586" t="str">
        <f t="shared" si="138"/>
        <v/>
      </c>
      <c r="CB71" s="586" t="str">
        <f t="shared" si="139"/>
        <v/>
      </c>
      <c r="CC71" s="586" t="str">
        <f t="shared" si="140"/>
        <v/>
      </c>
      <c r="CD71" s="1316" t="str">
        <f t="shared" si="204"/>
        <v/>
      </c>
      <c r="CE71" s="1317" t="str">
        <f t="shared" si="205"/>
        <v/>
      </c>
      <c r="CF71" s="1317" t="str">
        <f t="shared" si="206"/>
        <v/>
      </c>
      <c r="CG71" s="1317" t="str">
        <f t="shared" si="207"/>
        <v/>
      </c>
      <c r="CH71" s="1318" t="str">
        <f t="shared" si="208"/>
        <v/>
      </c>
      <c r="CI71" s="1318" t="str">
        <f t="shared" si="209"/>
        <v/>
      </c>
      <c r="CJ71" s="1317" t="str">
        <f t="shared" si="210"/>
        <v/>
      </c>
      <c r="CK71" s="1317" t="str">
        <f t="shared" si="211"/>
        <v/>
      </c>
      <c r="CL71" s="1317" t="str">
        <f t="shared" si="212"/>
        <v/>
      </c>
      <c r="CM71" s="1316" t="str">
        <f t="shared" si="213"/>
        <v/>
      </c>
      <c r="CN71" s="538" t="str">
        <f t="shared" si="214"/>
        <v/>
      </c>
      <c r="CO71" s="539" t="str">
        <f t="shared" si="215"/>
        <v/>
      </c>
      <c r="CP71" s="539" t="str">
        <f t="shared" si="216"/>
        <v/>
      </c>
      <c r="CQ71" s="539" t="str">
        <f t="shared" si="217"/>
        <v/>
      </c>
      <c r="CR71" s="539" t="str">
        <f t="shared" si="218"/>
        <v/>
      </c>
      <c r="CS71" s="539" t="str">
        <f t="shared" si="219"/>
        <v/>
      </c>
      <c r="CT71" s="540" t="str">
        <f t="shared" si="220"/>
        <v/>
      </c>
      <c r="CU71" s="540" t="str">
        <f t="shared" si="221"/>
        <v/>
      </c>
      <c r="CV71" s="540" t="str">
        <f t="shared" si="222"/>
        <v/>
      </c>
      <c r="CW71" s="539" t="str">
        <f t="shared" si="223"/>
        <v/>
      </c>
      <c r="CX71" s="539" t="str">
        <f t="shared" si="224"/>
        <v/>
      </c>
      <c r="CY71" s="539" t="str">
        <f t="shared" si="225"/>
        <v/>
      </c>
      <c r="CZ71" s="539" t="str">
        <f t="shared" si="226"/>
        <v/>
      </c>
      <c r="DA71" s="539" t="str">
        <f t="shared" si="227"/>
        <v/>
      </c>
      <c r="DB71" s="538" t="str">
        <f t="shared" si="228"/>
        <v/>
      </c>
      <c r="DC71" s="537" t="str">
        <f t="shared" si="229"/>
        <v/>
      </c>
      <c r="DD71" s="587">
        <f t="shared" si="230"/>
        <v>0</v>
      </c>
      <c r="DE71" s="97">
        <f t="shared" si="231"/>
        <v>0</v>
      </c>
      <c r="DF71" s="97">
        <f t="shared" si="232"/>
        <v>0</v>
      </c>
      <c r="DG71" s="97">
        <f t="shared" si="233"/>
        <v>0</v>
      </c>
      <c r="DH71" s="580"/>
      <c r="DI71" s="191"/>
      <c r="DJ71" s="588"/>
      <c r="DK71" s="589" t="s">
        <v>182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183</v>
      </c>
      <c r="B72" s="596" t="str">
        <f t="shared" ref="B72:K72" si="238">IF(B70="","",B70*B71)</f>
        <v/>
      </c>
      <c r="C72" s="596" t="str">
        <f t="shared" si="238"/>
        <v/>
      </c>
      <c r="D72" s="596" t="str">
        <f t="shared" si="238"/>
        <v/>
      </c>
      <c r="E72" s="596" t="str">
        <f t="shared" si="238"/>
        <v/>
      </c>
      <c r="F72" s="596" t="str">
        <f t="shared" si="238"/>
        <v/>
      </c>
      <c r="G72" s="596" t="str">
        <f t="shared" si="238"/>
        <v/>
      </c>
      <c r="H72" s="596" t="str">
        <f t="shared" si="238"/>
        <v/>
      </c>
      <c r="I72" s="596" t="str">
        <f t="shared" si="238"/>
        <v/>
      </c>
      <c r="J72" s="596" t="str">
        <f t="shared" si="238"/>
        <v/>
      </c>
      <c r="K72" s="596" t="str">
        <f t="shared" si="238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9">IF(T70="","",T70*T71)</f>
        <v/>
      </c>
      <c r="U72" s="596" t="str">
        <f t="shared" si="239"/>
        <v/>
      </c>
      <c r="V72" s="596" t="str">
        <f t="shared" si="239"/>
        <v/>
      </c>
      <c r="W72" s="596" t="str">
        <f t="shared" si="239"/>
        <v/>
      </c>
      <c r="X72" s="596" t="str">
        <f t="shared" si="239"/>
        <v/>
      </c>
      <c r="Y72" s="596" t="str">
        <f t="shared" si="239"/>
        <v/>
      </c>
      <c r="Z72" s="596" t="str">
        <f t="shared" si="239"/>
        <v/>
      </c>
      <c r="AA72" s="596" t="str">
        <f t="shared" si="239"/>
        <v/>
      </c>
      <c r="AB72" s="596" t="str">
        <f t="shared" si="239"/>
        <v/>
      </c>
      <c r="AC72" s="596" t="str">
        <f t="shared" si="239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40">IF(AL70="","",AL70*AL71)</f>
        <v/>
      </c>
      <c r="AM72" s="596" t="str">
        <f t="shared" si="240"/>
        <v/>
      </c>
      <c r="AN72" s="596" t="str">
        <f t="shared" si="240"/>
        <v/>
      </c>
      <c r="AO72" s="596" t="str">
        <f t="shared" si="240"/>
        <v/>
      </c>
      <c r="AP72" s="596" t="str">
        <f t="shared" si="240"/>
        <v/>
      </c>
      <c r="AQ72" s="596" t="str">
        <f t="shared" si="240"/>
        <v/>
      </c>
      <c r="AR72" s="596" t="str">
        <f t="shared" si="240"/>
        <v/>
      </c>
      <c r="AS72" s="596" t="str">
        <f t="shared" si="240"/>
        <v/>
      </c>
      <c r="AT72" s="596" t="str">
        <f t="shared" si="240"/>
        <v/>
      </c>
      <c r="AU72" s="596" t="str">
        <f t="shared" si="240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41">IF(BD70="","",BD70*BD71)</f>
        <v/>
      </c>
      <c r="BE72" s="596" t="str">
        <f t="shared" si="241"/>
        <v/>
      </c>
      <c r="BF72" s="596" t="str">
        <f t="shared" si="241"/>
        <v/>
      </c>
      <c r="BG72" s="596" t="str">
        <f t="shared" si="241"/>
        <v/>
      </c>
      <c r="BH72" s="596" t="str">
        <f t="shared" si="241"/>
        <v/>
      </c>
      <c r="BI72" s="596" t="str">
        <f t="shared" si="241"/>
        <v/>
      </c>
      <c r="BJ72" s="596" t="str">
        <f t="shared" si="241"/>
        <v/>
      </c>
      <c r="BK72" s="596" t="str">
        <f t="shared" si="241"/>
        <v/>
      </c>
      <c r="BL72" s="596" t="str">
        <f t="shared" si="241"/>
        <v/>
      </c>
      <c r="BM72" s="596" t="str">
        <f t="shared" si="241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7"/>
        <v/>
      </c>
      <c r="CA72" s="586" t="str">
        <f t="shared" si="138"/>
        <v/>
      </c>
      <c r="CB72" s="586" t="str">
        <f t="shared" si="139"/>
        <v/>
      </c>
      <c r="CC72" s="586" t="str">
        <f t="shared" si="140"/>
        <v/>
      </c>
      <c r="CD72" s="1316" t="str">
        <f t="shared" si="204"/>
        <v/>
      </c>
      <c r="CE72" s="1317" t="str">
        <f t="shared" si="205"/>
        <v/>
      </c>
      <c r="CF72" s="1317" t="str">
        <f t="shared" si="206"/>
        <v/>
      </c>
      <c r="CG72" s="1317" t="str">
        <f t="shared" si="207"/>
        <v/>
      </c>
      <c r="CH72" s="1318" t="str">
        <f t="shared" si="208"/>
        <v/>
      </c>
      <c r="CI72" s="1318" t="str">
        <f t="shared" si="209"/>
        <v/>
      </c>
      <c r="CJ72" s="1317" t="str">
        <f t="shared" si="210"/>
        <v/>
      </c>
      <c r="CK72" s="1317" t="str">
        <f t="shared" si="211"/>
        <v/>
      </c>
      <c r="CL72" s="1317" t="str">
        <f t="shared" si="212"/>
        <v/>
      </c>
      <c r="CM72" s="1316" t="str">
        <f t="shared" si="213"/>
        <v/>
      </c>
      <c r="CN72" s="538" t="str">
        <f t="shared" si="214"/>
        <v/>
      </c>
      <c r="CO72" s="539" t="str">
        <f t="shared" si="215"/>
        <v/>
      </c>
      <c r="CP72" s="539" t="str">
        <f t="shared" si="216"/>
        <v/>
      </c>
      <c r="CQ72" s="539" t="str">
        <f t="shared" si="217"/>
        <v/>
      </c>
      <c r="CR72" s="539" t="str">
        <f t="shared" si="218"/>
        <v/>
      </c>
      <c r="CS72" s="539" t="str">
        <f t="shared" si="219"/>
        <v/>
      </c>
      <c r="CT72" s="540" t="str">
        <f t="shared" si="220"/>
        <v/>
      </c>
      <c r="CU72" s="540" t="str">
        <f t="shared" si="221"/>
        <v/>
      </c>
      <c r="CV72" s="540" t="str">
        <f t="shared" si="222"/>
        <v/>
      </c>
      <c r="CW72" s="539" t="str">
        <f t="shared" si="223"/>
        <v/>
      </c>
      <c r="CX72" s="539" t="str">
        <f t="shared" si="224"/>
        <v/>
      </c>
      <c r="CY72" s="539" t="str">
        <f t="shared" si="225"/>
        <v/>
      </c>
      <c r="CZ72" s="539" t="str">
        <f t="shared" si="226"/>
        <v/>
      </c>
      <c r="DA72" s="539" t="str">
        <f t="shared" si="227"/>
        <v/>
      </c>
      <c r="DB72" s="538" t="str">
        <f t="shared" si="228"/>
        <v/>
      </c>
      <c r="DC72" s="537" t="str">
        <f t="shared" si="229"/>
        <v/>
      </c>
      <c r="DD72" s="587">
        <f t="shared" si="230"/>
        <v>0</v>
      </c>
      <c r="DE72" s="97">
        <f t="shared" si="231"/>
        <v>0</v>
      </c>
      <c r="DF72" s="97">
        <f t="shared" si="232"/>
        <v>0</v>
      </c>
      <c r="DG72" s="97">
        <f t="shared" si="233"/>
        <v>0</v>
      </c>
      <c r="DH72" s="580"/>
      <c r="DI72" s="191"/>
      <c r="DJ72" s="588"/>
      <c r="DK72" s="589" t="s">
        <v>184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185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7"/>
        <v/>
      </c>
      <c r="CA73" s="586" t="str">
        <f t="shared" si="138"/>
        <v/>
      </c>
      <c r="CB73" s="586" t="str">
        <f t="shared" si="139"/>
        <v/>
      </c>
      <c r="CC73" s="586" t="str">
        <f t="shared" si="140"/>
        <v/>
      </c>
      <c r="CD73" s="1316" t="str">
        <f t="shared" si="204"/>
        <v/>
      </c>
      <c r="CE73" s="1317" t="str">
        <f t="shared" si="205"/>
        <v/>
      </c>
      <c r="CF73" s="1317" t="str">
        <f t="shared" si="206"/>
        <v/>
      </c>
      <c r="CG73" s="1317" t="str">
        <f t="shared" si="207"/>
        <v/>
      </c>
      <c r="CH73" s="1318" t="str">
        <f t="shared" si="208"/>
        <v/>
      </c>
      <c r="CI73" s="1318" t="str">
        <f t="shared" si="209"/>
        <v/>
      </c>
      <c r="CJ73" s="1317" t="str">
        <f t="shared" si="210"/>
        <v/>
      </c>
      <c r="CK73" s="1317" t="str">
        <f t="shared" si="211"/>
        <v/>
      </c>
      <c r="CL73" s="1317" t="str">
        <f t="shared" si="212"/>
        <v/>
      </c>
      <c r="CM73" s="1316" t="str">
        <f t="shared" si="213"/>
        <v/>
      </c>
      <c r="CN73" s="538" t="str">
        <f t="shared" si="214"/>
        <v/>
      </c>
      <c r="CO73" s="539" t="str">
        <f t="shared" si="215"/>
        <v/>
      </c>
      <c r="CP73" s="539" t="str">
        <f t="shared" si="216"/>
        <v/>
      </c>
      <c r="CQ73" s="539" t="str">
        <f t="shared" si="217"/>
        <v/>
      </c>
      <c r="CR73" s="539" t="str">
        <f t="shared" si="218"/>
        <v/>
      </c>
      <c r="CS73" s="539" t="str">
        <f t="shared" si="219"/>
        <v/>
      </c>
      <c r="CT73" s="540" t="str">
        <f t="shared" si="220"/>
        <v/>
      </c>
      <c r="CU73" s="540" t="str">
        <f t="shared" si="221"/>
        <v/>
      </c>
      <c r="CV73" s="540" t="str">
        <f t="shared" si="222"/>
        <v/>
      </c>
      <c r="CW73" s="539" t="str">
        <f t="shared" si="223"/>
        <v/>
      </c>
      <c r="CX73" s="539" t="str">
        <f t="shared" si="224"/>
        <v/>
      </c>
      <c r="CY73" s="539" t="str">
        <f t="shared" si="225"/>
        <v/>
      </c>
      <c r="CZ73" s="539" t="str">
        <f t="shared" si="226"/>
        <v/>
      </c>
      <c r="DA73" s="539" t="str">
        <f t="shared" si="227"/>
        <v/>
      </c>
      <c r="DB73" s="538" t="str">
        <f t="shared" si="228"/>
        <v/>
      </c>
      <c r="DC73" s="537" t="str">
        <f t="shared" si="229"/>
        <v/>
      </c>
      <c r="DD73" s="587">
        <f t="shared" si="230"/>
        <v>0</v>
      </c>
      <c r="DE73" s="97">
        <f t="shared" si="231"/>
        <v>0</v>
      </c>
      <c r="DF73" s="97">
        <f t="shared" si="232"/>
        <v>0</v>
      </c>
      <c r="DG73" s="97">
        <f t="shared" si="233"/>
        <v>0</v>
      </c>
      <c r="DH73" s="580"/>
      <c r="DI73" s="191"/>
      <c r="DJ73" s="588"/>
      <c r="DK73" s="589" t="s">
        <v>186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187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7"/>
        <v/>
      </c>
      <c r="CA74" s="586" t="str">
        <f t="shared" si="138"/>
        <v/>
      </c>
      <c r="CB74" s="586" t="str">
        <f t="shared" si="139"/>
        <v/>
      </c>
      <c r="CC74" s="586" t="str">
        <f t="shared" si="140"/>
        <v/>
      </c>
      <c r="CD74" s="1316" t="str">
        <f t="shared" si="204"/>
        <v/>
      </c>
      <c r="CE74" s="1317" t="str">
        <f t="shared" si="205"/>
        <v/>
      </c>
      <c r="CF74" s="1317" t="str">
        <f t="shared" si="206"/>
        <v/>
      </c>
      <c r="CG74" s="1317" t="str">
        <f t="shared" si="207"/>
        <v/>
      </c>
      <c r="CH74" s="1318" t="str">
        <f t="shared" si="208"/>
        <v/>
      </c>
      <c r="CI74" s="1318" t="str">
        <f t="shared" si="209"/>
        <v/>
      </c>
      <c r="CJ74" s="1317" t="str">
        <f t="shared" si="210"/>
        <v/>
      </c>
      <c r="CK74" s="1317" t="str">
        <f t="shared" si="211"/>
        <v/>
      </c>
      <c r="CL74" s="1317" t="str">
        <f t="shared" si="212"/>
        <v/>
      </c>
      <c r="CM74" s="1316" t="str">
        <f t="shared" si="213"/>
        <v/>
      </c>
      <c r="CN74" s="538" t="str">
        <f t="shared" si="214"/>
        <v/>
      </c>
      <c r="CO74" s="539" t="str">
        <f t="shared" si="215"/>
        <v/>
      </c>
      <c r="CP74" s="539" t="str">
        <f t="shared" si="216"/>
        <v/>
      </c>
      <c r="CQ74" s="539" t="str">
        <f t="shared" si="217"/>
        <v/>
      </c>
      <c r="CR74" s="539" t="str">
        <f t="shared" si="218"/>
        <v/>
      </c>
      <c r="CS74" s="539" t="str">
        <f t="shared" si="219"/>
        <v/>
      </c>
      <c r="CT74" s="540" t="str">
        <f t="shared" si="220"/>
        <v/>
      </c>
      <c r="CU74" s="540" t="str">
        <f t="shared" si="221"/>
        <v/>
      </c>
      <c r="CV74" s="540" t="str">
        <f t="shared" si="222"/>
        <v/>
      </c>
      <c r="CW74" s="539" t="str">
        <f t="shared" si="223"/>
        <v/>
      </c>
      <c r="CX74" s="539" t="str">
        <f t="shared" si="224"/>
        <v/>
      </c>
      <c r="CY74" s="539" t="str">
        <f t="shared" si="225"/>
        <v/>
      </c>
      <c r="CZ74" s="539" t="str">
        <f t="shared" si="226"/>
        <v/>
      </c>
      <c r="DA74" s="539" t="str">
        <f t="shared" si="227"/>
        <v/>
      </c>
      <c r="DB74" s="538" t="str">
        <f t="shared" si="228"/>
        <v/>
      </c>
      <c r="DC74" s="537" t="str">
        <f t="shared" si="229"/>
        <v/>
      </c>
      <c r="DD74" s="587">
        <f t="shared" si="230"/>
        <v>0</v>
      </c>
      <c r="DE74" s="97">
        <f t="shared" si="231"/>
        <v>0</v>
      </c>
      <c r="DF74" s="97">
        <f t="shared" si="232"/>
        <v>0</v>
      </c>
      <c r="DG74" s="97">
        <f t="shared" si="233"/>
        <v>0</v>
      </c>
      <c r="DH74" s="580"/>
      <c r="DI74" s="191"/>
      <c r="DJ74" s="588"/>
      <c r="DK74" s="589" t="s">
        <v>188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7"/>
        <v/>
      </c>
      <c r="CA75" s="586" t="str">
        <f t="shared" si="138"/>
        <v/>
      </c>
      <c r="CB75" s="586" t="str">
        <f t="shared" si="139"/>
        <v/>
      </c>
      <c r="CC75" s="586" t="str">
        <f t="shared" si="140"/>
        <v/>
      </c>
      <c r="CD75" s="1316" t="str">
        <f t="shared" si="204"/>
        <v/>
      </c>
      <c r="CE75" s="1317" t="str">
        <f t="shared" si="205"/>
        <v/>
      </c>
      <c r="CF75" s="1317" t="str">
        <f t="shared" si="206"/>
        <v/>
      </c>
      <c r="CG75" s="1317" t="str">
        <f t="shared" si="207"/>
        <v/>
      </c>
      <c r="CH75" s="1318" t="str">
        <f t="shared" si="208"/>
        <v/>
      </c>
      <c r="CI75" s="1318" t="str">
        <f t="shared" si="209"/>
        <v/>
      </c>
      <c r="CJ75" s="1317" t="str">
        <f t="shared" si="210"/>
        <v/>
      </c>
      <c r="CK75" s="1317" t="str">
        <f t="shared" si="211"/>
        <v/>
      </c>
      <c r="CL75" s="1317" t="str">
        <f t="shared" si="212"/>
        <v/>
      </c>
      <c r="CM75" s="1316" t="str">
        <f t="shared" si="213"/>
        <v/>
      </c>
      <c r="CN75" s="538" t="str">
        <f t="shared" si="214"/>
        <v/>
      </c>
      <c r="CO75" s="539" t="str">
        <f t="shared" si="215"/>
        <v/>
      </c>
      <c r="CP75" s="539" t="str">
        <f t="shared" si="216"/>
        <v/>
      </c>
      <c r="CQ75" s="539" t="str">
        <f t="shared" si="217"/>
        <v/>
      </c>
      <c r="CR75" s="539" t="str">
        <f t="shared" si="218"/>
        <v/>
      </c>
      <c r="CS75" s="539" t="str">
        <f t="shared" si="219"/>
        <v/>
      </c>
      <c r="CT75" s="540" t="str">
        <f t="shared" si="220"/>
        <v/>
      </c>
      <c r="CU75" s="540" t="str">
        <f t="shared" si="221"/>
        <v/>
      </c>
      <c r="CV75" s="540" t="str">
        <f t="shared" si="222"/>
        <v/>
      </c>
      <c r="CW75" s="539" t="str">
        <f t="shared" si="223"/>
        <v/>
      </c>
      <c r="CX75" s="539" t="str">
        <f t="shared" si="224"/>
        <v/>
      </c>
      <c r="CY75" s="539" t="str">
        <f t="shared" si="225"/>
        <v/>
      </c>
      <c r="CZ75" s="539" t="str">
        <f t="shared" si="226"/>
        <v/>
      </c>
      <c r="DA75" s="539" t="str">
        <f t="shared" si="227"/>
        <v/>
      </c>
      <c r="DB75" s="538" t="str">
        <f t="shared" si="228"/>
        <v/>
      </c>
      <c r="DC75" s="537" t="str">
        <f t="shared" si="229"/>
        <v/>
      </c>
      <c r="DD75" s="587">
        <f t="shared" si="230"/>
        <v>0</v>
      </c>
      <c r="DE75" s="97">
        <f t="shared" si="231"/>
        <v>0</v>
      </c>
      <c r="DF75" s="97">
        <f t="shared" si="232"/>
        <v>0</v>
      </c>
      <c r="DG75" s="97">
        <f t="shared" si="233"/>
        <v>0</v>
      </c>
      <c r="DH75" s="580"/>
      <c r="DI75" s="191"/>
      <c r="DJ75" s="588"/>
      <c r="DK75" s="589" t="s">
        <v>190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7"/>
        <v/>
      </c>
      <c r="CA76" s="586" t="str">
        <f t="shared" si="138"/>
        <v/>
      </c>
      <c r="CB76" s="586" t="str">
        <f t="shared" si="139"/>
        <v/>
      </c>
      <c r="CC76" s="586" t="str">
        <f t="shared" si="140"/>
        <v/>
      </c>
      <c r="CD76" s="1316" t="str">
        <f t="shared" si="204"/>
        <v/>
      </c>
      <c r="CE76" s="1317" t="str">
        <f t="shared" si="205"/>
        <v/>
      </c>
      <c r="CF76" s="1317" t="str">
        <f t="shared" si="206"/>
        <v/>
      </c>
      <c r="CG76" s="1317" t="str">
        <f t="shared" si="207"/>
        <v/>
      </c>
      <c r="CH76" s="1318" t="str">
        <f t="shared" si="208"/>
        <v/>
      </c>
      <c r="CI76" s="1318" t="str">
        <f t="shared" si="209"/>
        <v/>
      </c>
      <c r="CJ76" s="1317" t="str">
        <f t="shared" si="210"/>
        <v/>
      </c>
      <c r="CK76" s="1317" t="str">
        <f t="shared" si="211"/>
        <v/>
      </c>
      <c r="CL76" s="1317" t="str">
        <f t="shared" si="212"/>
        <v/>
      </c>
      <c r="CM76" s="1316" t="str">
        <f t="shared" si="213"/>
        <v/>
      </c>
      <c r="CN76" s="538" t="str">
        <f t="shared" si="214"/>
        <v/>
      </c>
      <c r="CO76" s="539" t="str">
        <f t="shared" si="215"/>
        <v/>
      </c>
      <c r="CP76" s="539" t="str">
        <f t="shared" si="216"/>
        <v/>
      </c>
      <c r="CQ76" s="539" t="str">
        <f t="shared" si="217"/>
        <v/>
      </c>
      <c r="CR76" s="539" t="str">
        <f t="shared" si="218"/>
        <v/>
      </c>
      <c r="CS76" s="539" t="str">
        <f t="shared" si="219"/>
        <v/>
      </c>
      <c r="CT76" s="540" t="str">
        <f t="shared" si="220"/>
        <v/>
      </c>
      <c r="CU76" s="540" t="str">
        <f t="shared" si="221"/>
        <v/>
      </c>
      <c r="CV76" s="540" t="str">
        <f t="shared" si="222"/>
        <v/>
      </c>
      <c r="CW76" s="539" t="str">
        <f t="shared" si="223"/>
        <v/>
      </c>
      <c r="CX76" s="539" t="str">
        <f t="shared" si="224"/>
        <v/>
      </c>
      <c r="CY76" s="539" t="str">
        <f t="shared" si="225"/>
        <v/>
      </c>
      <c r="CZ76" s="539" t="str">
        <f t="shared" si="226"/>
        <v/>
      </c>
      <c r="DA76" s="539" t="str">
        <f t="shared" si="227"/>
        <v/>
      </c>
      <c r="DB76" s="538" t="str">
        <f t="shared" si="228"/>
        <v/>
      </c>
      <c r="DC76" s="537" t="str">
        <f t="shared" si="229"/>
        <v/>
      </c>
      <c r="DD76" s="587">
        <f t="shared" si="230"/>
        <v>0</v>
      </c>
      <c r="DE76" s="97">
        <f t="shared" si="231"/>
        <v>0</v>
      </c>
      <c r="DF76" s="97">
        <f t="shared" si="232"/>
        <v>0</v>
      </c>
      <c r="DG76" s="97">
        <f t="shared" si="233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177</v>
      </c>
      <c r="B77" s="596" t="str">
        <f t="shared" ref="B77:K77" si="242">IF(B76="","",B66*B75*B76)</f>
        <v/>
      </c>
      <c r="C77" s="596" t="str">
        <f t="shared" si="242"/>
        <v/>
      </c>
      <c r="D77" s="596" t="str">
        <f t="shared" si="242"/>
        <v/>
      </c>
      <c r="E77" s="596" t="str">
        <f t="shared" si="242"/>
        <v/>
      </c>
      <c r="F77" s="596" t="str">
        <f t="shared" si="242"/>
        <v/>
      </c>
      <c r="G77" s="596" t="str">
        <f t="shared" si="242"/>
        <v/>
      </c>
      <c r="H77" s="596" t="str">
        <f t="shared" si="242"/>
        <v/>
      </c>
      <c r="I77" s="596" t="str">
        <f t="shared" si="242"/>
        <v/>
      </c>
      <c r="J77" s="596" t="str">
        <f t="shared" si="242"/>
        <v/>
      </c>
      <c r="K77" s="596" t="str">
        <f t="shared" si="242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3">IF(T76="","",T66*T75*T76)</f>
        <v/>
      </c>
      <c r="U77" s="596" t="str">
        <f t="shared" si="243"/>
        <v/>
      </c>
      <c r="V77" s="596" t="str">
        <f t="shared" si="243"/>
        <v/>
      </c>
      <c r="W77" s="596" t="str">
        <f t="shared" si="243"/>
        <v/>
      </c>
      <c r="X77" s="596" t="str">
        <f t="shared" si="243"/>
        <v/>
      </c>
      <c r="Y77" s="596" t="str">
        <f t="shared" si="243"/>
        <v/>
      </c>
      <c r="Z77" s="596" t="str">
        <f t="shared" si="243"/>
        <v/>
      </c>
      <c r="AA77" s="596" t="str">
        <f t="shared" si="243"/>
        <v/>
      </c>
      <c r="AB77" s="596" t="str">
        <f t="shared" si="243"/>
        <v/>
      </c>
      <c r="AC77" s="596" t="str">
        <f t="shared" si="243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4">IF(AL76="","",AL66*AL75*AL76)</f>
        <v/>
      </c>
      <c r="AM77" s="596" t="str">
        <f t="shared" si="244"/>
        <v/>
      </c>
      <c r="AN77" s="596" t="str">
        <f t="shared" si="244"/>
        <v/>
      </c>
      <c r="AO77" s="596" t="str">
        <f t="shared" si="244"/>
        <v/>
      </c>
      <c r="AP77" s="596" t="str">
        <f t="shared" si="244"/>
        <v/>
      </c>
      <c r="AQ77" s="596" t="str">
        <f t="shared" si="244"/>
        <v/>
      </c>
      <c r="AR77" s="596" t="str">
        <f t="shared" si="244"/>
        <v/>
      </c>
      <c r="AS77" s="596" t="str">
        <f t="shared" si="244"/>
        <v/>
      </c>
      <c r="AT77" s="596" t="str">
        <f t="shared" si="244"/>
        <v/>
      </c>
      <c r="AU77" s="596" t="str">
        <f t="shared" si="244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5">IF(BD76="","",BD66*BD75*BD76)</f>
        <v/>
      </c>
      <c r="BE77" s="596" t="str">
        <f t="shared" si="245"/>
        <v/>
      </c>
      <c r="BF77" s="596" t="str">
        <f t="shared" si="245"/>
        <v/>
      </c>
      <c r="BG77" s="596" t="str">
        <f t="shared" si="245"/>
        <v/>
      </c>
      <c r="BH77" s="596" t="str">
        <f t="shared" si="245"/>
        <v/>
      </c>
      <c r="BI77" s="596" t="str">
        <f t="shared" si="245"/>
        <v/>
      </c>
      <c r="BJ77" s="596" t="str">
        <f t="shared" si="245"/>
        <v/>
      </c>
      <c r="BK77" s="596" t="str">
        <f t="shared" si="245"/>
        <v/>
      </c>
      <c r="BL77" s="596" t="str">
        <f t="shared" si="245"/>
        <v/>
      </c>
      <c r="BM77" s="596" t="str">
        <f t="shared" si="245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7"/>
        <v/>
      </c>
      <c r="CA77" s="586" t="str">
        <f t="shared" si="138"/>
        <v/>
      </c>
      <c r="CB77" s="586" t="str">
        <f t="shared" si="139"/>
        <v/>
      </c>
      <c r="CC77" s="586" t="str">
        <f t="shared" si="140"/>
        <v/>
      </c>
      <c r="CD77" s="1316" t="str">
        <f t="shared" si="204"/>
        <v/>
      </c>
      <c r="CE77" s="1317" t="str">
        <f t="shared" si="205"/>
        <v/>
      </c>
      <c r="CF77" s="1317" t="str">
        <f t="shared" si="206"/>
        <v/>
      </c>
      <c r="CG77" s="1317" t="str">
        <f t="shared" si="207"/>
        <v/>
      </c>
      <c r="CH77" s="1318" t="str">
        <f t="shared" si="208"/>
        <v/>
      </c>
      <c r="CI77" s="1318" t="str">
        <f t="shared" si="209"/>
        <v/>
      </c>
      <c r="CJ77" s="1317" t="str">
        <f t="shared" si="210"/>
        <v/>
      </c>
      <c r="CK77" s="1317" t="str">
        <f t="shared" si="211"/>
        <v/>
      </c>
      <c r="CL77" s="1317" t="str">
        <f t="shared" si="212"/>
        <v/>
      </c>
      <c r="CM77" s="1316" t="str">
        <f t="shared" si="213"/>
        <v/>
      </c>
      <c r="CN77" s="538" t="str">
        <f t="shared" si="214"/>
        <v/>
      </c>
      <c r="CO77" s="539" t="str">
        <f t="shared" si="215"/>
        <v/>
      </c>
      <c r="CP77" s="539" t="str">
        <f t="shared" si="216"/>
        <v/>
      </c>
      <c r="CQ77" s="539" t="str">
        <f t="shared" si="217"/>
        <v/>
      </c>
      <c r="CR77" s="539" t="str">
        <f t="shared" si="218"/>
        <v/>
      </c>
      <c r="CS77" s="539" t="str">
        <f t="shared" si="219"/>
        <v/>
      </c>
      <c r="CT77" s="540" t="str">
        <f t="shared" si="220"/>
        <v/>
      </c>
      <c r="CU77" s="540" t="str">
        <f t="shared" si="221"/>
        <v/>
      </c>
      <c r="CV77" s="540" t="str">
        <f t="shared" si="222"/>
        <v/>
      </c>
      <c r="CW77" s="539" t="str">
        <f t="shared" si="223"/>
        <v/>
      </c>
      <c r="CX77" s="539" t="str">
        <f t="shared" si="224"/>
        <v/>
      </c>
      <c r="CY77" s="539" t="str">
        <f t="shared" si="225"/>
        <v/>
      </c>
      <c r="CZ77" s="539" t="str">
        <f t="shared" si="226"/>
        <v/>
      </c>
      <c r="DA77" s="539" t="str">
        <f t="shared" si="227"/>
        <v/>
      </c>
      <c r="DB77" s="538" t="str">
        <f t="shared" si="228"/>
        <v/>
      </c>
      <c r="DC77" s="537" t="str">
        <f t="shared" si="229"/>
        <v/>
      </c>
      <c r="DD77" s="587">
        <f t="shared" si="230"/>
        <v>0</v>
      </c>
      <c r="DE77" s="97">
        <f t="shared" si="231"/>
        <v>0</v>
      </c>
      <c r="DF77" s="97">
        <f t="shared" si="232"/>
        <v>0</v>
      </c>
      <c r="DG77" s="97">
        <f t="shared" si="233"/>
        <v>0</v>
      </c>
      <c r="DH77" s="580"/>
      <c r="DI77" s="191"/>
      <c r="DJ77" s="588" t="s">
        <v>191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7"/>
        <v/>
      </c>
      <c r="CA78" s="586" t="str">
        <f t="shared" si="138"/>
        <v/>
      </c>
      <c r="CB78" s="586" t="str">
        <f t="shared" si="139"/>
        <v/>
      </c>
      <c r="CC78" s="586" t="str">
        <f t="shared" si="140"/>
        <v/>
      </c>
      <c r="CD78" s="1316" t="str">
        <f t="shared" si="204"/>
        <v/>
      </c>
      <c r="CE78" s="1317" t="str">
        <f t="shared" si="205"/>
        <v/>
      </c>
      <c r="CF78" s="1317" t="str">
        <f t="shared" si="206"/>
        <v/>
      </c>
      <c r="CG78" s="1317" t="str">
        <f t="shared" si="207"/>
        <v/>
      </c>
      <c r="CH78" s="1318" t="str">
        <f t="shared" si="208"/>
        <v/>
      </c>
      <c r="CI78" s="1318" t="str">
        <f t="shared" si="209"/>
        <v/>
      </c>
      <c r="CJ78" s="1317" t="str">
        <f t="shared" si="210"/>
        <v/>
      </c>
      <c r="CK78" s="1317" t="str">
        <f t="shared" si="211"/>
        <v/>
      </c>
      <c r="CL78" s="1317" t="str">
        <f t="shared" si="212"/>
        <v/>
      </c>
      <c r="CM78" s="1316" t="str">
        <f t="shared" si="213"/>
        <v/>
      </c>
      <c r="CN78" s="538" t="str">
        <f t="shared" si="214"/>
        <v/>
      </c>
      <c r="CO78" s="539" t="str">
        <f t="shared" si="215"/>
        <v/>
      </c>
      <c r="CP78" s="539" t="str">
        <f t="shared" si="216"/>
        <v/>
      </c>
      <c r="CQ78" s="539" t="str">
        <f t="shared" si="217"/>
        <v/>
      </c>
      <c r="CR78" s="539" t="str">
        <f t="shared" si="218"/>
        <v/>
      </c>
      <c r="CS78" s="539" t="str">
        <f t="shared" si="219"/>
        <v/>
      </c>
      <c r="CT78" s="540" t="str">
        <f t="shared" si="220"/>
        <v/>
      </c>
      <c r="CU78" s="540" t="str">
        <f t="shared" si="221"/>
        <v/>
      </c>
      <c r="CV78" s="540" t="str">
        <f t="shared" si="222"/>
        <v/>
      </c>
      <c r="CW78" s="539" t="str">
        <f t="shared" si="223"/>
        <v/>
      </c>
      <c r="CX78" s="539" t="str">
        <f t="shared" si="224"/>
        <v/>
      </c>
      <c r="CY78" s="539" t="str">
        <f t="shared" si="225"/>
        <v/>
      </c>
      <c r="CZ78" s="539" t="str">
        <f t="shared" si="226"/>
        <v/>
      </c>
      <c r="DA78" s="539" t="str">
        <f t="shared" si="227"/>
        <v/>
      </c>
      <c r="DB78" s="538" t="str">
        <f t="shared" si="228"/>
        <v/>
      </c>
      <c r="DC78" s="537" t="str">
        <f t="shared" si="229"/>
        <v/>
      </c>
      <c r="DD78" s="587">
        <f t="shared" si="230"/>
        <v>0</v>
      </c>
      <c r="DE78" s="97">
        <f t="shared" si="231"/>
        <v>0</v>
      </c>
      <c r="DF78" s="97">
        <f t="shared" si="232"/>
        <v>0</v>
      </c>
      <c r="DG78" s="97">
        <f t="shared" si="233"/>
        <v>0</v>
      </c>
      <c r="DH78" s="580"/>
      <c r="DI78" s="191"/>
      <c r="DJ78" s="588" t="s">
        <v>191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7"/>
        <v/>
      </c>
      <c r="CA79" s="586" t="str">
        <f t="shared" si="138"/>
        <v/>
      </c>
      <c r="CB79" s="586" t="str">
        <f t="shared" si="139"/>
        <v/>
      </c>
      <c r="CC79" s="586" t="str">
        <f t="shared" si="140"/>
        <v/>
      </c>
      <c r="CD79" s="1316" t="str">
        <f t="shared" si="204"/>
        <v/>
      </c>
      <c r="CE79" s="1317" t="str">
        <f t="shared" si="205"/>
        <v/>
      </c>
      <c r="CF79" s="1317" t="str">
        <f t="shared" si="206"/>
        <v/>
      </c>
      <c r="CG79" s="1317" t="str">
        <f t="shared" si="207"/>
        <v/>
      </c>
      <c r="CH79" s="1318" t="str">
        <f t="shared" si="208"/>
        <v/>
      </c>
      <c r="CI79" s="1318" t="str">
        <f t="shared" si="209"/>
        <v/>
      </c>
      <c r="CJ79" s="1317" t="str">
        <f t="shared" si="210"/>
        <v/>
      </c>
      <c r="CK79" s="1317" t="str">
        <f t="shared" si="211"/>
        <v/>
      </c>
      <c r="CL79" s="1317" t="str">
        <f t="shared" si="212"/>
        <v/>
      </c>
      <c r="CM79" s="1316" t="str">
        <f t="shared" si="213"/>
        <v/>
      </c>
      <c r="CN79" s="538" t="str">
        <f t="shared" si="214"/>
        <v/>
      </c>
      <c r="CO79" s="539" t="str">
        <f t="shared" si="215"/>
        <v/>
      </c>
      <c r="CP79" s="539" t="str">
        <f t="shared" si="216"/>
        <v/>
      </c>
      <c r="CQ79" s="539" t="str">
        <f t="shared" si="217"/>
        <v/>
      </c>
      <c r="CR79" s="539" t="str">
        <f t="shared" si="218"/>
        <v/>
      </c>
      <c r="CS79" s="539" t="str">
        <f t="shared" si="219"/>
        <v/>
      </c>
      <c r="CT79" s="540" t="str">
        <f t="shared" si="220"/>
        <v/>
      </c>
      <c r="CU79" s="540" t="str">
        <f t="shared" si="221"/>
        <v/>
      </c>
      <c r="CV79" s="540" t="str">
        <f t="shared" si="222"/>
        <v/>
      </c>
      <c r="CW79" s="539" t="str">
        <f t="shared" si="223"/>
        <v/>
      </c>
      <c r="CX79" s="539" t="str">
        <f t="shared" si="224"/>
        <v/>
      </c>
      <c r="CY79" s="539" t="str">
        <f t="shared" si="225"/>
        <v/>
      </c>
      <c r="CZ79" s="539" t="str">
        <f t="shared" si="226"/>
        <v/>
      </c>
      <c r="DA79" s="539" t="str">
        <f t="shared" si="227"/>
        <v/>
      </c>
      <c r="DB79" s="538" t="str">
        <f t="shared" si="228"/>
        <v/>
      </c>
      <c r="DC79" s="537" t="str">
        <f t="shared" si="229"/>
        <v/>
      </c>
      <c r="DD79" s="587">
        <f t="shared" si="230"/>
        <v>0</v>
      </c>
      <c r="DE79" s="97">
        <f t="shared" si="231"/>
        <v>0</v>
      </c>
      <c r="DF79" s="97">
        <f t="shared" si="232"/>
        <v>0</v>
      </c>
      <c r="DG79" s="97">
        <f t="shared" si="233"/>
        <v>0</v>
      </c>
      <c r="DH79" s="580"/>
      <c r="DI79" s="191"/>
      <c r="DJ79" s="588" t="s">
        <v>192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193</v>
      </c>
      <c r="DQ79" s="191"/>
    </row>
    <row r="80" spans="1:127" s="194" customFormat="1" ht="15.75" hidden="1" customHeight="1">
      <c r="A80" s="605" t="s">
        <v>183</v>
      </c>
      <c r="B80" s="596" t="str">
        <f t="shared" ref="B80:K80" si="246">IF(B78="","",B78*B79)</f>
        <v/>
      </c>
      <c r="C80" s="596" t="str">
        <f t="shared" si="246"/>
        <v/>
      </c>
      <c r="D80" s="596" t="str">
        <f t="shared" si="246"/>
        <v/>
      </c>
      <c r="E80" s="596" t="str">
        <f t="shared" si="246"/>
        <v/>
      </c>
      <c r="F80" s="596" t="str">
        <f t="shared" si="246"/>
        <v/>
      </c>
      <c r="G80" s="596" t="str">
        <f t="shared" si="246"/>
        <v/>
      </c>
      <c r="H80" s="596" t="str">
        <f t="shared" si="246"/>
        <v/>
      </c>
      <c r="I80" s="596" t="str">
        <f t="shared" si="246"/>
        <v/>
      </c>
      <c r="J80" s="596" t="str">
        <f t="shared" si="246"/>
        <v/>
      </c>
      <c r="K80" s="596" t="str">
        <f t="shared" si="246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7">IF(T78="","",T78*T79)</f>
        <v/>
      </c>
      <c r="U80" s="596" t="str">
        <f t="shared" si="247"/>
        <v/>
      </c>
      <c r="V80" s="596" t="str">
        <f t="shared" si="247"/>
        <v/>
      </c>
      <c r="W80" s="596" t="str">
        <f t="shared" si="247"/>
        <v/>
      </c>
      <c r="X80" s="596" t="str">
        <f t="shared" si="247"/>
        <v/>
      </c>
      <c r="Y80" s="596" t="str">
        <f t="shared" si="247"/>
        <v/>
      </c>
      <c r="Z80" s="596" t="str">
        <f t="shared" si="247"/>
        <v/>
      </c>
      <c r="AA80" s="596" t="str">
        <f t="shared" si="247"/>
        <v/>
      </c>
      <c r="AB80" s="596" t="str">
        <f t="shared" si="247"/>
        <v/>
      </c>
      <c r="AC80" s="596" t="str">
        <f t="shared" si="247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8">IF(AL78="","",AL78*AL79)</f>
        <v/>
      </c>
      <c r="AM80" s="596" t="str">
        <f t="shared" si="248"/>
        <v/>
      </c>
      <c r="AN80" s="596" t="str">
        <f t="shared" si="248"/>
        <v/>
      </c>
      <c r="AO80" s="596" t="str">
        <f t="shared" si="248"/>
        <v/>
      </c>
      <c r="AP80" s="596" t="str">
        <f t="shared" si="248"/>
        <v/>
      </c>
      <c r="AQ80" s="596" t="str">
        <f t="shared" si="248"/>
        <v/>
      </c>
      <c r="AR80" s="596" t="str">
        <f t="shared" si="248"/>
        <v/>
      </c>
      <c r="AS80" s="596" t="str">
        <f t="shared" si="248"/>
        <v/>
      </c>
      <c r="AT80" s="596" t="str">
        <f t="shared" si="248"/>
        <v/>
      </c>
      <c r="AU80" s="596" t="str">
        <f t="shared" si="248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9">IF(BD78="","",BD78*BD79)</f>
        <v/>
      </c>
      <c r="BE80" s="596" t="str">
        <f t="shared" si="249"/>
        <v/>
      </c>
      <c r="BF80" s="596" t="str">
        <f t="shared" si="249"/>
        <v/>
      </c>
      <c r="BG80" s="596" t="str">
        <f t="shared" si="249"/>
        <v/>
      </c>
      <c r="BH80" s="596" t="str">
        <f t="shared" si="249"/>
        <v/>
      </c>
      <c r="BI80" s="596" t="str">
        <f t="shared" si="249"/>
        <v/>
      </c>
      <c r="BJ80" s="596" t="str">
        <f t="shared" si="249"/>
        <v/>
      </c>
      <c r="BK80" s="596" t="str">
        <f t="shared" si="249"/>
        <v/>
      </c>
      <c r="BL80" s="596" t="str">
        <f t="shared" si="249"/>
        <v/>
      </c>
      <c r="BM80" s="596" t="str">
        <f t="shared" si="249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7"/>
        <v/>
      </c>
      <c r="CA80" s="586" t="str">
        <f t="shared" si="138"/>
        <v/>
      </c>
      <c r="CB80" s="586" t="str">
        <f t="shared" si="139"/>
        <v/>
      </c>
      <c r="CC80" s="586" t="str">
        <f t="shared" si="140"/>
        <v/>
      </c>
      <c r="CD80" s="1316" t="str">
        <f t="shared" si="204"/>
        <v/>
      </c>
      <c r="CE80" s="1317" t="str">
        <f t="shared" si="205"/>
        <v/>
      </c>
      <c r="CF80" s="1317" t="str">
        <f t="shared" si="206"/>
        <v/>
      </c>
      <c r="CG80" s="1317" t="str">
        <f t="shared" si="207"/>
        <v/>
      </c>
      <c r="CH80" s="1318" t="str">
        <f t="shared" si="208"/>
        <v/>
      </c>
      <c r="CI80" s="1318" t="str">
        <f t="shared" si="209"/>
        <v/>
      </c>
      <c r="CJ80" s="1317" t="str">
        <f t="shared" si="210"/>
        <v/>
      </c>
      <c r="CK80" s="1317" t="str">
        <f t="shared" si="211"/>
        <v/>
      </c>
      <c r="CL80" s="1317" t="str">
        <f t="shared" si="212"/>
        <v/>
      </c>
      <c r="CM80" s="1316" t="str">
        <f t="shared" si="213"/>
        <v/>
      </c>
      <c r="CN80" s="538" t="str">
        <f t="shared" si="214"/>
        <v/>
      </c>
      <c r="CO80" s="539" t="str">
        <f t="shared" si="215"/>
        <v/>
      </c>
      <c r="CP80" s="539" t="str">
        <f t="shared" si="216"/>
        <v/>
      </c>
      <c r="CQ80" s="539" t="str">
        <f t="shared" si="217"/>
        <v/>
      </c>
      <c r="CR80" s="539" t="str">
        <f t="shared" si="218"/>
        <v/>
      </c>
      <c r="CS80" s="539" t="str">
        <f t="shared" si="219"/>
        <v/>
      </c>
      <c r="CT80" s="540" t="str">
        <f t="shared" si="220"/>
        <v/>
      </c>
      <c r="CU80" s="540" t="str">
        <f t="shared" si="221"/>
        <v/>
      </c>
      <c r="CV80" s="540" t="str">
        <f t="shared" si="222"/>
        <v/>
      </c>
      <c r="CW80" s="539" t="str">
        <f t="shared" si="223"/>
        <v/>
      </c>
      <c r="CX80" s="539" t="str">
        <f t="shared" si="224"/>
        <v/>
      </c>
      <c r="CY80" s="539" t="str">
        <f t="shared" si="225"/>
        <v/>
      </c>
      <c r="CZ80" s="539" t="str">
        <f t="shared" si="226"/>
        <v/>
      </c>
      <c r="DA80" s="539" t="str">
        <f t="shared" si="227"/>
        <v/>
      </c>
      <c r="DB80" s="538" t="str">
        <f t="shared" si="228"/>
        <v/>
      </c>
      <c r="DC80" s="537" t="str">
        <f t="shared" si="229"/>
        <v/>
      </c>
      <c r="DD80" s="587">
        <f t="shared" si="230"/>
        <v>0</v>
      </c>
      <c r="DE80" s="97">
        <f t="shared" si="231"/>
        <v>0</v>
      </c>
      <c r="DF80" s="97">
        <f t="shared" si="232"/>
        <v>0</v>
      </c>
      <c r="DG80" s="97">
        <f t="shared" si="233"/>
        <v>0</v>
      </c>
      <c r="DH80" s="580"/>
      <c r="DI80" s="191"/>
      <c r="DJ80" s="588" t="s">
        <v>191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185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7"/>
        <v>1</v>
      </c>
      <c r="CA81" s="586">
        <f t="shared" si="138"/>
        <v>1</v>
      </c>
      <c r="CB81" s="586">
        <f t="shared" si="139"/>
        <v>1</v>
      </c>
      <c r="CC81" s="586">
        <f t="shared" si="140"/>
        <v>1</v>
      </c>
      <c r="CD81" s="1316">
        <f t="shared" si="204"/>
        <v>1</v>
      </c>
      <c r="CE81" s="1317">
        <f t="shared" si="205"/>
        <v>1</v>
      </c>
      <c r="CF81" s="1317">
        <f t="shared" si="206"/>
        <v>1</v>
      </c>
      <c r="CG81" s="1317">
        <f t="shared" si="207"/>
        <v>1</v>
      </c>
      <c r="CH81" s="1318">
        <f t="shared" si="208"/>
        <v>1</v>
      </c>
      <c r="CI81" s="1318">
        <f t="shared" si="209"/>
        <v>1</v>
      </c>
      <c r="CJ81" s="1317">
        <f t="shared" si="210"/>
        <v>1</v>
      </c>
      <c r="CK81" s="1317">
        <f t="shared" si="211"/>
        <v>1</v>
      </c>
      <c r="CL81" s="1317">
        <f t="shared" si="212"/>
        <v>1</v>
      </c>
      <c r="CM81" s="1316">
        <f t="shared" si="213"/>
        <v>1</v>
      </c>
      <c r="CN81" s="538" t="str">
        <f t="shared" si="214"/>
        <v/>
      </c>
      <c r="CO81" s="539" t="str">
        <f t="shared" si="215"/>
        <v/>
      </c>
      <c r="CP81" s="539" t="str">
        <f t="shared" si="216"/>
        <v/>
      </c>
      <c r="CQ81" s="539">
        <f t="shared" si="217"/>
        <v>1</v>
      </c>
      <c r="CR81" s="539">
        <f t="shared" si="218"/>
        <v>1</v>
      </c>
      <c r="CS81" s="539">
        <f t="shared" si="219"/>
        <v>1</v>
      </c>
      <c r="CT81" s="540">
        <f t="shared" si="220"/>
        <v>1</v>
      </c>
      <c r="CU81" s="540">
        <f t="shared" si="221"/>
        <v>1</v>
      </c>
      <c r="CV81" s="540">
        <f t="shared" si="222"/>
        <v>1</v>
      </c>
      <c r="CW81" s="539">
        <f t="shared" si="223"/>
        <v>1</v>
      </c>
      <c r="CX81" s="539">
        <f t="shared" si="224"/>
        <v>1</v>
      </c>
      <c r="CY81" s="539">
        <f t="shared" si="225"/>
        <v>1</v>
      </c>
      <c r="CZ81" s="539">
        <f t="shared" si="226"/>
        <v>1</v>
      </c>
      <c r="DA81" s="539" t="str">
        <f t="shared" si="227"/>
        <v/>
      </c>
      <c r="DB81" s="538" t="str">
        <f t="shared" si="228"/>
        <v/>
      </c>
      <c r="DC81" s="537" t="str">
        <f t="shared" si="229"/>
        <v/>
      </c>
      <c r="DD81" s="587">
        <f t="shared" si="230"/>
        <v>10</v>
      </c>
      <c r="DE81" s="97">
        <f t="shared" si="231"/>
        <v>10</v>
      </c>
      <c r="DF81" s="97">
        <f t="shared" si="232"/>
        <v>10</v>
      </c>
      <c r="DG81" s="97">
        <f t="shared" si="233"/>
        <v>10</v>
      </c>
      <c r="DH81" s="580"/>
      <c r="DI81" s="606"/>
      <c r="DJ81" s="588" t="s">
        <v>191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187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7"/>
        <v/>
      </c>
      <c r="CA82" s="586" t="str">
        <f t="shared" si="138"/>
        <v/>
      </c>
      <c r="CB82" s="586" t="str">
        <f t="shared" si="139"/>
        <v/>
      </c>
      <c r="CC82" s="586" t="str">
        <f t="shared" si="140"/>
        <v/>
      </c>
      <c r="CD82" s="1316" t="str">
        <f t="shared" si="204"/>
        <v/>
      </c>
      <c r="CE82" s="1317" t="str">
        <f t="shared" si="205"/>
        <v/>
      </c>
      <c r="CF82" s="1317" t="str">
        <f t="shared" si="206"/>
        <v/>
      </c>
      <c r="CG82" s="1317" t="str">
        <f t="shared" si="207"/>
        <v/>
      </c>
      <c r="CH82" s="1318" t="str">
        <f t="shared" si="208"/>
        <v/>
      </c>
      <c r="CI82" s="1318" t="str">
        <f t="shared" si="209"/>
        <v/>
      </c>
      <c r="CJ82" s="1317" t="str">
        <f t="shared" si="210"/>
        <v/>
      </c>
      <c r="CK82" s="1317" t="str">
        <f t="shared" si="211"/>
        <v/>
      </c>
      <c r="CL82" s="1317" t="str">
        <f t="shared" si="212"/>
        <v/>
      </c>
      <c r="CM82" s="1316" t="str">
        <f t="shared" si="213"/>
        <v/>
      </c>
      <c r="CN82" s="538" t="str">
        <f t="shared" si="214"/>
        <v/>
      </c>
      <c r="CO82" s="539" t="str">
        <f t="shared" si="215"/>
        <v/>
      </c>
      <c r="CP82" s="539" t="str">
        <f t="shared" si="216"/>
        <v/>
      </c>
      <c r="CQ82" s="539" t="str">
        <f t="shared" si="217"/>
        <v/>
      </c>
      <c r="CR82" s="539" t="str">
        <f t="shared" si="218"/>
        <v/>
      </c>
      <c r="CS82" s="539" t="str">
        <f t="shared" si="219"/>
        <v/>
      </c>
      <c r="CT82" s="540" t="str">
        <f t="shared" si="220"/>
        <v/>
      </c>
      <c r="CU82" s="540" t="str">
        <f t="shared" si="221"/>
        <v/>
      </c>
      <c r="CV82" s="540" t="str">
        <f t="shared" si="222"/>
        <v/>
      </c>
      <c r="CW82" s="539" t="str">
        <f t="shared" si="223"/>
        <v/>
      </c>
      <c r="CX82" s="539" t="str">
        <f t="shared" si="224"/>
        <v/>
      </c>
      <c r="CY82" s="539" t="str">
        <f t="shared" si="225"/>
        <v/>
      </c>
      <c r="CZ82" s="539" t="str">
        <f t="shared" si="226"/>
        <v/>
      </c>
      <c r="DA82" s="539" t="str">
        <f t="shared" si="227"/>
        <v/>
      </c>
      <c r="DB82" s="538" t="str">
        <f t="shared" si="228"/>
        <v/>
      </c>
      <c r="DC82" s="537" t="str">
        <f t="shared" si="229"/>
        <v/>
      </c>
      <c r="DD82" s="587">
        <f t="shared" si="230"/>
        <v>0</v>
      </c>
      <c r="DE82" s="97">
        <f t="shared" si="231"/>
        <v>0</v>
      </c>
      <c r="DF82" s="97">
        <f t="shared" si="232"/>
        <v>0</v>
      </c>
      <c r="DG82" s="97">
        <f t="shared" si="233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194</v>
      </c>
      <c r="B83" s="609" t="str">
        <f t="shared" ref="B83:K83" si="250">IF(SUM(B69,B77)&gt;0,SUM(B70,B78)/SUM(B69,B77),"")</f>
        <v/>
      </c>
      <c r="C83" s="609" t="str">
        <f t="shared" si="250"/>
        <v/>
      </c>
      <c r="D83" s="609" t="str">
        <f t="shared" si="250"/>
        <v/>
      </c>
      <c r="E83" s="609" t="str">
        <f t="shared" si="250"/>
        <v/>
      </c>
      <c r="F83" s="609" t="str">
        <f t="shared" si="250"/>
        <v/>
      </c>
      <c r="G83" s="609" t="str">
        <f t="shared" si="250"/>
        <v/>
      </c>
      <c r="H83" s="609" t="str">
        <f t="shared" si="250"/>
        <v/>
      </c>
      <c r="I83" s="609" t="str">
        <f t="shared" si="250"/>
        <v/>
      </c>
      <c r="J83" s="609" t="str">
        <f t="shared" si="250"/>
        <v/>
      </c>
      <c r="K83" s="609" t="str">
        <f t="shared" si="250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51">IF(SUM(T69,T77)&gt;0,SUM(T70,T78)/SUM(T69,T77),"")</f>
        <v/>
      </c>
      <c r="U83" s="609" t="str">
        <f t="shared" si="251"/>
        <v/>
      </c>
      <c r="V83" s="609" t="str">
        <f t="shared" si="251"/>
        <v/>
      </c>
      <c r="W83" s="609" t="str">
        <f t="shared" si="251"/>
        <v/>
      </c>
      <c r="X83" s="609" t="str">
        <f t="shared" si="251"/>
        <v/>
      </c>
      <c r="Y83" s="609" t="str">
        <f t="shared" si="251"/>
        <v/>
      </c>
      <c r="Z83" s="609" t="str">
        <f t="shared" si="251"/>
        <v/>
      </c>
      <c r="AA83" s="609" t="str">
        <f t="shared" si="251"/>
        <v/>
      </c>
      <c r="AB83" s="609" t="str">
        <f t="shared" si="251"/>
        <v/>
      </c>
      <c r="AC83" s="609" t="str">
        <f t="shared" si="251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2">IF(SUM(AL69,AL77)&gt;0,SUM(AL70,AL78)/SUM(AL69,AL77),"")</f>
        <v/>
      </c>
      <c r="AM83" s="609" t="str">
        <f t="shared" si="252"/>
        <v/>
      </c>
      <c r="AN83" s="609" t="str">
        <f t="shared" si="252"/>
        <v/>
      </c>
      <c r="AO83" s="609" t="str">
        <f t="shared" si="252"/>
        <v/>
      </c>
      <c r="AP83" s="609" t="str">
        <f t="shared" si="252"/>
        <v/>
      </c>
      <c r="AQ83" s="609" t="str">
        <f t="shared" si="252"/>
        <v/>
      </c>
      <c r="AR83" s="609" t="str">
        <f t="shared" si="252"/>
        <v/>
      </c>
      <c r="AS83" s="609" t="str">
        <f t="shared" si="252"/>
        <v/>
      </c>
      <c r="AT83" s="609" t="str">
        <f t="shared" si="252"/>
        <v/>
      </c>
      <c r="AU83" s="609" t="str">
        <f t="shared" si="252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3">IF(SUM(BD69,BD77)&gt;0,SUM(BD70,BD78)/SUM(BD69,BD77),"")</f>
        <v/>
      </c>
      <c r="BE83" s="609" t="str">
        <f t="shared" si="253"/>
        <v/>
      </c>
      <c r="BF83" s="609" t="str">
        <f t="shared" si="253"/>
        <v/>
      </c>
      <c r="BG83" s="609" t="str">
        <f t="shared" si="253"/>
        <v/>
      </c>
      <c r="BH83" s="609" t="str">
        <f t="shared" si="253"/>
        <v/>
      </c>
      <c r="BI83" s="609" t="str">
        <f t="shared" si="253"/>
        <v/>
      </c>
      <c r="BJ83" s="609" t="str">
        <f t="shared" si="253"/>
        <v/>
      </c>
      <c r="BK83" s="609" t="str">
        <f t="shared" si="253"/>
        <v/>
      </c>
      <c r="BL83" s="609" t="str">
        <f t="shared" si="253"/>
        <v/>
      </c>
      <c r="BM83" s="609" t="str">
        <f t="shared" si="253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7"/>
        <v/>
      </c>
      <c r="CA83" s="611" t="str">
        <f t="shared" si="138"/>
        <v/>
      </c>
      <c r="CB83" s="611" t="str">
        <f t="shared" si="139"/>
        <v/>
      </c>
      <c r="CC83" s="611" t="str">
        <f t="shared" si="140"/>
        <v/>
      </c>
      <c r="CD83" s="1325" t="str">
        <f t="shared" si="204"/>
        <v/>
      </c>
      <c r="CE83" s="1326" t="str">
        <f t="shared" si="205"/>
        <v/>
      </c>
      <c r="CF83" s="1326" t="str">
        <f t="shared" si="206"/>
        <v/>
      </c>
      <c r="CG83" s="1326" t="str">
        <f t="shared" si="207"/>
        <v/>
      </c>
      <c r="CH83" s="1327" t="str">
        <f t="shared" si="208"/>
        <v/>
      </c>
      <c r="CI83" s="1327" t="str">
        <f t="shared" si="209"/>
        <v/>
      </c>
      <c r="CJ83" s="1326" t="str">
        <f t="shared" si="210"/>
        <v/>
      </c>
      <c r="CK83" s="1326" t="str">
        <f t="shared" si="211"/>
        <v/>
      </c>
      <c r="CL83" s="1326" t="str">
        <f t="shared" si="212"/>
        <v/>
      </c>
      <c r="CM83" s="1325" t="str">
        <f t="shared" si="213"/>
        <v/>
      </c>
      <c r="CN83" s="526" t="str">
        <f t="shared" si="214"/>
        <v/>
      </c>
      <c r="CO83" s="527" t="str">
        <f t="shared" si="215"/>
        <v/>
      </c>
      <c r="CP83" s="527" t="str">
        <f t="shared" si="216"/>
        <v/>
      </c>
      <c r="CQ83" s="527" t="str">
        <f t="shared" si="217"/>
        <v/>
      </c>
      <c r="CR83" s="527" t="str">
        <f t="shared" si="218"/>
        <v/>
      </c>
      <c r="CS83" s="527" t="str">
        <f t="shared" si="219"/>
        <v/>
      </c>
      <c r="CT83" s="528" t="str">
        <f t="shared" si="220"/>
        <v/>
      </c>
      <c r="CU83" s="528" t="str">
        <f t="shared" si="221"/>
        <v/>
      </c>
      <c r="CV83" s="528" t="str">
        <f t="shared" si="222"/>
        <v/>
      </c>
      <c r="CW83" s="527" t="str">
        <f t="shared" si="223"/>
        <v/>
      </c>
      <c r="CX83" s="527" t="str">
        <f t="shared" si="224"/>
        <v/>
      </c>
      <c r="CY83" s="527" t="str">
        <f t="shared" si="225"/>
        <v/>
      </c>
      <c r="CZ83" s="527" t="str">
        <f t="shared" si="226"/>
        <v/>
      </c>
      <c r="DA83" s="527" t="str">
        <f t="shared" si="227"/>
        <v/>
      </c>
      <c r="DB83" s="526" t="str">
        <f t="shared" si="228"/>
        <v/>
      </c>
      <c r="DC83" s="525" t="str">
        <f t="shared" si="229"/>
        <v/>
      </c>
      <c r="DD83" s="587">
        <f t="shared" si="230"/>
        <v>0</v>
      </c>
      <c r="DE83" s="97">
        <f t="shared" si="231"/>
        <v>0</v>
      </c>
      <c r="DF83" s="97">
        <f t="shared" si="232"/>
        <v>0</v>
      </c>
      <c r="DG83" s="97">
        <f t="shared" si="233"/>
        <v>0</v>
      </c>
      <c r="DH83" s="580"/>
      <c r="DI83" s="606"/>
      <c r="DJ83" s="473" t="s">
        <v>195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196</v>
      </c>
      <c r="B84" s="614" t="str">
        <f t="shared" ref="B84:K84" si="254">IF(SUM(B69,B77)=0,"",SUM(B69,-B70*B73,-B74*B73,B77,-B78*B81,-B82*B81)*0.049)</f>
        <v/>
      </c>
      <c r="C84" s="614" t="str">
        <f t="shared" si="254"/>
        <v/>
      </c>
      <c r="D84" s="614" t="str">
        <f t="shared" si="254"/>
        <v/>
      </c>
      <c r="E84" s="614" t="str">
        <f t="shared" si="254"/>
        <v/>
      </c>
      <c r="F84" s="614" t="str">
        <f t="shared" si="254"/>
        <v/>
      </c>
      <c r="G84" s="614" t="str">
        <f t="shared" si="254"/>
        <v/>
      </c>
      <c r="H84" s="614" t="str">
        <f t="shared" si="254"/>
        <v/>
      </c>
      <c r="I84" s="614" t="str">
        <f t="shared" si="254"/>
        <v/>
      </c>
      <c r="J84" s="614" t="str">
        <f t="shared" si="254"/>
        <v/>
      </c>
      <c r="K84" s="614" t="str">
        <f t="shared" si="254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5">IF(SUM(T69,T77)=0,"",SUM(T69,-T70*T73,-T74*T73,T77,-T78*T81,-T82*T81)*0.049)</f>
        <v/>
      </c>
      <c r="U84" s="614" t="str">
        <f t="shared" si="255"/>
        <v/>
      </c>
      <c r="V84" s="614" t="str">
        <f t="shared" si="255"/>
        <v/>
      </c>
      <c r="W84" s="614" t="str">
        <f t="shared" si="255"/>
        <v/>
      </c>
      <c r="X84" s="614" t="str">
        <f t="shared" si="255"/>
        <v/>
      </c>
      <c r="Y84" s="614" t="str">
        <f t="shared" si="255"/>
        <v/>
      </c>
      <c r="Z84" s="614" t="str">
        <f t="shared" si="255"/>
        <v/>
      </c>
      <c r="AA84" s="614" t="str">
        <f t="shared" si="255"/>
        <v/>
      </c>
      <c r="AB84" s="614" t="str">
        <f t="shared" si="255"/>
        <v/>
      </c>
      <c r="AC84" s="614" t="str">
        <f t="shared" si="255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6">IF(SUM(AL69,AL77)=0,"",SUM(AL69,-AL70*AL73,-AL74*AL73,AL77,-AL78*AL81,-AL82*AL81)*0.049)</f>
        <v/>
      </c>
      <c r="AM84" s="614" t="str">
        <f t="shared" si="256"/>
        <v/>
      </c>
      <c r="AN84" s="614" t="str">
        <f t="shared" si="256"/>
        <v/>
      </c>
      <c r="AO84" s="614" t="str">
        <f t="shared" si="256"/>
        <v/>
      </c>
      <c r="AP84" s="614" t="str">
        <f t="shared" si="256"/>
        <v/>
      </c>
      <c r="AQ84" s="614" t="str">
        <f t="shared" si="256"/>
        <v/>
      </c>
      <c r="AR84" s="614" t="str">
        <f t="shared" si="256"/>
        <v/>
      </c>
      <c r="AS84" s="614" t="str">
        <f t="shared" si="256"/>
        <v/>
      </c>
      <c r="AT84" s="614" t="str">
        <f t="shared" si="256"/>
        <v/>
      </c>
      <c r="AU84" s="614" t="str">
        <f t="shared" si="256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7">IF(SUM(BD69,BD77)=0,"",SUM(BD69,-BD70*BD73,-BD74*BD73,BD77,-BD78*BD81,-BD82*BD81)*0.049)</f>
        <v/>
      </c>
      <c r="BE84" s="614" t="str">
        <f t="shared" si="257"/>
        <v/>
      </c>
      <c r="BF84" s="614" t="str">
        <f t="shared" si="257"/>
        <v/>
      </c>
      <c r="BG84" s="614" t="str">
        <f t="shared" si="257"/>
        <v/>
      </c>
      <c r="BH84" s="614" t="str">
        <f t="shared" si="257"/>
        <v/>
      </c>
      <c r="BI84" s="614" t="str">
        <f t="shared" si="257"/>
        <v/>
      </c>
      <c r="BJ84" s="614" t="str">
        <f t="shared" si="257"/>
        <v/>
      </c>
      <c r="BK84" s="614" t="str">
        <f t="shared" si="257"/>
        <v/>
      </c>
      <c r="BL84" s="614" t="str">
        <f t="shared" si="257"/>
        <v/>
      </c>
      <c r="BM84" s="614" t="str">
        <f t="shared" si="257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7"/>
        <v/>
      </c>
      <c r="CA84" s="586" t="str">
        <f t="shared" si="138"/>
        <v/>
      </c>
      <c r="CB84" s="586" t="str">
        <f t="shared" si="139"/>
        <v/>
      </c>
      <c r="CC84" s="586" t="str">
        <f t="shared" si="140"/>
        <v/>
      </c>
      <c r="CD84" s="1316" t="str">
        <f t="shared" si="204"/>
        <v/>
      </c>
      <c r="CE84" s="1317" t="str">
        <f t="shared" si="205"/>
        <v/>
      </c>
      <c r="CF84" s="1317" t="str">
        <f t="shared" si="206"/>
        <v/>
      </c>
      <c r="CG84" s="1317" t="str">
        <f t="shared" si="207"/>
        <v/>
      </c>
      <c r="CH84" s="1318" t="str">
        <f t="shared" si="208"/>
        <v/>
      </c>
      <c r="CI84" s="1318" t="str">
        <f t="shared" si="209"/>
        <v/>
      </c>
      <c r="CJ84" s="1317" t="str">
        <f t="shared" si="210"/>
        <v/>
      </c>
      <c r="CK84" s="1317" t="str">
        <f t="shared" si="211"/>
        <v/>
      </c>
      <c r="CL84" s="1317" t="str">
        <f t="shared" si="212"/>
        <v/>
      </c>
      <c r="CM84" s="1316" t="str">
        <f t="shared" si="213"/>
        <v/>
      </c>
      <c r="CN84" s="538" t="str">
        <f t="shared" si="214"/>
        <v/>
      </c>
      <c r="CO84" s="539" t="str">
        <f t="shared" si="215"/>
        <v/>
      </c>
      <c r="CP84" s="539" t="str">
        <f t="shared" si="216"/>
        <v/>
      </c>
      <c r="CQ84" s="539" t="str">
        <f t="shared" si="217"/>
        <v/>
      </c>
      <c r="CR84" s="539" t="str">
        <f t="shared" si="218"/>
        <v/>
      </c>
      <c r="CS84" s="539" t="str">
        <f t="shared" si="219"/>
        <v/>
      </c>
      <c r="CT84" s="540" t="str">
        <f t="shared" si="220"/>
        <v/>
      </c>
      <c r="CU84" s="540" t="str">
        <f t="shared" si="221"/>
        <v/>
      </c>
      <c r="CV84" s="540" t="str">
        <f t="shared" si="222"/>
        <v/>
      </c>
      <c r="CW84" s="539" t="str">
        <f t="shared" si="223"/>
        <v/>
      </c>
      <c r="CX84" s="539" t="str">
        <f t="shared" si="224"/>
        <v/>
      </c>
      <c r="CY84" s="539" t="str">
        <f t="shared" si="225"/>
        <v/>
      </c>
      <c r="CZ84" s="539" t="str">
        <f t="shared" si="226"/>
        <v/>
      </c>
      <c r="DA84" s="539" t="str">
        <f t="shared" si="227"/>
        <v/>
      </c>
      <c r="DB84" s="538" t="str">
        <f t="shared" si="228"/>
        <v/>
      </c>
      <c r="DC84" s="537" t="str">
        <f t="shared" si="229"/>
        <v/>
      </c>
      <c r="DD84" s="587">
        <f t="shared" si="230"/>
        <v>0</v>
      </c>
      <c r="DE84" s="97">
        <f t="shared" si="231"/>
        <v>0</v>
      </c>
      <c r="DF84" s="97">
        <f t="shared" si="232"/>
        <v>0</v>
      </c>
      <c r="DG84" s="97">
        <f t="shared" si="233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170</v>
      </c>
      <c r="DP84" s="192"/>
      <c r="DQ84" s="606"/>
    </row>
    <row r="85" spans="1:121" s="474" customFormat="1" ht="15.75" hidden="1" customHeight="1">
      <c r="A85" s="583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7"/>
        <v/>
      </c>
      <c r="CA85" s="586" t="str">
        <f t="shared" si="138"/>
        <v/>
      </c>
      <c r="CB85" s="586" t="str">
        <f t="shared" si="139"/>
        <v/>
      </c>
      <c r="CC85" s="586" t="str">
        <f t="shared" si="140"/>
        <v/>
      </c>
      <c r="CD85" s="1316" t="str">
        <f t="shared" si="204"/>
        <v/>
      </c>
      <c r="CE85" s="1317" t="str">
        <f t="shared" si="205"/>
        <v/>
      </c>
      <c r="CF85" s="1317" t="str">
        <f t="shared" si="206"/>
        <v/>
      </c>
      <c r="CG85" s="1317" t="str">
        <f t="shared" si="207"/>
        <v/>
      </c>
      <c r="CH85" s="1318" t="str">
        <f t="shared" si="208"/>
        <v/>
      </c>
      <c r="CI85" s="1318" t="str">
        <f t="shared" si="209"/>
        <v/>
      </c>
      <c r="CJ85" s="1317" t="str">
        <f t="shared" si="210"/>
        <v/>
      </c>
      <c r="CK85" s="1317" t="str">
        <f t="shared" si="211"/>
        <v/>
      </c>
      <c r="CL85" s="1317" t="str">
        <f t="shared" si="212"/>
        <v/>
      </c>
      <c r="CM85" s="1316" t="str">
        <f t="shared" si="213"/>
        <v/>
      </c>
      <c r="CN85" s="538" t="str">
        <f t="shared" si="214"/>
        <v/>
      </c>
      <c r="CO85" s="539" t="str">
        <f t="shared" si="215"/>
        <v/>
      </c>
      <c r="CP85" s="539" t="str">
        <f t="shared" si="216"/>
        <v/>
      </c>
      <c r="CQ85" s="539" t="str">
        <f t="shared" si="217"/>
        <v/>
      </c>
      <c r="CR85" s="539" t="str">
        <f t="shared" si="218"/>
        <v/>
      </c>
      <c r="CS85" s="539" t="str">
        <f t="shared" si="219"/>
        <v/>
      </c>
      <c r="CT85" s="540" t="str">
        <f t="shared" si="220"/>
        <v/>
      </c>
      <c r="CU85" s="540" t="str">
        <f t="shared" si="221"/>
        <v/>
      </c>
      <c r="CV85" s="540" t="str">
        <f t="shared" si="222"/>
        <v/>
      </c>
      <c r="CW85" s="539" t="str">
        <f t="shared" si="223"/>
        <v/>
      </c>
      <c r="CX85" s="539" t="str">
        <f t="shared" si="224"/>
        <v/>
      </c>
      <c r="CY85" s="539" t="str">
        <f t="shared" si="225"/>
        <v/>
      </c>
      <c r="CZ85" s="539" t="str">
        <f t="shared" si="226"/>
        <v/>
      </c>
      <c r="DA85" s="539" t="str">
        <f t="shared" si="227"/>
        <v/>
      </c>
      <c r="DB85" s="538" t="str">
        <f t="shared" si="228"/>
        <v/>
      </c>
      <c r="DC85" s="537" t="str">
        <f t="shared" si="229"/>
        <v/>
      </c>
      <c r="DD85" s="587">
        <f t="shared" si="230"/>
        <v>0</v>
      </c>
      <c r="DE85" s="97">
        <f t="shared" si="231"/>
        <v>0</v>
      </c>
      <c r="DF85" s="97">
        <f t="shared" si="232"/>
        <v>0</v>
      </c>
      <c r="DG85" s="97">
        <f t="shared" si="233"/>
        <v>0</v>
      </c>
      <c r="DH85" s="580"/>
      <c r="DI85" s="606"/>
      <c r="DJ85" s="588" t="s">
        <v>172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7"/>
        <v/>
      </c>
      <c r="CA86" s="586" t="str">
        <f t="shared" si="138"/>
        <v/>
      </c>
      <c r="CB86" s="586" t="str">
        <f t="shared" si="139"/>
        <v/>
      </c>
      <c r="CC86" s="586" t="str">
        <f t="shared" si="140"/>
        <v/>
      </c>
      <c r="CD86" s="1316" t="str">
        <f t="shared" si="204"/>
        <v/>
      </c>
      <c r="CE86" s="1317" t="str">
        <f t="shared" si="205"/>
        <v/>
      </c>
      <c r="CF86" s="1317" t="str">
        <f t="shared" si="206"/>
        <v/>
      </c>
      <c r="CG86" s="1317" t="str">
        <f t="shared" si="207"/>
        <v/>
      </c>
      <c r="CH86" s="1318" t="str">
        <f t="shared" si="208"/>
        <v/>
      </c>
      <c r="CI86" s="1318" t="str">
        <f t="shared" si="209"/>
        <v/>
      </c>
      <c r="CJ86" s="1317" t="str">
        <f t="shared" si="210"/>
        <v/>
      </c>
      <c r="CK86" s="1317" t="str">
        <f t="shared" si="211"/>
        <v/>
      </c>
      <c r="CL86" s="1317" t="str">
        <f t="shared" si="212"/>
        <v/>
      </c>
      <c r="CM86" s="1316" t="str">
        <f t="shared" si="213"/>
        <v/>
      </c>
      <c r="CN86" s="538" t="str">
        <f t="shared" si="214"/>
        <v/>
      </c>
      <c r="CO86" s="539" t="str">
        <f t="shared" si="215"/>
        <v/>
      </c>
      <c r="CP86" s="539" t="str">
        <f t="shared" si="216"/>
        <v/>
      </c>
      <c r="CQ86" s="539" t="str">
        <f t="shared" si="217"/>
        <v/>
      </c>
      <c r="CR86" s="539" t="str">
        <f t="shared" si="218"/>
        <v/>
      </c>
      <c r="CS86" s="539" t="str">
        <f t="shared" si="219"/>
        <v/>
      </c>
      <c r="CT86" s="540" t="str">
        <f t="shared" si="220"/>
        <v/>
      </c>
      <c r="CU86" s="540" t="str">
        <f t="shared" si="221"/>
        <v/>
      </c>
      <c r="CV86" s="540" t="str">
        <f t="shared" si="222"/>
        <v/>
      </c>
      <c r="CW86" s="539" t="str">
        <f t="shared" si="223"/>
        <v/>
      </c>
      <c r="CX86" s="539" t="str">
        <f t="shared" si="224"/>
        <v/>
      </c>
      <c r="CY86" s="539" t="str">
        <f t="shared" si="225"/>
        <v/>
      </c>
      <c r="CZ86" s="539" t="str">
        <f t="shared" si="226"/>
        <v/>
      </c>
      <c r="DA86" s="539" t="str">
        <f t="shared" si="227"/>
        <v/>
      </c>
      <c r="DB86" s="538" t="str">
        <f t="shared" si="228"/>
        <v/>
      </c>
      <c r="DC86" s="537" t="str">
        <f t="shared" si="229"/>
        <v/>
      </c>
      <c r="DD86" s="587">
        <f t="shared" si="230"/>
        <v>0</v>
      </c>
      <c r="DE86" s="97">
        <f t="shared" si="231"/>
        <v>0</v>
      </c>
      <c r="DF86" s="97">
        <f t="shared" si="232"/>
        <v>0</v>
      </c>
      <c r="DG86" s="97">
        <f t="shared" si="233"/>
        <v>0</v>
      </c>
      <c r="DH86" s="580"/>
      <c r="DI86" s="606"/>
      <c r="DJ86" s="588" t="s">
        <v>174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199</v>
      </c>
      <c r="DQ86" s="606"/>
    </row>
    <row r="87" spans="1:121" s="474" customFormat="1" ht="15.75" hidden="1" customHeight="1">
      <c r="A87" s="593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7"/>
        <v/>
      </c>
      <c r="CA87" s="586" t="str">
        <f t="shared" si="138"/>
        <v/>
      </c>
      <c r="CB87" s="586" t="str">
        <f t="shared" si="139"/>
        <v/>
      </c>
      <c r="CC87" s="586" t="str">
        <f t="shared" si="140"/>
        <v/>
      </c>
      <c r="CD87" s="1316" t="str">
        <f t="shared" si="204"/>
        <v/>
      </c>
      <c r="CE87" s="1317" t="str">
        <f t="shared" si="205"/>
        <v/>
      </c>
      <c r="CF87" s="1317" t="str">
        <f t="shared" si="206"/>
        <v/>
      </c>
      <c r="CG87" s="1317" t="str">
        <f t="shared" si="207"/>
        <v/>
      </c>
      <c r="CH87" s="1318" t="str">
        <f t="shared" si="208"/>
        <v/>
      </c>
      <c r="CI87" s="1318" t="str">
        <f t="shared" si="209"/>
        <v/>
      </c>
      <c r="CJ87" s="1317" t="str">
        <f t="shared" si="210"/>
        <v/>
      </c>
      <c r="CK87" s="1317" t="str">
        <f t="shared" si="211"/>
        <v/>
      </c>
      <c r="CL87" s="1317" t="str">
        <f t="shared" si="212"/>
        <v/>
      </c>
      <c r="CM87" s="1316" t="str">
        <f t="shared" si="213"/>
        <v/>
      </c>
      <c r="CN87" s="538" t="str">
        <f t="shared" si="214"/>
        <v/>
      </c>
      <c r="CO87" s="539" t="str">
        <f t="shared" si="215"/>
        <v/>
      </c>
      <c r="CP87" s="539" t="str">
        <f t="shared" si="216"/>
        <v/>
      </c>
      <c r="CQ87" s="539" t="str">
        <f t="shared" si="217"/>
        <v/>
      </c>
      <c r="CR87" s="539" t="str">
        <f t="shared" si="218"/>
        <v/>
      </c>
      <c r="CS87" s="539" t="str">
        <f t="shared" si="219"/>
        <v/>
      </c>
      <c r="CT87" s="540" t="str">
        <f t="shared" si="220"/>
        <v/>
      </c>
      <c r="CU87" s="540" t="str">
        <f t="shared" si="221"/>
        <v/>
      </c>
      <c r="CV87" s="540" t="str">
        <f t="shared" si="222"/>
        <v/>
      </c>
      <c r="CW87" s="539" t="str">
        <f t="shared" si="223"/>
        <v/>
      </c>
      <c r="CX87" s="539" t="str">
        <f t="shared" si="224"/>
        <v/>
      </c>
      <c r="CY87" s="539" t="str">
        <f t="shared" si="225"/>
        <v/>
      </c>
      <c r="CZ87" s="539" t="str">
        <f t="shared" si="226"/>
        <v/>
      </c>
      <c r="DA87" s="539" t="str">
        <f t="shared" si="227"/>
        <v/>
      </c>
      <c r="DB87" s="538" t="str">
        <f t="shared" si="228"/>
        <v/>
      </c>
      <c r="DC87" s="537" t="str">
        <f t="shared" si="229"/>
        <v/>
      </c>
      <c r="DD87" s="587">
        <f t="shared" si="230"/>
        <v>0</v>
      </c>
      <c r="DE87" s="97">
        <f t="shared" si="231"/>
        <v>0</v>
      </c>
      <c r="DF87" s="97">
        <f t="shared" si="232"/>
        <v>0</v>
      </c>
      <c r="DG87" s="97">
        <f t="shared" si="233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201</v>
      </c>
      <c r="DQ87" s="606"/>
    </row>
    <row r="88" spans="1:121" s="620" customFormat="1" ht="15.75" hidden="1" customHeight="1">
      <c r="A88" s="583" t="s">
        <v>202</v>
      </c>
      <c r="B88" s="618" t="str">
        <f t="shared" ref="B88:K88" si="258">IF(B86="","",B86*B87)</f>
        <v/>
      </c>
      <c r="C88" s="618" t="str">
        <f t="shared" si="258"/>
        <v/>
      </c>
      <c r="D88" s="618" t="str">
        <f t="shared" si="258"/>
        <v/>
      </c>
      <c r="E88" s="618" t="str">
        <f t="shared" si="258"/>
        <v/>
      </c>
      <c r="F88" s="618" t="str">
        <f t="shared" si="258"/>
        <v/>
      </c>
      <c r="G88" s="618" t="str">
        <f t="shared" si="258"/>
        <v/>
      </c>
      <c r="H88" s="618" t="str">
        <f t="shared" si="258"/>
        <v/>
      </c>
      <c r="I88" s="618" t="str">
        <f t="shared" si="258"/>
        <v/>
      </c>
      <c r="J88" s="618" t="str">
        <f t="shared" si="258"/>
        <v/>
      </c>
      <c r="K88" s="618" t="str">
        <f t="shared" si="258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9">IF(T86="","",T86*T87)</f>
        <v/>
      </c>
      <c r="U88" s="618" t="str">
        <f t="shared" si="259"/>
        <v/>
      </c>
      <c r="V88" s="618" t="str">
        <f t="shared" si="259"/>
        <v/>
      </c>
      <c r="W88" s="618" t="str">
        <f t="shared" si="259"/>
        <v/>
      </c>
      <c r="X88" s="618" t="str">
        <f t="shared" si="259"/>
        <v/>
      </c>
      <c r="Y88" s="618" t="str">
        <f t="shared" si="259"/>
        <v/>
      </c>
      <c r="Z88" s="618" t="str">
        <f t="shared" si="259"/>
        <v/>
      </c>
      <c r="AA88" s="618" t="str">
        <f t="shared" si="259"/>
        <v/>
      </c>
      <c r="AB88" s="618" t="str">
        <f t="shared" si="259"/>
        <v/>
      </c>
      <c r="AC88" s="618" t="str">
        <f t="shared" si="259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60">IF(AL86="","",AL86*AL87)</f>
        <v/>
      </c>
      <c r="AM88" s="618" t="str">
        <f t="shared" si="260"/>
        <v/>
      </c>
      <c r="AN88" s="618" t="str">
        <f t="shared" si="260"/>
        <v/>
      </c>
      <c r="AO88" s="618" t="str">
        <f t="shared" si="260"/>
        <v/>
      </c>
      <c r="AP88" s="618" t="str">
        <f t="shared" si="260"/>
        <v/>
      </c>
      <c r="AQ88" s="618" t="str">
        <f t="shared" si="260"/>
        <v/>
      </c>
      <c r="AR88" s="618" t="str">
        <f t="shared" si="260"/>
        <v/>
      </c>
      <c r="AS88" s="618" t="str">
        <f t="shared" si="260"/>
        <v/>
      </c>
      <c r="AT88" s="618" t="str">
        <f t="shared" si="260"/>
        <v/>
      </c>
      <c r="AU88" s="618" t="str">
        <f t="shared" si="260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61">IF(BD86="","",BD86*BD87)</f>
        <v/>
      </c>
      <c r="BE88" s="618" t="str">
        <f t="shared" si="261"/>
        <v/>
      </c>
      <c r="BF88" s="618" t="str">
        <f t="shared" si="261"/>
        <v/>
      </c>
      <c r="BG88" s="618" t="str">
        <f t="shared" si="261"/>
        <v/>
      </c>
      <c r="BH88" s="618" t="str">
        <f t="shared" si="261"/>
        <v/>
      </c>
      <c r="BI88" s="618" t="str">
        <f t="shared" si="261"/>
        <v/>
      </c>
      <c r="BJ88" s="618" t="str">
        <f t="shared" si="261"/>
        <v/>
      </c>
      <c r="BK88" s="618" t="str">
        <f t="shared" si="261"/>
        <v/>
      </c>
      <c r="BL88" s="618" t="str">
        <f t="shared" si="261"/>
        <v/>
      </c>
      <c r="BM88" s="618" t="str">
        <f t="shared" si="261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7"/>
        <v/>
      </c>
      <c r="CA88" s="586" t="str">
        <f t="shared" si="138"/>
        <v/>
      </c>
      <c r="CB88" s="586" t="str">
        <f t="shared" si="139"/>
        <v/>
      </c>
      <c r="CC88" s="586" t="str">
        <f t="shared" si="140"/>
        <v/>
      </c>
      <c r="CD88" s="1316" t="str">
        <f t="shared" si="204"/>
        <v/>
      </c>
      <c r="CE88" s="1317" t="str">
        <f t="shared" si="205"/>
        <v/>
      </c>
      <c r="CF88" s="1317" t="str">
        <f t="shared" si="206"/>
        <v/>
      </c>
      <c r="CG88" s="1317" t="str">
        <f t="shared" si="207"/>
        <v/>
      </c>
      <c r="CH88" s="1318" t="str">
        <f t="shared" si="208"/>
        <v/>
      </c>
      <c r="CI88" s="1318" t="str">
        <f t="shared" si="209"/>
        <v/>
      </c>
      <c r="CJ88" s="1317" t="str">
        <f t="shared" si="210"/>
        <v/>
      </c>
      <c r="CK88" s="1317" t="str">
        <f t="shared" si="211"/>
        <v/>
      </c>
      <c r="CL88" s="1317" t="str">
        <f t="shared" si="212"/>
        <v/>
      </c>
      <c r="CM88" s="1316" t="str">
        <f t="shared" si="213"/>
        <v/>
      </c>
      <c r="CN88" s="538" t="str">
        <f t="shared" si="214"/>
        <v/>
      </c>
      <c r="CO88" s="539" t="str">
        <f t="shared" si="215"/>
        <v/>
      </c>
      <c r="CP88" s="539" t="str">
        <f t="shared" si="216"/>
        <v/>
      </c>
      <c r="CQ88" s="539" t="str">
        <f t="shared" si="217"/>
        <v/>
      </c>
      <c r="CR88" s="539" t="str">
        <f t="shared" si="218"/>
        <v/>
      </c>
      <c r="CS88" s="539" t="str">
        <f t="shared" si="219"/>
        <v/>
      </c>
      <c r="CT88" s="540" t="str">
        <f t="shared" si="220"/>
        <v/>
      </c>
      <c r="CU88" s="540" t="str">
        <f t="shared" si="221"/>
        <v/>
      </c>
      <c r="CV88" s="540" t="str">
        <f t="shared" si="222"/>
        <v/>
      </c>
      <c r="CW88" s="539" t="str">
        <f t="shared" si="223"/>
        <v/>
      </c>
      <c r="CX88" s="539" t="str">
        <f t="shared" si="224"/>
        <v/>
      </c>
      <c r="CY88" s="539" t="str">
        <f t="shared" si="225"/>
        <v/>
      </c>
      <c r="CZ88" s="539" t="str">
        <f t="shared" si="226"/>
        <v/>
      </c>
      <c r="DA88" s="539" t="str">
        <f t="shared" si="227"/>
        <v/>
      </c>
      <c r="DB88" s="538" t="str">
        <f t="shared" si="228"/>
        <v/>
      </c>
      <c r="DC88" s="537" t="str">
        <f t="shared" si="229"/>
        <v/>
      </c>
      <c r="DD88" s="587">
        <f t="shared" si="230"/>
        <v>0</v>
      </c>
      <c r="DE88" s="97">
        <f t="shared" si="231"/>
        <v>0</v>
      </c>
      <c r="DF88" s="97">
        <f t="shared" si="232"/>
        <v>0</v>
      </c>
      <c r="DG88" s="97">
        <f t="shared" si="233"/>
        <v>0</v>
      </c>
      <c r="DH88" s="580"/>
      <c r="DI88" s="619"/>
      <c r="DJ88" s="588" t="s">
        <v>191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203</v>
      </c>
      <c r="B89" s="621" t="str">
        <f t="shared" ref="B89:K89" si="262">IF(B84="","",(SUM(B69)*2973-SUM(B70,B74)*(2973-1549*(B73=0))-SUM(B85,B86)*32930)/$G$1/365/B$46)</f>
        <v/>
      </c>
      <c r="C89" s="621" t="str">
        <f t="shared" si="262"/>
        <v/>
      </c>
      <c r="D89" s="621" t="str">
        <f t="shared" si="262"/>
        <v/>
      </c>
      <c r="E89" s="621" t="str">
        <f t="shared" si="262"/>
        <v/>
      </c>
      <c r="F89" s="621" t="str">
        <f t="shared" si="262"/>
        <v/>
      </c>
      <c r="G89" s="621" t="str">
        <f t="shared" si="262"/>
        <v/>
      </c>
      <c r="H89" s="621" t="str">
        <f t="shared" si="262"/>
        <v/>
      </c>
      <c r="I89" s="621" t="str">
        <f t="shared" si="262"/>
        <v/>
      </c>
      <c r="J89" s="621" t="str">
        <f t="shared" si="262"/>
        <v/>
      </c>
      <c r="K89" s="621" t="str">
        <f t="shared" si="262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3">IF(T84="","",(SUM(T69)*2973-SUM(T70,T74)*(2973-1549*(T73=0))-SUM(T85,T86)*32930)/$G$1/365/T$46)</f>
        <v/>
      </c>
      <c r="U89" s="621" t="str">
        <f t="shared" si="263"/>
        <v/>
      </c>
      <c r="V89" s="621" t="str">
        <f t="shared" si="263"/>
        <v/>
      </c>
      <c r="W89" s="621" t="str">
        <f t="shared" si="263"/>
        <v/>
      </c>
      <c r="X89" s="621" t="str">
        <f t="shared" si="263"/>
        <v/>
      </c>
      <c r="Y89" s="621" t="str">
        <f t="shared" si="263"/>
        <v/>
      </c>
      <c r="Z89" s="621" t="str">
        <f t="shared" si="263"/>
        <v/>
      </c>
      <c r="AA89" s="621" t="str">
        <f t="shared" si="263"/>
        <v/>
      </c>
      <c r="AB89" s="621" t="str">
        <f t="shared" si="263"/>
        <v/>
      </c>
      <c r="AC89" s="621" t="str">
        <f t="shared" si="263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4">IF(AL84="","",(SUM(AL69)*2973-SUM(AL70,AL74)*(2973-1549*(AL73=0))-SUM(AL85,AL86)*32930)/$G$1/365/AL$46)</f>
        <v/>
      </c>
      <c r="AM89" s="621" t="str">
        <f t="shared" si="264"/>
        <v/>
      </c>
      <c r="AN89" s="621" t="str">
        <f t="shared" si="264"/>
        <v/>
      </c>
      <c r="AO89" s="621" t="str">
        <f t="shared" si="264"/>
        <v/>
      </c>
      <c r="AP89" s="621" t="str">
        <f t="shared" si="264"/>
        <v/>
      </c>
      <c r="AQ89" s="621" t="str">
        <f t="shared" si="264"/>
        <v/>
      </c>
      <c r="AR89" s="621" t="str">
        <f t="shared" si="264"/>
        <v/>
      </c>
      <c r="AS89" s="621" t="str">
        <f t="shared" si="264"/>
        <v/>
      </c>
      <c r="AT89" s="621" t="str">
        <f t="shared" si="264"/>
        <v/>
      </c>
      <c r="AU89" s="621" t="str">
        <f t="shared" si="264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5">IF(BD84="","",(SUM(BD69)*2973-SUM(BD70,BD74)*(2973-1549*(BD73=0))-SUM(BD85,BD86)*32930)/$G$1/365/BD$46)</f>
        <v/>
      </c>
      <c r="BE89" s="621" t="str">
        <f t="shared" si="265"/>
        <v/>
      </c>
      <c r="BF89" s="621" t="str">
        <f t="shared" si="265"/>
        <v/>
      </c>
      <c r="BG89" s="621" t="str">
        <f t="shared" si="265"/>
        <v/>
      </c>
      <c r="BH89" s="621" t="str">
        <f t="shared" si="265"/>
        <v/>
      </c>
      <c r="BI89" s="621" t="str">
        <f t="shared" si="265"/>
        <v/>
      </c>
      <c r="BJ89" s="621" t="str">
        <f t="shared" si="265"/>
        <v/>
      </c>
      <c r="BK89" s="621" t="str">
        <f t="shared" si="265"/>
        <v/>
      </c>
      <c r="BL89" s="621" t="str">
        <f t="shared" si="265"/>
        <v/>
      </c>
      <c r="BM89" s="621" t="str">
        <f t="shared" si="265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7"/>
        <v/>
      </c>
      <c r="CA89" s="611" t="str">
        <f t="shared" si="138"/>
        <v/>
      </c>
      <c r="CB89" s="611" t="str">
        <f t="shared" si="139"/>
        <v/>
      </c>
      <c r="CC89" s="611" t="str">
        <f t="shared" si="140"/>
        <v/>
      </c>
      <c r="CD89" s="1325" t="str">
        <f t="shared" si="204"/>
        <v/>
      </c>
      <c r="CE89" s="1326" t="str">
        <f t="shared" si="205"/>
        <v/>
      </c>
      <c r="CF89" s="1326" t="str">
        <f t="shared" si="206"/>
        <v/>
      </c>
      <c r="CG89" s="1326" t="str">
        <f t="shared" si="207"/>
        <v/>
      </c>
      <c r="CH89" s="1327" t="str">
        <f t="shared" si="208"/>
        <v/>
      </c>
      <c r="CI89" s="1327" t="str">
        <f t="shared" si="209"/>
        <v/>
      </c>
      <c r="CJ89" s="1326" t="str">
        <f t="shared" si="210"/>
        <v/>
      </c>
      <c r="CK89" s="1326" t="str">
        <f t="shared" si="211"/>
        <v/>
      </c>
      <c r="CL89" s="1326" t="str">
        <f t="shared" si="212"/>
        <v/>
      </c>
      <c r="CM89" s="1325" t="str">
        <f t="shared" si="213"/>
        <v/>
      </c>
      <c r="CN89" s="526" t="str">
        <f t="shared" si="214"/>
        <v/>
      </c>
      <c r="CO89" s="527" t="str">
        <f t="shared" si="215"/>
        <v/>
      </c>
      <c r="CP89" s="527" t="str">
        <f t="shared" si="216"/>
        <v/>
      </c>
      <c r="CQ89" s="527" t="str">
        <f t="shared" si="217"/>
        <v/>
      </c>
      <c r="CR89" s="527" t="str">
        <f t="shared" si="218"/>
        <v/>
      </c>
      <c r="CS89" s="527" t="str">
        <f t="shared" si="219"/>
        <v/>
      </c>
      <c r="CT89" s="528" t="str">
        <f t="shared" si="220"/>
        <v/>
      </c>
      <c r="CU89" s="528" t="str">
        <f t="shared" si="221"/>
        <v/>
      </c>
      <c r="CV89" s="528" t="str">
        <f t="shared" si="222"/>
        <v/>
      </c>
      <c r="CW89" s="527" t="str">
        <f t="shared" si="223"/>
        <v/>
      </c>
      <c r="CX89" s="527" t="str">
        <f t="shared" si="224"/>
        <v/>
      </c>
      <c r="CY89" s="527" t="str">
        <f t="shared" si="225"/>
        <v/>
      </c>
      <c r="CZ89" s="527" t="str">
        <f t="shared" si="226"/>
        <v/>
      </c>
      <c r="DA89" s="527" t="str">
        <f t="shared" si="227"/>
        <v/>
      </c>
      <c r="DB89" s="526" t="str">
        <f t="shared" si="228"/>
        <v/>
      </c>
      <c r="DC89" s="525" t="str">
        <f t="shared" si="229"/>
        <v/>
      </c>
      <c r="DD89" s="587">
        <f t="shared" si="230"/>
        <v>0</v>
      </c>
      <c r="DE89" s="97">
        <f t="shared" si="231"/>
        <v>0</v>
      </c>
      <c r="DF89" s="97">
        <f t="shared" si="232"/>
        <v>0</v>
      </c>
      <c r="DG89" s="97">
        <f t="shared" si="233"/>
        <v>0</v>
      </c>
      <c r="DH89" s="580"/>
      <c r="DI89" s="606"/>
      <c r="DJ89" s="588" t="s">
        <v>192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204</v>
      </c>
      <c r="DQ89" s="606"/>
    </row>
    <row r="90" spans="1:121" s="474" customFormat="1" ht="15.75" hidden="1" customHeight="1">
      <c r="A90" s="583" t="s">
        <v>205</v>
      </c>
      <c r="B90" s="621" t="str">
        <f t="shared" ref="B90:K90" si="266">IF(B84="","",(SUM(B77)*2973-SUM(B78,B82)*(2973-1549*(B81=0)))/$G$1/365/B$46)</f>
        <v/>
      </c>
      <c r="C90" s="621" t="str">
        <f t="shared" si="266"/>
        <v/>
      </c>
      <c r="D90" s="621" t="str">
        <f t="shared" si="266"/>
        <v/>
      </c>
      <c r="E90" s="621" t="str">
        <f t="shared" si="266"/>
        <v/>
      </c>
      <c r="F90" s="621" t="str">
        <f t="shared" si="266"/>
        <v/>
      </c>
      <c r="G90" s="621" t="str">
        <f t="shared" si="266"/>
        <v/>
      </c>
      <c r="H90" s="621" t="str">
        <f t="shared" si="266"/>
        <v/>
      </c>
      <c r="I90" s="621" t="str">
        <f t="shared" si="266"/>
        <v/>
      </c>
      <c r="J90" s="621" t="str">
        <f t="shared" si="266"/>
        <v/>
      </c>
      <c r="K90" s="621" t="str">
        <f t="shared" si="266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7">IF(T84="","",(SUM(T77)*2973-SUM(T78,T82)*(2973-1549*(T81=0)))/$G$1/365/T$46)</f>
        <v/>
      </c>
      <c r="U90" s="621" t="str">
        <f t="shared" si="267"/>
        <v/>
      </c>
      <c r="V90" s="621" t="str">
        <f t="shared" si="267"/>
        <v/>
      </c>
      <c r="W90" s="621" t="str">
        <f t="shared" si="267"/>
        <v/>
      </c>
      <c r="X90" s="621" t="str">
        <f t="shared" si="267"/>
        <v/>
      </c>
      <c r="Y90" s="621" t="str">
        <f t="shared" si="267"/>
        <v/>
      </c>
      <c r="Z90" s="621" t="str">
        <f t="shared" si="267"/>
        <v/>
      </c>
      <c r="AA90" s="621" t="str">
        <f t="shared" si="267"/>
        <v/>
      </c>
      <c r="AB90" s="621" t="str">
        <f t="shared" si="267"/>
        <v/>
      </c>
      <c r="AC90" s="621" t="str">
        <f t="shared" si="267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8">IF(AL84="","",(SUM(AL77)*2973-SUM(AL78,AL82)*(2973-1549*(AL81=0)))/$G$1/365/AL$46)</f>
        <v/>
      </c>
      <c r="AM90" s="621" t="str">
        <f t="shared" si="268"/>
        <v/>
      </c>
      <c r="AN90" s="621" t="str">
        <f t="shared" si="268"/>
        <v/>
      </c>
      <c r="AO90" s="621" t="str">
        <f t="shared" si="268"/>
        <v/>
      </c>
      <c r="AP90" s="621" t="str">
        <f t="shared" si="268"/>
        <v/>
      </c>
      <c r="AQ90" s="621" t="str">
        <f t="shared" si="268"/>
        <v/>
      </c>
      <c r="AR90" s="621" t="str">
        <f t="shared" si="268"/>
        <v/>
      </c>
      <c r="AS90" s="621" t="str">
        <f t="shared" si="268"/>
        <v/>
      </c>
      <c r="AT90" s="621" t="str">
        <f t="shared" si="268"/>
        <v/>
      </c>
      <c r="AU90" s="621" t="str">
        <f t="shared" si="268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9">IF(BD84="","",(SUM(BD77)*2973-SUM(BD78,BD82)*(2973-1549*(BD81=0)))/$G$1/365/BD$46)</f>
        <v/>
      </c>
      <c r="BE90" s="621" t="str">
        <f t="shared" si="269"/>
        <v/>
      </c>
      <c r="BF90" s="621" t="str">
        <f t="shared" si="269"/>
        <v/>
      </c>
      <c r="BG90" s="621" t="str">
        <f t="shared" si="269"/>
        <v/>
      </c>
      <c r="BH90" s="621" t="str">
        <f t="shared" si="269"/>
        <v/>
      </c>
      <c r="BI90" s="621" t="str">
        <f t="shared" si="269"/>
        <v/>
      </c>
      <c r="BJ90" s="621" t="str">
        <f t="shared" si="269"/>
        <v/>
      </c>
      <c r="BK90" s="621" t="str">
        <f t="shared" si="269"/>
        <v/>
      </c>
      <c r="BL90" s="621" t="str">
        <f t="shared" si="269"/>
        <v/>
      </c>
      <c r="BM90" s="621" t="str">
        <f t="shared" si="269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7"/>
        <v/>
      </c>
      <c r="CA90" s="611" t="str">
        <f t="shared" si="138"/>
        <v/>
      </c>
      <c r="CB90" s="611" t="str">
        <f t="shared" si="139"/>
        <v/>
      </c>
      <c r="CC90" s="611" t="str">
        <f t="shared" si="140"/>
        <v/>
      </c>
      <c r="CD90" s="1325" t="str">
        <f t="shared" si="204"/>
        <v/>
      </c>
      <c r="CE90" s="1326" t="str">
        <f t="shared" si="205"/>
        <v/>
      </c>
      <c r="CF90" s="1326" t="str">
        <f t="shared" si="206"/>
        <v/>
      </c>
      <c r="CG90" s="1326" t="str">
        <f t="shared" si="207"/>
        <v/>
      </c>
      <c r="CH90" s="1327" t="str">
        <f t="shared" si="208"/>
        <v/>
      </c>
      <c r="CI90" s="1327" t="str">
        <f t="shared" si="209"/>
        <v/>
      </c>
      <c r="CJ90" s="1326" t="str">
        <f t="shared" si="210"/>
        <v/>
      </c>
      <c r="CK90" s="1326" t="str">
        <f t="shared" si="211"/>
        <v/>
      </c>
      <c r="CL90" s="1326" t="str">
        <f t="shared" si="212"/>
        <v/>
      </c>
      <c r="CM90" s="1325" t="str">
        <f t="shared" si="213"/>
        <v/>
      </c>
      <c r="CN90" s="526" t="str">
        <f t="shared" si="214"/>
        <v/>
      </c>
      <c r="CO90" s="527" t="str">
        <f t="shared" si="215"/>
        <v/>
      </c>
      <c r="CP90" s="527" t="str">
        <f t="shared" si="216"/>
        <v/>
      </c>
      <c r="CQ90" s="527" t="str">
        <f t="shared" si="217"/>
        <v/>
      </c>
      <c r="CR90" s="527" t="str">
        <f t="shared" si="218"/>
        <v/>
      </c>
      <c r="CS90" s="527" t="str">
        <f t="shared" si="219"/>
        <v/>
      </c>
      <c r="CT90" s="528" t="str">
        <f t="shared" si="220"/>
        <v/>
      </c>
      <c r="CU90" s="528" t="str">
        <f t="shared" si="221"/>
        <v/>
      </c>
      <c r="CV90" s="528" t="str">
        <f t="shared" si="222"/>
        <v/>
      </c>
      <c r="CW90" s="527" t="str">
        <f t="shared" si="223"/>
        <v/>
      </c>
      <c r="CX90" s="527" t="str">
        <f t="shared" si="224"/>
        <v/>
      </c>
      <c r="CY90" s="527" t="str">
        <f t="shared" si="225"/>
        <v/>
      </c>
      <c r="CZ90" s="527" t="str">
        <f t="shared" si="226"/>
        <v/>
      </c>
      <c r="DA90" s="527" t="str">
        <f t="shared" si="227"/>
        <v/>
      </c>
      <c r="DB90" s="526" t="str">
        <f t="shared" si="228"/>
        <v/>
      </c>
      <c r="DC90" s="525" t="str">
        <f t="shared" si="229"/>
        <v/>
      </c>
      <c r="DD90" s="587">
        <f t="shared" si="230"/>
        <v>0</v>
      </c>
      <c r="DE90" s="97">
        <f t="shared" si="231"/>
        <v>0</v>
      </c>
      <c r="DF90" s="97">
        <f t="shared" si="232"/>
        <v>0</v>
      </c>
      <c r="DG90" s="97">
        <f t="shared" si="233"/>
        <v>0</v>
      </c>
      <c r="DH90" s="580"/>
      <c r="DI90" s="606"/>
      <c r="DJ90" s="588" t="s">
        <v>191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206</v>
      </c>
      <c r="B91" s="609" t="str">
        <f t="shared" ref="B91:K91" si="270">IF(SUM(B84)&gt;0,B86/B84,"")</f>
        <v/>
      </c>
      <c r="C91" s="609" t="str">
        <f t="shared" si="270"/>
        <v/>
      </c>
      <c r="D91" s="609" t="str">
        <f t="shared" si="270"/>
        <v/>
      </c>
      <c r="E91" s="609" t="str">
        <f t="shared" si="270"/>
        <v/>
      </c>
      <c r="F91" s="609" t="str">
        <f t="shared" si="270"/>
        <v/>
      </c>
      <c r="G91" s="609" t="str">
        <f t="shared" si="270"/>
        <v/>
      </c>
      <c r="H91" s="609" t="str">
        <f t="shared" si="270"/>
        <v/>
      </c>
      <c r="I91" s="609" t="str">
        <f t="shared" si="270"/>
        <v/>
      </c>
      <c r="J91" s="609" t="str">
        <f t="shared" si="270"/>
        <v/>
      </c>
      <c r="K91" s="609" t="str">
        <f t="shared" si="270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71">IF(SUM(T84)&gt;0,T86/T84,"")</f>
        <v/>
      </c>
      <c r="U91" s="609" t="str">
        <f t="shared" si="271"/>
        <v/>
      </c>
      <c r="V91" s="609" t="str">
        <f t="shared" si="271"/>
        <v/>
      </c>
      <c r="W91" s="609" t="str">
        <f t="shared" si="271"/>
        <v/>
      </c>
      <c r="X91" s="609" t="str">
        <f t="shared" si="271"/>
        <v/>
      </c>
      <c r="Y91" s="609" t="str">
        <f t="shared" si="271"/>
        <v/>
      </c>
      <c r="Z91" s="609" t="str">
        <f t="shared" si="271"/>
        <v/>
      </c>
      <c r="AA91" s="609" t="str">
        <f t="shared" si="271"/>
        <v/>
      </c>
      <c r="AB91" s="609" t="str">
        <f t="shared" si="271"/>
        <v/>
      </c>
      <c r="AC91" s="609" t="str">
        <f t="shared" si="271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2">IF(SUM(AL84)&gt;0,AL86/AL84,"")</f>
        <v/>
      </c>
      <c r="AM91" s="609" t="str">
        <f t="shared" si="272"/>
        <v/>
      </c>
      <c r="AN91" s="609" t="str">
        <f t="shared" si="272"/>
        <v/>
      </c>
      <c r="AO91" s="609" t="str">
        <f t="shared" si="272"/>
        <v/>
      </c>
      <c r="AP91" s="609" t="str">
        <f t="shared" si="272"/>
        <v/>
      </c>
      <c r="AQ91" s="609" t="str">
        <f t="shared" si="272"/>
        <v/>
      </c>
      <c r="AR91" s="609" t="str">
        <f t="shared" si="272"/>
        <v/>
      </c>
      <c r="AS91" s="609" t="str">
        <f t="shared" si="272"/>
        <v/>
      </c>
      <c r="AT91" s="609" t="str">
        <f t="shared" si="272"/>
        <v/>
      </c>
      <c r="AU91" s="609" t="str">
        <f t="shared" si="272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3">IF(SUM(BD84)&gt;0,BD86/BD84,"")</f>
        <v/>
      </c>
      <c r="BE91" s="609" t="str">
        <f t="shared" si="273"/>
        <v/>
      </c>
      <c r="BF91" s="609" t="str">
        <f t="shared" si="273"/>
        <v/>
      </c>
      <c r="BG91" s="609" t="str">
        <f t="shared" si="273"/>
        <v/>
      </c>
      <c r="BH91" s="609" t="str">
        <f t="shared" si="273"/>
        <v/>
      </c>
      <c r="BI91" s="609" t="str">
        <f t="shared" si="273"/>
        <v/>
      </c>
      <c r="BJ91" s="609" t="str">
        <f t="shared" si="273"/>
        <v/>
      </c>
      <c r="BK91" s="609" t="str">
        <f t="shared" si="273"/>
        <v/>
      </c>
      <c r="BL91" s="609" t="str">
        <f t="shared" si="273"/>
        <v/>
      </c>
      <c r="BM91" s="609" t="str">
        <f t="shared" si="273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7"/>
        <v/>
      </c>
      <c r="CA91" s="611" t="str">
        <f t="shared" si="138"/>
        <v/>
      </c>
      <c r="CB91" s="611" t="str">
        <f t="shared" si="139"/>
        <v/>
      </c>
      <c r="CC91" s="611" t="str">
        <f t="shared" si="140"/>
        <v/>
      </c>
      <c r="CD91" s="1325" t="str">
        <f t="shared" si="204"/>
        <v/>
      </c>
      <c r="CE91" s="1326" t="str">
        <f t="shared" si="205"/>
        <v/>
      </c>
      <c r="CF91" s="1326" t="str">
        <f t="shared" si="206"/>
        <v/>
      </c>
      <c r="CG91" s="1326" t="str">
        <f t="shared" si="207"/>
        <v/>
      </c>
      <c r="CH91" s="1327" t="str">
        <f t="shared" si="208"/>
        <v/>
      </c>
      <c r="CI91" s="1327" t="str">
        <f t="shared" si="209"/>
        <v/>
      </c>
      <c r="CJ91" s="1326" t="str">
        <f t="shared" si="210"/>
        <v/>
      </c>
      <c r="CK91" s="1326" t="str">
        <f t="shared" si="211"/>
        <v/>
      </c>
      <c r="CL91" s="1326" t="str">
        <f t="shared" si="212"/>
        <v/>
      </c>
      <c r="CM91" s="1325" t="str">
        <f t="shared" si="213"/>
        <v/>
      </c>
      <c r="CN91" s="526" t="str">
        <f t="shared" si="214"/>
        <v/>
      </c>
      <c r="CO91" s="527" t="str">
        <f t="shared" si="215"/>
        <v/>
      </c>
      <c r="CP91" s="527" t="str">
        <f t="shared" si="216"/>
        <v/>
      </c>
      <c r="CQ91" s="527" t="str">
        <f t="shared" si="217"/>
        <v/>
      </c>
      <c r="CR91" s="527" t="str">
        <f t="shared" si="218"/>
        <v/>
      </c>
      <c r="CS91" s="527" t="str">
        <f t="shared" si="219"/>
        <v/>
      </c>
      <c r="CT91" s="528" t="str">
        <f t="shared" si="220"/>
        <v/>
      </c>
      <c r="CU91" s="528" t="str">
        <f t="shared" si="221"/>
        <v/>
      </c>
      <c r="CV91" s="528" t="str">
        <f t="shared" si="222"/>
        <v/>
      </c>
      <c r="CW91" s="527" t="str">
        <f t="shared" si="223"/>
        <v/>
      </c>
      <c r="CX91" s="527" t="str">
        <f t="shared" si="224"/>
        <v/>
      </c>
      <c r="CY91" s="527" t="str">
        <f t="shared" si="225"/>
        <v/>
      </c>
      <c r="CZ91" s="527" t="str">
        <f t="shared" si="226"/>
        <v/>
      </c>
      <c r="DA91" s="527" t="str">
        <f t="shared" si="227"/>
        <v/>
      </c>
      <c r="DB91" s="526" t="str">
        <f t="shared" si="228"/>
        <v/>
      </c>
      <c r="DC91" s="525" t="str">
        <f t="shared" si="229"/>
        <v/>
      </c>
      <c r="DD91" s="587">
        <f t="shared" si="230"/>
        <v>0</v>
      </c>
      <c r="DE91" s="97">
        <f t="shared" si="231"/>
        <v>0</v>
      </c>
      <c r="DF91" s="97">
        <f t="shared" si="232"/>
        <v>0</v>
      </c>
      <c r="DG91" s="97">
        <f t="shared" si="233"/>
        <v>0</v>
      </c>
      <c r="DH91" s="580"/>
      <c r="DI91" s="606"/>
      <c r="DJ91" s="588" t="s">
        <v>191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57" t="s">
        <v>207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7"/>
        <v/>
      </c>
      <c r="CA92" s="578" t="str">
        <f t="shared" si="138"/>
        <v/>
      </c>
      <c r="CB92" s="578" t="str">
        <f t="shared" si="139"/>
        <v/>
      </c>
      <c r="CC92" s="578" t="str">
        <f t="shared" si="140"/>
        <v/>
      </c>
      <c r="CD92" s="1328"/>
      <c r="CE92" s="1328"/>
      <c r="CF92" s="1328"/>
      <c r="CG92" s="1328"/>
      <c r="CH92" s="1328"/>
      <c r="CI92" s="1328"/>
      <c r="CJ92" s="1328"/>
      <c r="CK92" s="1328"/>
      <c r="CL92" s="1328"/>
      <c r="CM92" s="1328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169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7"/>
        <v>0.125</v>
      </c>
      <c r="CA93" s="586">
        <f t="shared" si="138"/>
        <v>1.125</v>
      </c>
      <c r="CB93" s="586">
        <f t="shared" si="139"/>
        <v>3.375</v>
      </c>
      <c r="CC93" s="586">
        <f t="shared" si="140"/>
        <v>8.625</v>
      </c>
      <c r="CD93" s="1316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7">
        <f t="shared" si="274"/>
        <v>0</v>
      </c>
      <c r="CF93" s="1317">
        <f t="shared" si="274"/>
        <v>2</v>
      </c>
      <c r="CG93" s="1317">
        <f t="shared" si="274"/>
        <v>3</v>
      </c>
      <c r="CH93" s="1318">
        <f t="shared" si="274"/>
        <v>3</v>
      </c>
      <c r="CI93" s="1318">
        <f t="shared" si="274"/>
        <v>4</v>
      </c>
      <c r="CJ93" s="1317">
        <f t="shared" si="274"/>
        <v>4</v>
      </c>
      <c r="CK93" s="1317">
        <f t="shared" si="274"/>
        <v>5</v>
      </c>
      <c r="CL93" s="1317">
        <f t="shared" si="274"/>
        <v>6</v>
      </c>
      <c r="CM93" s="1316">
        <f t="shared" si="274"/>
        <v>10</v>
      </c>
      <c r="CN93" s="538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91">COUNT(B93:R93)</f>
        <v>10</v>
      </c>
      <c r="DE93" s="97">
        <f t="shared" ref="DE93:DE118" si="292">COUNT(T93:AJ93)</f>
        <v>10</v>
      </c>
      <c r="DF93" s="97">
        <f t="shared" ref="DF93:DF118" si="293">COUNT(AL93:BB93)</f>
        <v>10</v>
      </c>
      <c r="DG93" s="97">
        <f t="shared" ref="DG93:DG118" si="294">COUNT(BD93:BT93)</f>
        <v>10</v>
      </c>
      <c r="DH93" s="580"/>
      <c r="DI93" s="191"/>
      <c r="DJ93" s="473" t="s">
        <v>208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5">IF(DD94&lt;3,"",(SUM(B94:R94)-MIN(B94:R94)-MAX(B94:R94))/(DD94-2))</f>
        <v>90</v>
      </c>
      <c r="CA94" s="586">
        <f t="shared" ref="CA94:CA157" si="296">IF(DE94&lt;3,"",(SUM(T94:AJ94)-MIN(T94:AJ94)-MAX(T94:AJ94))/(DE94-2))</f>
        <v>90</v>
      </c>
      <c r="CB94" s="586">
        <f t="shared" ref="CB94:CB157" si="297">IF(DF94&lt;3,"",(SUM(AL94:BB94)-MIN(AL94:BB94)-MAX(AL94:BB94))/(DF94-2))</f>
        <v>90</v>
      </c>
      <c r="CC94" s="586">
        <f t="shared" ref="CC94:CC157" si="298">IF(DG94&lt;3,"",(SUM(BD94:BT94)-MIN(BD94:BT94)-MAX(BD94:BT94))/(DG94-2))</f>
        <v>90</v>
      </c>
      <c r="CD94" s="131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7">
        <f t="shared" si="274"/>
        <v>90</v>
      </c>
      <c r="CF94" s="1317">
        <f t="shared" si="274"/>
        <v>90</v>
      </c>
      <c r="CG94" s="1317">
        <f t="shared" si="274"/>
        <v>90</v>
      </c>
      <c r="CH94" s="1318">
        <f t="shared" si="274"/>
        <v>90</v>
      </c>
      <c r="CI94" s="1318">
        <f t="shared" si="274"/>
        <v>90</v>
      </c>
      <c r="CJ94" s="1317">
        <f t="shared" si="274"/>
        <v>90</v>
      </c>
      <c r="CK94" s="1317">
        <f t="shared" si="274"/>
        <v>90</v>
      </c>
      <c r="CL94" s="1317">
        <f t="shared" si="274"/>
        <v>90</v>
      </c>
      <c r="CM94" s="1316">
        <f t="shared" si="274"/>
        <v>90</v>
      </c>
      <c r="CN94" s="538" t="str">
        <f t="shared" si="275"/>
        <v/>
      </c>
      <c r="CO94" s="539" t="str">
        <f t="shared" si="276"/>
        <v/>
      </c>
      <c r="CP94" s="539" t="str">
        <f t="shared" si="277"/>
        <v/>
      </c>
      <c r="CQ94" s="539">
        <f t="shared" si="278"/>
        <v>90</v>
      </c>
      <c r="CR94" s="539">
        <f t="shared" si="279"/>
        <v>90</v>
      </c>
      <c r="CS94" s="539">
        <f t="shared" si="280"/>
        <v>90</v>
      </c>
      <c r="CT94" s="540">
        <f t="shared" si="281"/>
        <v>90</v>
      </c>
      <c r="CU94" s="540">
        <f t="shared" si="282"/>
        <v>90</v>
      </c>
      <c r="CV94" s="540">
        <f t="shared" si="283"/>
        <v>90</v>
      </c>
      <c r="CW94" s="539">
        <f t="shared" si="284"/>
        <v>90</v>
      </c>
      <c r="CX94" s="539">
        <f t="shared" si="285"/>
        <v>90</v>
      </c>
      <c r="CY94" s="539">
        <f t="shared" si="286"/>
        <v>90</v>
      </c>
      <c r="CZ94" s="539">
        <f t="shared" si="287"/>
        <v>90</v>
      </c>
      <c r="DA94" s="539" t="str">
        <f t="shared" si="288"/>
        <v/>
      </c>
      <c r="DB94" s="538" t="str">
        <f t="shared" si="289"/>
        <v/>
      </c>
      <c r="DC94" s="537" t="str">
        <f t="shared" si="290"/>
        <v/>
      </c>
      <c r="DD94" s="587">
        <f t="shared" si="291"/>
        <v>10</v>
      </c>
      <c r="DE94" s="97">
        <f t="shared" si="292"/>
        <v>10</v>
      </c>
      <c r="DF94" s="97">
        <f t="shared" si="293"/>
        <v>10</v>
      </c>
      <c r="DG94" s="97">
        <f t="shared" si="294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173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5"/>
        <v>3.5</v>
      </c>
      <c r="CA95" s="586">
        <f t="shared" si="296"/>
        <v>1</v>
      </c>
      <c r="CB95" s="586">
        <f t="shared" si="297"/>
        <v>1</v>
      </c>
      <c r="CC95" s="586">
        <f t="shared" si="298"/>
        <v>2.6050000000000004</v>
      </c>
      <c r="CD95" s="1316" t="str">
        <f t="shared" si="274"/>
        <v/>
      </c>
      <c r="CE95" s="1317" t="str">
        <f t="shared" si="274"/>
        <v/>
      </c>
      <c r="CF95" s="1317" t="str">
        <f t="shared" si="274"/>
        <v/>
      </c>
      <c r="CG95" s="1317">
        <f t="shared" si="274"/>
        <v>0</v>
      </c>
      <c r="CH95" s="1318">
        <f t="shared" si="274"/>
        <v>1</v>
      </c>
      <c r="CI95" s="1318">
        <f t="shared" si="274"/>
        <v>1</v>
      </c>
      <c r="CJ95" s="1317">
        <f t="shared" si="274"/>
        <v>1.5</v>
      </c>
      <c r="CK95" s="1317" t="str">
        <f t="shared" si="274"/>
        <v/>
      </c>
      <c r="CL95" s="1317" t="str">
        <f t="shared" si="274"/>
        <v/>
      </c>
      <c r="CM95" s="1316" t="str">
        <f t="shared" si="274"/>
        <v/>
      </c>
      <c r="CN95" s="538" t="str">
        <f t="shared" si="275"/>
        <v/>
      </c>
      <c r="CO95" s="539" t="str">
        <f t="shared" si="276"/>
        <v/>
      </c>
      <c r="CP95" s="539" t="str">
        <f t="shared" si="277"/>
        <v/>
      </c>
      <c r="CQ95" s="539">
        <f t="shared" si="278"/>
        <v>1.5</v>
      </c>
      <c r="CR95" s="539">
        <f t="shared" si="279"/>
        <v>2</v>
      </c>
      <c r="CS95" s="539">
        <f t="shared" si="280"/>
        <v>2</v>
      </c>
      <c r="CT95" s="540">
        <f t="shared" si="281"/>
        <v>2.35</v>
      </c>
      <c r="CU95" s="540">
        <f t="shared" si="282"/>
        <v>2.4</v>
      </c>
      <c r="CV95" s="540">
        <f t="shared" si="283"/>
        <v>2.46</v>
      </c>
      <c r="CW95" s="539">
        <f t="shared" si="284"/>
        <v>2.5</v>
      </c>
      <c r="CX95" s="539">
        <f t="shared" si="285"/>
        <v>3.13</v>
      </c>
      <c r="CY95" s="539">
        <f t="shared" si="286"/>
        <v>4</v>
      </c>
      <c r="CZ95" s="539">
        <f t="shared" si="287"/>
        <v>4</v>
      </c>
      <c r="DA95" s="539" t="str">
        <f t="shared" si="288"/>
        <v/>
      </c>
      <c r="DB95" s="538" t="str">
        <f t="shared" si="289"/>
        <v/>
      </c>
      <c r="DC95" s="537" t="str">
        <f t="shared" si="290"/>
        <v/>
      </c>
      <c r="DD95" s="587">
        <f t="shared" si="291"/>
        <v>4</v>
      </c>
      <c r="DE95" s="97">
        <f t="shared" si="292"/>
        <v>4</v>
      </c>
      <c r="DF95" s="97">
        <f t="shared" si="293"/>
        <v>4</v>
      </c>
      <c r="DG95" s="97">
        <f t="shared" si="294"/>
        <v>10</v>
      </c>
      <c r="DH95" s="580"/>
      <c r="DI95" s="191"/>
      <c r="DJ95" s="588" t="s">
        <v>172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177</v>
      </c>
      <c r="B96" s="595">
        <f t="shared" ref="B96:K96" si="299">IF(B95="","",B93*B94*B95)</f>
        <v>0</v>
      </c>
      <c r="C96" s="595" t="str">
        <f t="shared" si="299"/>
        <v/>
      </c>
      <c r="D96" s="595" t="str">
        <f t="shared" si="299"/>
        <v/>
      </c>
      <c r="E96" s="595" t="str">
        <f t="shared" si="299"/>
        <v/>
      </c>
      <c r="F96" s="595">
        <f t="shared" si="299"/>
        <v>360</v>
      </c>
      <c r="G96" s="595">
        <f t="shared" si="299"/>
        <v>270</v>
      </c>
      <c r="H96" s="595" t="str">
        <f t="shared" si="299"/>
        <v/>
      </c>
      <c r="I96" s="595" t="str">
        <f t="shared" si="299"/>
        <v/>
      </c>
      <c r="J96" s="595" t="str">
        <f t="shared" si="299"/>
        <v/>
      </c>
      <c r="K96" s="595">
        <f t="shared" si="299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300">IF(T95="","",T93*T94*T95)</f>
        <v/>
      </c>
      <c r="U96" s="595" t="str">
        <f t="shared" si="300"/>
        <v/>
      </c>
      <c r="V96" s="595" t="str">
        <f t="shared" si="300"/>
        <v/>
      </c>
      <c r="W96" s="595" t="str">
        <f t="shared" si="300"/>
        <v/>
      </c>
      <c r="X96" s="595" t="str">
        <f t="shared" si="300"/>
        <v/>
      </c>
      <c r="Y96" s="595">
        <f t="shared" si="300"/>
        <v>270</v>
      </c>
      <c r="Z96" s="595">
        <f t="shared" si="300"/>
        <v>90</v>
      </c>
      <c r="AA96" s="595" t="str">
        <f t="shared" si="300"/>
        <v/>
      </c>
      <c r="AB96" s="595">
        <f t="shared" si="300"/>
        <v>0</v>
      </c>
      <c r="AC96" s="595">
        <f t="shared" si="300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301">IF(AL95="","",AL93*AL94*AL95)</f>
        <v/>
      </c>
      <c r="AM96" s="595" t="str">
        <f t="shared" si="301"/>
        <v/>
      </c>
      <c r="AN96" s="595">
        <f t="shared" si="301"/>
        <v>450</v>
      </c>
      <c r="AO96" s="595" t="str">
        <f t="shared" si="301"/>
        <v/>
      </c>
      <c r="AP96" s="595">
        <f t="shared" si="301"/>
        <v>360</v>
      </c>
      <c r="AQ96" s="595" t="str">
        <f t="shared" si="301"/>
        <v/>
      </c>
      <c r="AR96" s="595" t="str">
        <f t="shared" si="301"/>
        <v/>
      </c>
      <c r="AS96" s="595">
        <f t="shared" si="301"/>
        <v>0</v>
      </c>
      <c r="AT96" s="595" t="str">
        <f t="shared" si="301"/>
        <v/>
      </c>
      <c r="AU96" s="595">
        <f t="shared" si="301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2">IF(BD95="","",BD93*BD94*BD95)</f>
        <v>2878.2</v>
      </c>
      <c r="BE96" s="595">
        <f t="shared" si="302"/>
        <v>2115</v>
      </c>
      <c r="BF96" s="595">
        <f t="shared" si="302"/>
        <v>2253.6</v>
      </c>
      <c r="BG96" s="595">
        <f t="shared" si="302"/>
        <v>1485</v>
      </c>
      <c r="BH96" s="595">
        <f t="shared" si="302"/>
        <v>2160</v>
      </c>
      <c r="BI96" s="595">
        <f t="shared" si="302"/>
        <v>1440</v>
      </c>
      <c r="BJ96" s="595">
        <f t="shared" si="302"/>
        <v>2250</v>
      </c>
      <c r="BK96" s="595">
        <f t="shared" si="302"/>
        <v>1440</v>
      </c>
      <c r="BL96" s="595">
        <f t="shared" si="302"/>
        <v>2160</v>
      </c>
      <c r="BM96" s="595">
        <f t="shared" si="302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5"/>
        <v>135</v>
      </c>
      <c r="CA96" s="586">
        <f t="shared" si="296"/>
        <v>180</v>
      </c>
      <c r="CB96" s="586">
        <f t="shared" si="297"/>
        <v>180</v>
      </c>
      <c r="CC96" s="586">
        <f t="shared" si="298"/>
        <v>1912.9499999999998</v>
      </c>
      <c r="CD96" s="1316" t="str">
        <f t="shared" si="274"/>
        <v/>
      </c>
      <c r="CE96" s="1317" t="str">
        <f t="shared" si="274"/>
        <v/>
      </c>
      <c r="CF96" s="1317" t="str">
        <f t="shared" si="274"/>
        <v/>
      </c>
      <c r="CG96" s="1317">
        <f t="shared" si="274"/>
        <v>0</v>
      </c>
      <c r="CH96" s="1318">
        <f t="shared" si="274"/>
        <v>0</v>
      </c>
      <c r="CI96" s="1318">
        <f t="shared" si="274"/>
        <v>360</v>
      </c>
      <c r="CJ96" s="1317">
        <f t="shared" si="274"/>
        <v>450</v>
      </c>
      <c r="CK96" s="1317" t="str">
        <f t="shared" si="274"/>
        <v/>
      </c>
      <c r="CL96" s="1317" t="str">
        <f t="shared" si="274"/>
        <v/>
      </c>
      <c r="CM96" s="1316" t="str">
        <f t="shared" si="274"/>
        <v/>
      </c>
      <c r="CN96" s="538" t="str">
        <f t="shared" si="275"/>
        <v/>
      </c>
      <c r="CO96" s="539" t="str">
        <f t="shared" si="276"/>
        <v/>
      </c>
      <c r="CP96" s="539" t="str">
        <f t="shared" si="277"/>
        <v/>
      </c>
      <c r="CQ96" s="539">
        <f t="shared" si="278"/>
        <v>360</v>
      </c>
      <c r="CR96" s="539">
        <f t="shared" si="279"/>
        <v>1440</v>
      </c>
      <c r="CS96" s="539">
        <f t="shared" si="280"/>
        <v>1440</v>
      </c>
      <c r="CT96" s="540">
        <f t="shared" si="281"/>
        <v>1485</v>
      </c>
      <c r="CU96" s="540">
        <f t="shared" si="282"/>
        <v>2115</v>
      </c>
      <c r="CV96" s="540">
        <f t="shared" si="283"/>
        <v>2160</v>
      </c>
      <c r="CW96" s="539">
        <f t="shared" si="284"/>
        <v>2160</v>
      </c>
      <c r="CX96" s="539">
        <f t="shared" si="285"/>
        <v>2250</v>
      </c>
      <c r="CY96" s="539">
        <f t="shared" si="286"/>
        <v>2253.6</v>
      </c>
      <c r="CZ96" s="539">
        <f t="shared" si="287"/>
        <v>2878.2</v>
      </c>
      <c r="DA96" s="539" t="str">
        <f t="shared" si="288"/>
        <v/>
      </c>
      <c r="DB96" s="538" t="str">
        <f t="shared" si="289"/>
        <v/>
      </c>
      <c r="DC96" s="537" t="str">
        <f t="shared" si="290"/>
        <v/>
      </c>
      <c r="DD96" s="587">
        <f t="shared" si="291"/>
        <v>4</v>
      </c>
      <c r="DE96" s="97">
        <f t="shared" si="292"/>
        <v>4</v>
      </c>
      <c r="DF96" s="97">
        <f t="shared" si="293"/>
        <v>4</v>
      </c>
      <c r="DG96" s="97">
        <f t="shared" si="294"/>
        <v>10</v>
      </c>
      <c r="DH96" s="580"/>
      <c r="DI96" s="191"/>
      <c r="DJ96" s="588" t="s">
        <v>209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210</v>
      </c>
      <c r="DQ96" s="193"/>
    </row>
    <row r="97" spans="1:121" s="194" customFormat="1" ht="15.75" customHeight="1">
      <c r="A97" s="628" t="s">
        <v>179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5"/>
        <v/>
      </c>
      <c r="CA97" s="586">
        <f t="shared" si="296"/>
        <v>0</v>
      </c>
      <c r="CB97" s="586" t="str">
        <f t="shared" si="297"/>
        <v/>
      </c>
      <c r="CC97" s="586">
        <f t="shared" si="298"/>
        <v>0</v>
      </c>
      <c r="CD97" s="1316" t="str">
        <f t="shared" si="274"/>
        <v/>
      </c>
      <c r="CE97" s="1317" t="str">
        <f t="shared" si="274"/>
        <v/>
      </c>
      <c r="CF97" s="1317" t="str">
        <f t="shared" si="274"/>
        <v/>
      </c>
      <c r="CG97" s="1317" t="str">
        <f t="shared" si="274"/>
        <v/>
      </c>
      <c r="CH97" s="1318">
        <f t="shared" si="274"/>
        <v>0</v>
      </c>
      <c r="CI97" s="1318" t="str">
        <f t="shared" si="274"/>
        <v/>
      </c>
      <c r="CJ97" s="1317" t="str">
        <f t="shared" si="274"/>
        <v/>
      </c>
      <c r="CK97" s="1317" t="str">
        <f t="shared" si="274"/>
        <v/>
      </c>
      <c r="CL97" s="1317" t="str">
        <f t="shared" si="274"/>
        <v/>
      </c>
      <c r="CM97" s="1316" t="str">
        <f t="shared" si="274"/>
        <v/>
      </c>
      <c r="CN97" s="538" t="str">
        <f t="shared" si="275"/>
        <v/>
      </c>
      <c r="CO97" s="539" t="str">
        <f t="shared" si="276"/>
        <v/>
      </c>
      <c r="CP97" s="539" t="str">
        <f t="shared" si="277"/>
        <v/>
      </c>
      <c r="CQ97" s="539">
        <f t="shared" si="278"/>
        <v>0</v>
      </c>
      <c r="CR97" s="539">
        <f t="shared" si="279"/>
        <v>0</v>
      </c>
      <c r="CS97" s="539">
        <f t="shared" si="280"/>
        <v>0</v>
      </c>
      <c r="CT97" s="540">
        <f t="shared" si="281"/>
        <v>0</v>
      </c>
      <c r="CU97" s="540">
        <f t="shared" si="282"/>
        <v>0</v>
      </c>
      <c r="CV97" s="540">
        <f t="shared" si="283"/>
        <v>0</v>
      </c>
      <c r="CW97" s="539">
        <f t="shared" si="284"/>
        <v>0</v>
      </c>
      <c r="CX97" s="539">
        <f t="shared" si="285"/>
        <v>0</v>
      </c>
      <c r="CY97" s="539">
        <f t="shared" si="286"/>
        <v>0</v>
      </c>
      <c r="CZ97" s="539" t="str">
        <f t="shared" si="287"/>
        <v/>
      </c>
      <c r="DA97" s="539" t="str">
        <f t="shared" si="288"/>
        <v/>
      </c>
      <c r="DB97" s="538" t="str">
        <f t="shared" si="289"/>
        <v/>
      </c>
      <c r="DC97" s="537" t="str">
        <f t="shared" si="290"/>
        <v/>
      </c>
      <c r="DD97" s="587">
        <f t="shared" si="291"/>
        <v>2</v>
      </c>
      <c r="DE97" s="97">
        <f t="shared" si="292"/>
        <v>3</v>
      </c>
      <c r="DF97" s="97">
        <f t="shared" si="293"/>
        <v>1</v>
      </c>
      <c r="DG97" s="97">
        <f t="shared" si="294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181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5"/>
        <v/>
      </c>
      <c r="CA98" s="586" t="str">
        <f t="shared" si="296"/>
        <v/>
      </c>
      <c r="CB98" s="586" t="str">
        <f t="shared" si="297"/>
        <v/>
      </c>
      <c r="CC98" s="586" t="str">
        <f t="shared" si="298"/>
        <v/>
      </c>
      <c r="CD98" s="1316" t="str">
        <f t="shared" si="274"/>
        <v/>
      </c>
      <c r="CE98" s="1317" t="str">
        <f t="shared" si="274"/>
        <v/>
      </c>
      <c r="CF98" s="1317" t="str">
        <f t="shared" si="274"/>
        <v/>
      </c>
      <c r="CG98" s="1317" t="str">
        <f t="shared" si="274"/>
        <v/>
      </c>
      <c r="CH98" s="1318" t="str">
        <f t="shared" si="274"/>
        <v/>
      </c>
      <c r="CI98" s="1318" t="str">
        <f t="shared" si="274"/>
        <v/>
      </c>
      <c r="CJ98" s="1317" t="str">
        <f t="shared" si="274"/>
        <v/>
      </c>
      <c r="CK98" s="1317" t="str">
        <f t="shared" si="274"/>
        <v/>
      </c>
      <c r="CL98" s="1317" t="str">
        <f t="shared" si="274"/>
        <v/>
      </c>
      <c r="CM98" s="1316" t="str">
        <f t="shared" si="274"/>
        <v/>
      </c>
      <c r="CN98" s="538" t="str">
        <f t="shared" si="275"/>
        <v/>
      </c>
      <c r="CO98" s="539" t="str">
        <f t="shared" si="276"/>
        <v/>
      </c>
      <c r="CP98" s="539" t="str">
        <f t="shared" si="277"/>
        <v/>
      </c>
      <c r="CQ98" s="539" t="str">
        <f t="shared" si="278"/>
        <v/>
      </c>
      <c r="CR98" s="539" t="str">
        <f t="shared" si="279"/>
        <v/>
      </c>
      <c r="CS98" s="539" t="str">
        <f t="shared" si="280"/>
        <v/>
      </c>
      <c r="CT98" s="540" t="str">
        <f t="shared" si="281"/>
        <v/>
      </c>
      <c r="CU98" s="540">
        <f t="shared" si="282"/>
        <v>0</v>
      </c>
      <c r="CV98" s="540" t="str">
        <f t="shared" si="283"/>
        <v/>
      </c>
      <c r="CW98" s="539" t="str">
        <f t="shared" si="284"/>
        <v/>
      </c>
      <c r="CX98" s="539" t="str">
        <f t="shared" si="285"/>
        <v/>
      </c>
      <c r="CY98" s="539" t="str">
        <f t="shared" si="286"/>
        <v/>
      </c>
      <c r="CZ98" s="539" t="str">
        <f t="shared" si="287"/>
        <v/>
      </c>
      <c r="DA98" s="539" t="str">
        <f t="shared" si="288"/>
        <v/>
      </c>
      <c r="DB98" s="538" t="str">
        <f t="shared" si="289"/>
        <v/>
      </c>
      <c r="DC98" s="537" t="str">
        <f t="shared" si="290"/>
        <v/>
      </c>
      <c r="DD98" s="587">
        <f t="shared" si="291"/>
        <v>1</v>
      </c>
      <c r="DE98" s="97">
        <f t="shared" si="292"/>
        <v>0</v>
      </c>
      <c r="DF98" s="97">
        <f t="shared" si="293"/>
        <v>0</v>
      </c>
      <c r="DG98" s="97">
        <f t="shared" si="294"/>
        <v>1</v>
      </c>
      <c r="DH98" s="580"/>
      <c r="DI98" s="191"/>
      <c r="DJ98" s="588" t="s">
        <v>191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183</v>
      </c>
      <c r="B99" s="596">
        <f t="shared" ref="B99:K99" si="303">IF(B97="","",B97*B98)</f>
        <v>0</v>
      </c>
      <c r="C99" s="596" t="str">
        <f t="shared" si="303"/>
        <v/>
      </c>
      <c r="D99" s="596" t="str">
        <f t="shared" si="303"/>
        <v/>
      </c>
      <c r="E99" s="596" t="str">
        <f t="shared" si="303"/>
        <v/>
      </c>
      <c r="F99" s="596">
        <f t="shared" si="303"/>
        <v>0</v>
      </c>
      <c r="G99" s="596" t="str">
        <f t="shared" si="303"/>
        <v/>
      </c>
      <c r="H99" s="596" t="str">
        <f t="shared" si="303"/>
        <v/>
      </c>
      <c r="I99" s="596" t="str">
        <f t="shared" si="303"/>
        <v/>
      </c>
      <c r="J99" s="596" t="str">
        <f t="shared" si="303"/>
        <v/>
      </c>
      <c r="K99" s="596" t="str">
        <f t="shared" si="303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4">IF(T97="","",T97*T98)</f>
        <v>0</v>
      </c>
      <c r="U99" s="596" t="str">
        <f t="shared" si="304"/>
        <v/>
      </c>
      <c r="V99" s="596" t="str">
        <f t="shared" si="304"/>
        <v/>
      </c>
      <c r="W99" s="596" t="str">
        <f t="shared" si="304"/>
        <v/>
      </c>
      <c r="X99" s="596" t="str">
        <f t="shared" si="304"/>
        <v/>
      </c>
      <c r="Y99" s="596">
        <f t="shared" si="304"/>
        <v>0</v>
      </c>
      <c r="Z99" s="596">
        <f t="shared" si="304"/>
        <v>0</v>
      </c>
      <c r="AA99" s="596" t="str">
        <f t="shared" si="304"/>
        <v/>
      </c>
      <c r="AB99" s="596" t="str">
        <f t="shared" si="304"/>
        <v/>
      </c>
      <c r="AC99" s="596" t="str">
        <f t="shared" si="304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5">IF(AL97="","",AL97*AL98)</f>
        <v/>
      </c>
      <c r="AM99" s="596" t="str">
        <f t="shared" si="305"/>
        <v/>
      </c>
      <c r="AN99" s="596" t="str">
        <f t="shared" si="305"/>
        <v/>
      </c>
      <c r="AO99" s="596" t="str">
        <f t="shared" si="305"/>
        <v/>
      </c>
      <c r="AP99" s="596" t="str">
        <f t="shared" si="305"/>
        <v/>
      </c>
      <c r="AQ99" s="596" t="str">
        <f t="shared" si="305"/>
        <v/>
      </c>
      <c r="AR99" s="596" t="str">
        <f t="shared" si="305"/>
        <v/>
      </c>
      <c r="AS99" s="596">
        <f t="shared" si="305"/>
        <v>0</v>
      </c>
      <c r="AT99" s="596" t="str">
        <f t="shared" si="305"/>
        <v/>
      </c>
      <c r="AU99" s="596" t="str">
        <f t="shared" si="305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6">IF(BD97="","",BD97*BD98)</f>
        <v>0</v>
      </c>
      <c r="BE99" s="596">
        <f t="shared" si="306"/>
        <v>0</v>
      </c>
      <c r="BF99" s="596">
        <f t="shared" si="306"/>
        <v>0</v>
      </c>
      <c r="BG99" s="596">
        <f t="shared" si="306"/>
        <v>0</v>
      </c>
      <c r="BH99" s="596">
        <f t="shared" si="306"/>
        <v>0</v>
      </c>
      <c r="BI99" s="596">
        <f t="shared" si="306"/>
        <v>0</v>
      </c>
      <c r="BJ99" s="596" t="str">
        <f t="shared" si="306"/>
        <v/>
      </c>
      <c r="BK99" s="596">
        <f t="shared" si="306"/>
        <v>0</v>
      </c>
      <c r="BL99" s="596">
        <f t="shared" si="306"/>
        <v>0</v>
      </c>
      <c r="BM99" s="596">
        <f t="shared" si="306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5"/>
        <v/>
      </c>
      <c r="CA99" s="586">
        <f t="shared" si="296"/>
        <v>0</v>
      </c>
      <c r="CB99" s="586" t="str">
        <f t="shared" si="297"/>
        <v/>
      </c>
      <c r="CC99" s="586">
        <f t="shared" si="298"/>
        <v>0</v>
      </c>
      <c r="CD99" s="1316" t="str">
        <f t="shared" si="274"/>
        <v/>
      </c>
      <c r="CE99" s="1317" t="str">
        <f t="shared" si="274"/>
        <v/>
      </c>
      <c r="CF99" s="1317" t="str">
        <f t="shared" si="274"/>
        <v/>
      </c>
      <c r="CG99" s="1317" t="str">
        <f t="shared" si="274"/>
        <v/>
      </c>
      <c r="CH99" s="1318">
        <f t="shared" si="274"/>
        <v>0</v>
      </c>
      <c r="CI99" s="1318" t="str">
        <f t="shared" si="274"/>
        <v/>
      </c>
      <c r="CJ99" s="1317" t="str">
        <f t="shared" si="274"/>
        <v/>
      </c>
      <c r="CK99" s="1317" t="str">
        <f t="shared" si="274"/>
        <v/>
      </c>
      <c r="CL99" s="1317" t="str">
        <f t="shared" si="274"/>
        <v/>
      </c>
      <c r="CM99" s="1316" t="str">
        <f t="shared" si="274"/>
        <v/>
      </c>
      <c r="CN99" s="538" t="str">
        <f t="shared" si="275"/>
        <v/>
      </c>
      <c r="CO99" s="539" t="str">
        <f t="shared" si="276"/>
        <v/>
      </c>
      <c r="CP99" s="539" t="str">
        <f t="shared" si="277"/>
        <v/>
      </c>
      <c r="CQ99" s="539">
        <f t="shared" si="278"/>
        <v>0</v>
      </c>
      <c r="CR99" s="539">
        <f t="shared" si="279"/>
        <v>0</v>
      </c>
      <c r="CS99" s="539">
        <f t="shared" si="280"/>
        <v>0</v>
      </c>
      <c r="CT99" s="540">
        <f t="shared" si="281"/>
        <v>0</v>
      </c>
      <c r="CU99" s="540">
        <f t="shared" si="282"/>
        <v>0</v>
      </c>
      <c r="CV99" s="540">
        <f t="shared" si="283"/>
        <v>0</v>
      </c>
      <c r="CW99" s="539">
        <f t="shared" si="284"/>
        <v>0</v>
      </c>
      <c r="CX99" s="539">
        <f t="shared" si="285"/>
        <v>0</v>
      </c>
      <c r="CY99" s="539">
        <f t="shared" si="286"/>
        <v>0</v>
      </c>
      <c r="CZ99" s="539" t="str">
        <f t="shared" si="287"/>
        <v/>
      </c>
      <c r="DA99" s="539" t="str">
        <f t="shared" si="288"/>
        <v/>
      </c>
      <c r="DB99" s="538" t="str">
        <f t="shared" si="289"/>
        <v/>
      </c>
      <c r="DC99" s="537" t="str">
        <f t="shared" si="290"/>
        <v/>
      </c>
      <c r="DD99" s="587">
        <f t="shared" si="291"/>
        <v>2</v>
      </c>
      <c r="DE99" s="97">
        <f t="shared" si="292"/>
        <v>3</v>
      </c>
      <c r="DF99" s="97">
        <f t="shared" si="293"/>
        <v>1</v>
      </c>
      <c r="DG99" s="97">
        <f t="shared" si="294"/>
        <v>9</v>
      </c>
      <c r="DH99" s="580"/>
      <c r="DI99" s="191"/>
      <c r="DJ99" s="588" t="s">
        <v>192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211</v>
      </c>
      <c r="DQ99" s="193"/>
    </row>
    <row r="100" spans="1:121" s="194" customFormat="1" ht="15.75" customHeight="1">
      <c r="A100" s="636" t="s">
        <v>185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5"/>
        <v>1</v>
      </c>
      <c r="CA100" s="586">
        <f t="shared" si="296"/>
        <v>1</v>
      </c>
      <c r="CB100" s="586">
        <f t="shared" si="297"/>
        <v>1</v>
      </c>
      <c r="CC100" s="586">
        <f t="shared" si="298"/>
        <v>1</v>
      </c>
      <c r="CD100" s="1316">
        <f t="shared" si="274"/>
        <v>1</v>
      </c>
      <c r="CE100" s="1317">
        <f t="shared" si="274"/>
        <v>1</v>
      </c>
      <c r="CF100" s="1317">
        <f t="shared" si="274"/>
        <v>1</v>
      </c>
      <c r="CG100" s="1317">
        <f t="shared" si="274"/>
        <v>1</v>
      </c>
      <c r="CH100" s="1318">
        <f t="shared" si="274"/>
        <v>1</v>
      </c>
      <c r="CI100" s="1318">
        <f t="shared" si="274"/>
        <v>1</v>
      </c>
      <c r="CJ100" s="1317">
        <f t="shared" si="274"/>
        <v>1</v>
      </c>
      <c r="CK100" s="1317">
        <f t="shared" si="274"/>
        <v>1</v>
      </c>
      <c r="CL100" s="1317">
        <f t="shared" si="274"/>
        <v>1</v>
      </c>
      <c r="CM100" s="1316">
        <f t="shared" si="274"/>
        <v>1</v>
      </c>
      <c r="CN100" s="538" t="str">
        <f t="shared" si="275"/>
        <v/>
      </c>
      <c r="CO100" s="539" t="str">
        <f t="shared" si="276"/>
        <v/>
      </c>
      <c r="CP100" s="539" t="str">
        <f t="shared" si="277"/>
        <v/>
      </c>
      <c r="CQ100" s="539">
        <f t="shared" si="278"/>
        <v>1</v>
      </c>
      <c r="CR100" s="539">
        <f t="shared" si="279"/>
        <v>1</v>
      </c>
      <c r="CS100" s="539">
        <f t="shared" si="280"/>
        <v>1</v>
      </c>
      <c r="CT100" s="540">
        <f t="shared" si="281"/>
        <v>1</v>
      </c>
      <c r="CU100" s="540">
        <f t="shared" si="282"/>
        <v>1</v>
      </c>
      <c r="CV100" s="540">
        <f t="shared" si="283"/>
        <v>1</v>
      </c>
      <c r="CW100" s="539">
        <f t="shared" si="284"/>
        <v>1</v>
      </c>
      <c r="CX100" s="539">
        <f t="shared" si="285"/>
        <v>1</v>
      </c>
      <c r="CY100" s="539">
        <f t="shared" si="286"/>
        <v>1</v>
      </c>
      <c r="CZ100" s="539">
        <f t="shared" si="287"/>
        <v>1</v>
      </c>
      <c r="DA100" s="539" t="str">
        <f t="shared" si="288"/>
        <v/>
      </c>
      <c r="DB100" s="538" t="str">
        <f t="shared" si="289"/>
        <v/>
      </c>
      <c r="DC100" s="537" t="str">
        <f t="shared" si="290"/>
        <v/>
      </c>
      <c r="DD100" s="587">
        <f t="shared" si="291"/>
        <v>10</v>
      </c>
      <c r="DE100" s="97">
        <f t="shared" si="292"/>
        <v>10</v>
      </c>
      <c r="DF100" s="97">
        <f t="shared" si="293"/>
        <v>10</v>
      </c>
      <c r="DG100" s="97">
        <f t="shared" si="294"/>
        <v>10</v>
      </c>
      <c r="DH100" s="580"/>
      <c r="DI100" s="191"/>
      <c r="DJ100" s="588" t="s">
        <v>191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187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5"/>
        <v/>
      </c>
      <c r="CA101" s="586" t="str">
        <f t="shared" si="296"/>
        <v/>
      </c>
      <c r="CB101" s="586">
        <f t="shared" si="297"/>
        <v>50</v>
      </c>
      <c r="CC101" s="586">
        <f t="shared" si="298"/>
        <v>581.85714285714289</v>
      </c>
      <c r="CD101" s="1316" t="str">
        <f t="shared" si="274"/>
        <v/>
      </c>
      <c r="CE101" s="1317" t="str">
        <f t="shared" si="274"/>
        <v/>
      </c>
      <c r="CF101" s="1317" t="str">
        <f t="shared" si="274"/>
        <v/>
      </c>
      <c r="CG101" s="1317">
        <f t="shared" si="274"/>
        <v>2</v>
      </c>
      <c r="CH101" s="1318">
        <f t="shared" si="274"/>
        <v>50</v>
      </c>
      <c r="CI101" s="1318">
        <f t="shared" si="274"/>
        <v>240</v>
      </c>
      <c r="CJ101" s="1317" t="str">
        <f t="shared" si="274"/>
        <v/>
      </c>
      <c r="CK101" s="1317" t="str">
        <f t="shared" si="274"/>
        <v/>
      </c>
      <c r="CL101" s="1317" t="str">
        <f t="shared" si="274"/>
        <v/>
      </c>
      <c r="CM101" s="1316" t="str">
        <f t="shared" si="274"/>
        <v/>
      </c>
      <c r="CN101" s="538" t="str">
        <f t="shared" si="275"/>
        <v/>
      </c>
      <c r="CO101" s="539" t="str">
        <f t="shared" si="276"/>
        <v/>
      </c>
      <c r="CP101" s="539" t="str">
        <f t="shared" si="277"/>
        <v/>
      </c>
      <c r="CQ101" s="539">
        <f t="shared" si="278"/>
        <v>0</v>
      </c>
      <c r="CR101" s="539">
        <f t="shared" si="279"/>
        <v>200</v>
      </c>
      <c r="CS101" s="539">
        <f t="shared" si="280"/>
        <v>288</v>
      </c>
      <c r="CT101" s="540">
        <f t="shared" si="281"/>
        <v>540</v>
      </c>
      <c r="CU101" s="540">
        <f t="shared" si="282"/>
        <v>675</v>
      </c>
      <c r="CV101" s="540">
        <f t="shared" si="283"/>
        <v>720</v>
      </c>
      <c r="CW101" s="539">
        <f t="shared" si="284"/>
        <v>810</v>
      </c>
      <c r="CX101" s="539">
        <f t="shared" si="285"/>
        <v>840</v>
      </c>
      <c r="CY101" s="539">
        <f t="shared" si="286"/>
        <v>840</v>
      </c>
      <c r="CZ101" s="539" t="str">
        <f t="shared" si="287"/>
        <v/>
      </c>
      <c r="DA101" s="539" t="str">
        <f t="shared" si="288"/>
        <v/>
      </c>
      <c r="DB101" s="538" t="str">
        <f t="shared" si="289"/>
        <v/>
      </c>
      <c r="DC101" s="537" t="str">
        <f t="shared" si="290"/>
        <v/>
      </c>
      <c r="DD101" s="587">
        <f t="shared" si="291"/>
        <v>2</v>
      </c>
      <c r="DE101" s="97">
        <f t="shared" si="292"/>
        <v>2</v>
      </c>
      <c r="DF101" s="97">
        <f t="shared" si="293"/>
        <v>3</v>
      </c>
      <c r="DG101" s="97">
        <f t="shared" si="294"/>
        <v>9</v>
      </c>
      <c r="DH101" s="580"/>
      <c r="DI101" s="191"/>
      <c r="DJ101" s="588" t="s">
        <v>191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5"/>
        <v>90</v>
      </c>
      <c r="CA102" s="586">
        <f t="shared" si="296"/>
        <v>90</v>
      </c>
      <c r="CB102" s="586">
        <f t="shared" si="297"/>
        <v>90</v>
      </c>
      <c r="CC102" s="586">
        <f t="shared" si="298"/>
        <v>90</v>
      </c>
      <c r="CD102" s="1316">
        <f t="shared" si="274"/>
        <v>90</v>
      </c>
      <c r="CE102" s="1317">
        <f t="shared" si="274"/>
        <v>90</v>
      </c>
      <c r="CF102" s="1317">
        <f t="shared" si="274"/>
        <v>90</v>
      </c>
      <c r="CG102" s="1317">
        <f t="shared" si="274"/>
        <v>90</v>
      </c>
      <c r="CH102" s="1318">
        <f t="shared" si="274"/>
        <v>90</v>
      </c>
      <c r="CI102" s="1318">
        <f t="shared" si="274"/>
        <v>90</v>
      </c>
      <c r="CJ102" s="1317">
        <f t="shared" si="274"/>
        <v>90</v>
      </c>
      <c r="CK102" s="1317">
        <f t="shared" si="274"/>
        <v>90</v>
      </c>
      <c r="CL102" s="1317">
        <f t="shared" si="274"/>
        <v>90</v>
      </c>
      <c r="CM102" s="1316">
        <f t="shared" si="274"/>
        <v>90</v>
      </c>
      <c r="CN102" s="538" t="str">
        <f t="shared" si="275"/>
        <v/>
      </c>
      <c r="CO102" s="539" t="str">
        <f t="shared" si="276"/>
        <v/>
      </c>
      <c r="CP102" s="539" t="str">
        <f t="shared" si="277"/>
        <v/>
      </c>
      <c r="CQ102" s="539">
        <f t="shared" si="278"/>
        <v>90</v>
      </c>
      <c r="CR102" s="539">
        <f t="shared" si="279"/>
        <v>90</v>
      </c>
      <c r="CS102" s="539">
        <f t="shared" si="280"/>
        <v>90</v>
      </c>
      <c r="CT102" s="540">
        <f t="shared" si="281"/>
        <v>90</v>
      </c>
      <c r="CU102" s="540">
        <f t="shared" si="282"/>
        <v>90</v>
      </c>
      <c r="CV102" s="540">
        <f t="shared" si="283"/>
        <v>90</v>
      </c>
      <c r="CW102" s="539">
        <f t="shared" si="284"/>
        <v>90</v>
      </c>
      <c r="CX102" s="539">
        <f t="shared" si="285"/>
        <v>90</v>
      </c>
      <c r="CY102" s="539">
        <f t="shared" si="286"/>
        <v>90</v>
      </c>
      <c r="CZ102" s="539">
        <f t="shared" si="287"/>
        <v>90</v>
      </c>
      <c r="DA102" s="539" t="str">
        <f t="shared" si="288"/>
        <v/>
      </c>
      <c r="DB102" s="538" t="str">
        <f t="shared" si="289"/>
        <v/>
      </c>
      <c r="DC102" s="537" t="str">
        <f t="shared" si="290"/>
        <v/>
      </c>
      <c r="DD102" s="587">
        <f t="shared" si="291"/>
        <v>10</v>
      </c>
      <c r="DE102" s="97">
        <f t="shared" si="292"/>
        <v>10</v>
      </c>
      <c r="DF102" s="97">
        <f t="shared" si="293"/>
        <v>10</v>
      </c>
      <c r="DG102" s="97">
        <f t="shared" si="294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173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5"/>
        <v/>
      </c>
      <c r="CA103" s="586" t="str">
        <f t="shared" si="296"/>
        <v/>
      </c>
      <c r="CB103" s="586" t="str">
        <f t="shared" si="297"/>
        <v/>
      </c>
      <c r="CC103" s="586">
        <f t="shared" si="298"/>
        <v>0</v>
      </c>
      <c r="CD103" s="1316" t="str">
        <f t="shared" si="274"/>
        <v/>
      </c>
      <c r="CE103" s="1317" t="str">
        <f t="shared" si="274"/>
        <v/>
      </c>
      <c r="CF103" s="1317" t="str">
        <f t="shared" si="274"/>
        <v/>
      </c>
      <c r="CG103" s="1317" t="str">
        <f t="shared" si="274"/>
        <v/>
      </c>
      <c r="CH103" s="1318" t="str">
        <f t="shared" si="274"/>
        <v/>
      </c>
      <c r="CI103" s="1318" t="str">
        <f t="shared" si="274"/>
        <v/>
      </c>
      <c r="CJ103" s="1317" t="str">
        <f t="shared" si="274"/>
        <v/>
      </c>
      <c r="CK103" s="1317" t="str">
        <f t="shared" si="274"/>
        <v/>
      </c>
      <c r="CL103" s="1317" t="str">
        <f t="shared" si="274"/>
        <v/>
      </c>
      <c r="CM103" s="1316" t="str">
        <f t="shared" si="274"/>
        <v/>
      </c>
      <c r="CN103" s="538" t="str">
        <f t="shared" si="275"/>
        <v/>
      </c>
      <c r="CO103" s="539" t="str">
        <f t="shared" si="276"/>
        <v/>
      </c>
      <c r="CP103" s="539" t="str">
        <f t="shared" si="277"/>
        <v/>
      </c>
      <c r="CQ103" s="539" t="str">
        <f t="shared" si="278"/>
        <v/>
      </c>
      <c r="CR103" s="539">
        <f t="shared" si="279"/>
        <v>0</v>
      </c>
      <c r="CS103" s="539">
        <f t="shared" si="280"/>
        <v>0</v>
      </c>
      <c r="CT103" s="540">
        <f t="shared" si="281"/>
        <v>0</v>
      </c>
      <c r="CU103" s="540">
        <f t="shared" si="282"/>
        <v>0</v>
      </c>
      <c r="CV103" s="540">
        <f t="shared" si="283"/>
        <v>0</v>
      </c>
      <c r="CW103" s="539">
        <f t="shared" si="284"/>
        <v>0</v>
      </c>
      <c r="CX103" s="539">
        <f t="shared" si="285"/>
        <v>0</v>
      </c>
      <c r="CY103" s="539" t="str">
        <f t="shared" si="286"/>
        <v/>
      </c>
      <c r="CZ103" s="539" t="str">
        <f t="shared" si="287"/>
        <v/>
      </c>
      <c r="DA103" s="539" t="str">
        <f t="shared" si="288"/>
        <v/>
      </c>
      <c r="DB103" s="538" t="str">
        <f t="shared" si="289"/>
        <v/>
      </c>
      <c r="DC103" s="537" t="str">
        <f t="shared" si="290"/>
        <v/>
      </c>
      <c r="DD103" s="641">
        <f t="shared" si="291"/>
        <v>2</v>
      </c>
      <c r="DE103" s="95">
        <f t="shared" si="292"/>
        <v>0</v>
      </c>
      <c r="DF103" s="95">
        <f t="shared" si="293"/>
        <v>0</v>
      </c>
      <c r="DG103" s="95">
        <f t="shared" si="294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177</v>
      </c>
      <c r="B104" s="596">
        <f t="shared" ref="B104:K104" si="307">IF(B103="","",B$93*B102*B103)</f>
        <v>0</v>
      </c>
      <c r="C104" s="596" t="str">
        <f t="shared" si="307"/>
        <v/>
      </c>
      <c r="D104" s="596" t="str">
        <f t="shared" si="307"/>
        <v/>
      </c>
      <c r="E104" s="596" t="str">
        <f t="shared" si="307"/>
        <v/>
      </c>
      <c r="F104" s="596">
        <f t="shared" si="307"/>
        <v>90</v>
      </c>
      <c r="G104" s="596" t="str">
        <f t="shared" si="307"/>
        <v/>
      </c>
      <c r="H104" s="596" t="str">
        <f t="shared" si="307"/>
        <v/>
      </c>
      <c r="I104" s="596" t="str">
        <f t="shared" si="307"/>
        <v/>
      </c>
      <c r="J104" s="596" t="str">
        <f t="shared" si="307"/>
        <v/>
      </c>
      <c r="K104" s="596" t="str">
        <f t="shared" si="307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8">IF(T103="","",T$93*T102*T103)</f>
        <v/>
      </c>
      <c r="U104" s="596" t="str">
        <f t="shared" si="308"/>
        <v/>
      </c>
      <c r="V104" s="596" t="str">
        <f t="shared" si="308"/>
        <v/>
      </c>
      <c r="W104" s="596" t="str">
        <f t="shared" si="308"/>
        <v/>
      </c>
      <c r="X104" s="596" t="str">
        <f t="shared" si="308"/>
        <v/>
      </c>
      <c r="Y104" s="596" t="str">
        <f t="shared" si="308"/>
        <v/>
      </c>
      <c r="Z104" s="596" t="str">
        <f t="shared" si="308"/>
        <v/>
      </c>
      <c r="AA104" s="596" t="str">
        <f t="shared" si="308"/>
        <v/>
      </c>
      <c r="AB104" s="596" t="str">
        <f t="shared" si="308"/>
        <v/>
      </c>
      <c r="AC104" s="596" t="str">
        <f t="shared" si="308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9">IF(AL103="","",AL$93*AL102*AL103)</f>
        <v/>
      </c>
      <c r="AM104" s="596" t="str">
        <f t="shared" si="309"/>
        <v/>
      </c>
      <c r="AN104" s="596" t="str">
        <f t="shared" si="309"/>
        <v/>
      </c>
      <c r="AO104" s="596" t="str">
        <f t="shared" si="309"/>
        <v/>
      </c>
      <c r="AP104" s="596" t="str">
        <f t="shared" si="309"/>
        <v/>
      </c>
      <c r="AQ104" s="596" t="str">
        <f t="shared" si="309"/>
        <v/>
      </c>
      <c r="AR104" s="596" t="str">
        <f t="shared" si="309"/>
        <v/>
      </c>
      <c r="AS104" s="596" t="str">
        <f t="shared" si="309"/>
        <v/>
      </c>
      <c r="AT104" s="596" t="str">
        <f t="shared" si="309"/>
        <v/>
      </c>
      <c r="AU104" s="596" t="str">
        <f t="shared" si="309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10">IF(BD103="","",BD$93*BD102*BD103)</f>
        <v>0</v>
      </c>
      <c r="BE104" s="596">
        <f t="shared" si="310"/>
        <v>0</v>
      </c>
      <c r="BF104" s="596">
        <f t="shared" si="310"/>
        <v>0</v>
      </c>
      <c r="BG104" s="596">
        <f t="shared" si="310"/>
        <v>0</v>
      </c>
      <c r="BH104" s="596">
        <f t="shared" si="310"/>
        <v>0</v>
      </c>
      <c r="BI104" s="596" t="str">
        <f t="shared" si="310"/>
        <v/>
      </c>
      <c r="BJ104" s="596">
        <f t="shared" si="310"/>
        <v>0</v>
      </c>
      <c r="BK104" s="596">
        <f t="shared" si="310"/>
        <v>0</v>
      </c>
      <c r="BL104" s="596" t="str">
        <f t="shared" si="310"/>
        <v/>
      </c>
      <c r="BM104" s="596" t="str">
        <f t="shared" si="310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5"/>
        <v/>
      </c>
      <c r="CA104" s="586" t="str">
        <f t="shared" si="296"/>
        <v/>
      </c>
      <c r="CB104" s="586" t="str">
        <f t="shared" si="297"/>
        <v/>
      </c>
      <c r="CC104" s="586">
        <f t="shared" si="298"/>
        <v>0</v>
      </c>
      <c r="CD104" s="1316" t="str">
        <f t="shared" si="274"/>
        <v/>
      </c>
      <c r="CE104" s="1317" t="str">
        <f t="shared" si="274"/>
        <v/>
      </c>
      <c r="CF104" s="1317" t="str">
        <f t="shared" si="274"/>
        <v/>
      </c>
      <c r="CG104" s="1317" t="str">
        <f t="shared" si="274"/>
        <v/>
      </c>
      <c r="CH104" s="1318" t="str">
        <f t="shared" si="274"/>
        <v/>
      </c>
      <c r="CI104" s="1318" t="str">
        <f t="shared" si="274"/>
        <v/>
      </c>
      <c r="CJ104" s="1317" t="str">
        <f t="shared" si="274"/>
        <v/>
      </c>
      <c r="CK104" s="1317" t="str">
        <f t="shared" si="274"/>
        <v/>
      </c>
      <c r="CL104" s="1317" t="str">
        <f t="shared" si="274"/>
        <v/>
      </c>
      <c r="CM104" s="1316" t="str">
        <f t="shared" si="274"/>
        <v/>
      </c>
      <c r="CN104" s="538" t="str">
        <f t="shared" si="275"/>
        <v/>
      </c>
      <c r="CO104" s="539" t="str">
        <f t="shared" si="276"/>
        <v/>
      </c>
      <c r="CP104" s="539" t="str">
        <f t="shared" si="277"/>
        <v/>
      </c>
      <c r="CQ104" s="539" t="str">
        <f t="shared" si="278"/>
        <v/>
      </c>
      <c r="CR104" s="539">
        <f t="shared" si="279"/>
        <v>0</v>
      </c>
      <c r="CS104" s="539">
        <f t="shared" si="280"/>
        <v>0</v>
      </c>
      <c r="CT104" s="540">
        <f t="shared" si="281"/>
        <v>0</v>
      </c>
      <c r="CU104" s="540">
        <f t="shared" si="282"/>
        <v>0</v>
      </c>
      <c r="CV104" s="540">
        <f t="shared" si="283"/>
        <v>0</v>
      </c>
      <c r="CW104" s="539">
        <f t="shared" si="284"/>
        <v>0</v>
      </c>
      <c r="CX104" s="539">
        <f t="shared" si="285"/>
        <v>0</v>
      </c>
      <c r="CY104" s="539" t="str">
        <f t="shared" si="286"/>
        <v/>
      </c>
      <c r="CZ104" s="539" t="str">
        <f t="shared" si="287"/>
        <v/>
      </c>
      <c r="DA104" s="539" t="str">
        <f t="shared" si="288"/>
        <v/>
      </c>
      <c r="DB104" s="538" t="str">
        <f t="shared" si="289"/>
        <v/>
      </c>
      <c r="DC104" s="537" t="str">
        <f t="shared" si="290"/>
        <v/>
      </c>
      <c r="DD104" s="641">
        <f t="shared" si="291"/>
        <v>2</v>
      </c>
      <c r="DE104" s="95">
        <f t="shared" si="292"/>
        <v>0</v>
      </c>
      <c r="DF104" s="95">
        <f t="shared" si="293"/>
        <v>0</v>
      </c>
      <c r="DG104" s="95">
        <f t="shared" si="294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179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5"/>
        <v/>
      </c>
      <c r="CA105" s="586" t="str">
        <f t="shared" si="296"/>
        <v/>
      </c>
      <c r="CB105" s="586" t="str">
        <f t="shared" si="297"/>
        <v/>
      </c>
      <c r="CC105" s="586" t="str">
        <f t="shared" si="298"/>
        <v/>
      </c>
      <c r="CD105" s="1316" t="str">
        <f t="shared" si="274"/>
        <v/>
      </c>
      <c r="CE105" s="1317" t="str">
        <f t="shared" si="274"/>
        <v/>
      </c>
      <c r="CF105" s="1317" t="str">
        <f t="shared" si="274"/>
        <v/>
      </c>
      <c r="CG105" s="1317" t="str">
        <f t="shared" si="274"/>
        <v/>
      </c>
      <c r="CH105" s="1318" t="str">
        <f t="shared" si="274"/>
        <v/>
      </c>
      <c r="CI105" s="1318" t="str">
        <f t="shared" si="274"/>
        <v/>
      </c>
      <c r="CJ105" s="1317" t="str">
        <f t="shared" si="274"/>
        <v/>
      </c>
      <c r="CK105" s="1317" t="str">
        <f t="shared" si="274"/>
        <v/>
      </c>
      <c r="CL105" s="1317" t="str">
        <f t="shared" si="274"/>
        <v/>
      </c>
      <c r="CM105" s="1316" t="str">
        <f t="shared" si="274"/>
        <v/>
      </c>
      <c r="CN105" s="538" t="str">
        <f t="shared" si="275"/>
        <v/>
      </c>
      <c r="CO105" s="539" t="str">
        <f t="shared" si="276"/>
        <v/>
      </c>
      <c r="CP105" s="539" t="str">
        <f t="shared" si="277"/>
        <v/>
      </c>
      <c r="CQ105" s="539" t="str">
        <f t="shared" si="278"/>
        <v/>
      </c>
      <c r="CR105" s="539" t="str">
        <f t="shared" si="279"/>
        <v/>
      </c>
      <c r="CS105" s="539" t="str">
        <f t="shared" si="280"/>
        <v/>
      </c>
      <c r="CT105" s="540" t="str">
        <f t="shared" si="281"/>
        <v/>
      </c>
      <c r="CU105" s="540">
        <f t="shared" si="282"/>
        <v>0</v>
      </c>
      <c r="CV105" s="540" t="str">
        <f t="shared" si="283"/>
        <v/>
      </c>
      <c r="CW105" s="539" t="str">
        <f t="shared" si="284"/>
        <v/>
      </c>
      <c r="CX105" s="539" t="str">
        <f t="shared" si="285"/>
        <v/>
      </c>
      <c r="CY105" s="539" t="str">
        <f t="shared" si="286"/>
        <v/>
      </c>
      <c r="CZ105" s="539" t="str">
        <f t="shared" si="287"/>
        <v/>
      </c>
      <c r="DA105" s="539" t="str">
        <f t="shared" si="288"/>
        <v/>
      </c>
      <c r="DB105" s="538" t="str">
        <f t="shared" si="289"/>
        <v/>
      </c>
      <c r="DC105" s="537" t="str">
        <f t="shared" si="290"/>
        <v/>
      </c>
      <c r="DD105" s="641">
        <f t="shared" si="291"/>
        <v>2</v>
      </c>
      <c r="DE105" s="95">
        <f t="shared" si="292"/>
        <v>0</v>
      </c>
      <c r="DF105" s="95">
        <f t="shared" si="293"/>
        <v>0</v>
      </c>
      <c r="DG105" s="95">
        <f t="shared" si="294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181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5"/>
        <v/>
      </c>
      <c r="CA106" s="586" t="str">
        <f t="shared" si="296"/>
        <v/>
      </c>
      <c r="CB106" s="586" t="str">
        <f t="shared" si="297"/>
        <v/>
      </c>
      <c r="CC106" s="586" t="str">
        <f t="shared" si="298"/>
        <v/>
      </c>
      <c r="CD106" s="1316" t="str">
        <f t="shared" si="274"/>
        <v/>
      </c>
      <c r="CE106" s="1317" t="str">
        <f t="shared" si="274"/>
        <v/>
      </c>
      <c r="CF106" s="1317" t="str">
        <f t="shared" si="274"/>
        <v/>
      </c>
      <c r="CG106" s="1317" t="str">
        <f t="shared" si="274"/>
        <v/>
      </c>
      <c r="CH106" s="1318" t="str">
        <f t="shared" si="274"/>
        <v/>
      </c>
      <c r="CI106" s="1318" t="str">
        <f t="shared" si="274"/>
        <v/>
      </c>
      <c r="CJ106" s="1317" t="str">
        <f t="shared" si="274"/>
        <v/>
      </c>
      <c r="CK106" s="1317" t="str">
        <f t="shared" si="274"/>
        <v/>
      </c>
      <c r="CL106" s="1317" t="str">
        <f t="shared" si="274"/>
        <v/>
      </c>
      <c r="CM106" s="1316" t="str">
        <f t="shared" si="274"/>
        <v/>
      </c>
      <c r="CN106" s="538" t="str">
        <f t="shared" si="275"/>
        <v/>
      </c>
      <c r="CO106" s="539" t="str">
        <f t="shared" si="276"/>
        <v/>
      </c>
      <c r="CP106" s="539" t="str">
        <f t="shared" si="277"/>
        <v/>
      </c>
      <c r="CQ106" s="539" t="str">
        <f t="shared" si="278"/>
        <v/>
      </c>
      <c r="CR106" s="539" t="str">
        <f t="shared" si="279"/>
        <v/>
      </c>
      <c r="CS106" s="539" t="str">
        <f t="shared" si="280"/>
        <v/>
      </c>
      <c r="CT106" s="540" t="str">
        <f t="shared" si="281"/>
        <v/>
      </c>
      <c r="CU106" s="540">
        <f t="shared" si="282"/>
        <v>0</v>
      </c>
      <c r="CV106" s="540" t="str">
        <f t="shared" si="283"/>
        <v/>
      </c>
      <c r="CW106" s="539" t="str">
        <f t="shared" si="284"/>
        <v/>
      </c>
      <c r="CX106" s="539" t="str">
        <f t="shared" si="285"/>
        <v/>
      </c>
      <c r="CY106" s="539" t="str">
        <f t="shared" si="286"/>
        <v/>
      </c>
      <c r="CZ106" s="539" t="str">
        <f t="shared" si="287"/>
        <v/>
      </c>
      <c r="DA106" s="539" t="str">
        <f t="shared" si="288"/>
        <v/>
      </c>
      <c r="DB106" s="538" t="str">
        <f t="shared" si="289"/>
        <v/>
      </c>
      <c r="DC106" s="537" t="str">
        <f t="shared" si="290"/>
        <v/>
      </c>
      <c r="DD106" s="641">
        <f t="shared" si="291"/>
        <v>1</v>
      </c>
      <c r="DE106" s="95">
        <f t="shared" si="292"/>
        <v>0</v>
      </c>
      <c r="DF106" s="95">
        <f t="shared" si="293"/>
        <v>0</v>
      </c>
      <c r="DG106" s="95">
        <f t="shared" si="294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183</v>
      </c>
      <c r="B107" s="595">
        <f t="shared" ref="B107:K107" si="311">IF(B105="","",B105*B106)</f>
        <v>0</v>
      </c>
      <c r="C107" s="595" t="str">
        <f t="shared" si="311"/>
        <v/>
      </c>
      <c r="D107" s="595" t="str">
        <f t="shared" si="311"/>
        <v/>
      </c>
      <c r="E107" s="595" t="str">
        <f t="shared" si="311"/>
        <v/>
      </c>
      <c r="F107" s="595">
        <f t="shared" si="311"/>
        <v>0</v>
      </c>
      <c r="G107" s="595" t="str">
        <f t="shared" si="311"/>
        <v/>
      </c>
      <c r="H107" s="595" t="str">
        <f t="shared" si="311"/>
        <v/>
      </c>
      <c r="I107" s="595" t="str">
        <f t="shared" si="311"/>
        <v/>
      </c>
      <c r="J107" s="595" t="str">
        <f t="shared" si="311"/>
        <v/>
      </c>
      <c r="K107" s="595" t="str">
        <f t="shared" si="311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2">IF(T105="","",T105*T106)</f>
        <v/>
      </c>
      <c r="U107" s="595" t="str">
        <f t="shared" si="312"/>
        <v/>
      </c>
      <c r="V107" s="595" t="str">
        <f t="shared" si="312"/>
        <v/>
      </c>
      <c r="W107" s="595" t="str">
        <f t="shared" si="312"/>
        <v/>
      </c>
      <c r="X107" s="595" t="str">
        <f t="shared" si="312"/>
        <v/>
      </c>
      <c r="Y107" s="595" t="str">
        <f t="shared" si="312"/>
        <v/>
      </c>
      <c r="Z107" s="595" t="str">
        <f t="shared" si="312"/>
        <v/>
      </c>
      <c r="AA107" s="595" t="str">
        <f t="shared" si="312"/>
        <v/>
      </c>
      <c r="AB107" s="595" t="str">
        <f t="shared" si="312"/>
        <v/>
      </c>
      <c r="AC107" s="595" t="str">
        <f t="shared" si="312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3">IF(AL105="","",AL105*AL106)</f>
        <v/>
      </c>
      <c r="AM107" s="595" t="str">
        <f t="shared" si="313"/>
        <v/>
      </c>
      <c r="AN107" s="595" t="str">
        <f t="shared" si="313"/>
        <v/>
      </c>
      <c r="AO107" s="595" t="str">
        <f t="shared" si="313"/>
        <v/>
      </c>
      <c r="AP107" s="595" t="str">
        <f t="shared" si="313"/>
        <v/>
      </c>
      <c r="AQ107" s="595" t="str">
        <f t="shared" si="313"/>
        <v/>
      </c>
      <c r="AR107" s="595" t="str">
        <f t="shared" si="313"/>
        <v/>
      </c>
      <c r="AS107" s="595" t="str">
        <f t="shared" si="313"/>
        <v/>
      </c>
      <c r="AT107" s="595" t="str">
        <f t="shared" si="313"/>
        <v/>
      </c>
      <c r="AU107" s="595" t="str">
        <f t="shared" si="313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4">IF(BD105="","",BD105*BD106)</f>
        <v>0</v>
      </c>
      <c r="BE107" s="595" t="str">
        <f t="shared" si="314"/>
        <v/>
      </c>
      <c r="BF107" s="595" t="str">
        <f t="shared" si="314"/>
        <v/>
      </c>
      <c r="BG107" s="595" t="str">
        <f t="shared" si="314"/>
        <v/>
      </c>
      <c r="BH107" s="595" t="str">
        <f t="shared" si="314"/>
        <v/>
      </c>
      <c r="BI107" s="595" t="str">
        <f t="shared" si="314"/>
        <v/>
      </c>
      <c r="BJ107" s="595" t="str">
        <f t="shared" si="314"/>
        <v/>
      </c>
      <c r="BK107" s="595" t="str">
        <f t="shared" si="314"/>
        <v/>
      </c>
      <c r="BL107" s="595" t="str">
        <f t="shared" si="314"/>
        <v/>
      </c>
      <c r="BM107" s="595" t="str">
        <f t="shared" si="314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5"/>
        <v/>
      </c>
      <c r="CA107" s="586" t="str">
        <f t="shared" si="296"/>
        <v/>
      </c>
      <c r="CB107" s="586" t="str">
        <f t="shared" si="297"/>
        <v/>
      </c>
      <c r="CC107" s="586" t="str">
        <f t="shared" si="298"/>
        <v/>
      </c>
      <c r="CD107" s="1316" t="str">
        <f t="shared" si="274"/>
        <v/>
      </c>
      <c r="CE107" s="1317" t="str">
        <f t="shared" si="274"/>
        <v/>
      </c>
      <c r="CF107" s="1317" t="str">
        <f t="shared" si="274"/>
        <v/>
      </c>
      <c r="CG107" s="1317" t="str">
        <f t="shared" si="274"/>
        <v/>
      </c>
      <c r="CH107" s="1318" t="str">
        <f t="shared" si="274"/>
        <v/>
      </c>
      <c r="CI107" s="1318" t="str">
        <f t="shared" si="274"/>
        <v/>
      </c>
      <c r="CJ107" s="1317" t="str">
        <f t="shared" si="274"/>
        <v/>
      </c>
      <c r="CK107" s="1317" t="str">
        <f t="shared" si="274"/>
        <v/>
      </c>
      <c r="CL107" s="1317" t="str">
        <f t="shared" si="274"/>
        <v/>
      </c>
      <c r="CM107" s="1316" t="str">
        <f t="shared" si="274"/>
        <v/>
      </c>
      <c r="CN107" s="538" t="str">
        <f t="shared" si="275"/>
        <v/>
      </c>
      <c r="CO107" s="539" t="str">
        <f t="shared" si="276"/>
        <v/>
      </c>
      <c r="CP107" s="539" t="str">
        <f t="shared" si="277"/>
        <v/>
      </c>
      <c r="CQ107" s="539" t="str">
        <f t="shared" si="278"/>
        <v/>
      </c>
      <c r="CR107" s="539" t="str">
        <f t="shared" si="279"/>
        <v/>
      </c>
      <c r="CS107" s="539" t="str">
        <f t="shared" si="280"/>
        <v/>
      </c>
      <c r="CT107" s="540" t="str">
        <f t="shared" si="281"/>
        <v/>
      </c>
      <c r="CU107" s="540">
        <f t="shared" si="282"/>
        <v>0</v>
      </c>
      <c r="CV107" s="540" t="str">
        <f t="shared" si="283"/>
        <v/>
      </c>
      <c r="CW107" s="539" t="str">
        <f t="shared" si="284"/>
        <v/>
      </c>
      <c r="CX107" s="539" t="str">
        <f t="shared" si="285"/>
        <v/>
      </c>
      <c r="CY107" s="539" t="str">
        <f t="shared" si="286"/>
        <v/>
      </c>
      <c r="CZ107" s="539" t="str">
        <f t="shared" si="287"/>
        <v/>
      </c>
      <c r="DA107" s="539" t="str">
        <f t="shared" si="288"/>
        <v/>
      </c>
      <c r="DB107" s="538" t="str">
        <f t="shared" si="289"/>
        <v/>
      </c>
      <c r="DC107" s="537" t="str">
        <f t="shared" si="290"/>
        <v/>
      </c>
      <c r="DD107" s="641">
        <f t="shared" si="291"/>
        <v>2</v>
      </c>
      <c r="DE107" s="95">
        <f t="shared" si="292"/>
        <v>0</v>
      </c>
      <c r="DF107" s="95">
        <f t="shared" si="293"/>
        <v>0</v>
      </c>
      <c r="DG107" s="95">
        <f t="shared" si="294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185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5"/>
        <v>1</v>
      </c>
      <c r="CA108" s="586">
        <f t="shared" si="296"/>
        <v>1</v>
      </c>
      <c r="CB108" s="586">
        <f t="shared" si="297"/>
        <v>1</v>
      </c>
      <c r="CC108" s="586">
        <f t="shared" si="298"/>
        <v>1</v>
      </c>
      <c r="CD108" s="1316">
        <f t="shared" si="274"/>
        <v>1</v>
      </c>
      <c r="CE108" s="1317">
        <f t="shared" si="274"/>
        <v>1</v>
      </c>
      <c r="CF108" s="1317">
        <f t="shared" si="274"/>
        <v>1</v>
      </c>
      <c r="CG108" s="1317">
        <f t="shared" si="274"/>
        <v>1</v>
      </c>
      <c r="CH108" s="1318">
        <f t="shared" si="274"/>
        <v>1</v>
      </c>
      <c r="CI108" s="1318">
        <f t="shared" si="274"/>
        <v>1</v>
      </c>
      <c r="CJ108" s="1317">
        <f t="shared" si="274"/>
        <v>1</v>
      </c>
      <c r="CK108" s="1317">
        <f t="shared" si="274"/>
        <v>1</v>
      </c>
      <c r="CL108" s="1317">
        <f t="shared" si="274"/>
        <v>1</v>
      </c>
      <c r="CM108" s="1316">
        <f t="shared" si="274"/>
        <v>1</v>
      </c>
      <c r="CN108" s="538" t="str">
        <f t="shared" si="275"/>
        <v/>
      </c>
      <c r="CO108" s="539" t="str">
        <f t="shared" si="276"/>
        <v/>
      </c>
      <c r="CP108" s="539" t="str">
        <f t="shared" si="277"/>
        <v/>
      </c>
      <c r="CQ108" s="539">
        <f t="shared" si="278"/>
        <v>1</v>
      </c>
      <c r="CR108" s="539">
        <f t="shared" si="279"/>
        <v>1</v>
      </c>
      <c r="CS108" s="539">
        <f t="shared" si="280"/>
        <v>1</v>
      </c>
      <c r="CT108" s="540">
        <f t="shared" si="281"/>
        <v>1</v>
      </c>
      <c r="CU108" s="540">
        <f t="shared" si="282"/>
        <v>1</v>
      </c>
      <c r="CV108" s="540">
        <f t="shared" si="283"/>
        <v>1</v>
      </c>
      <c r="CW108" s="539">
        <f t="shared" si="284"/>
        <v>1</v>
      </c>
      <c r="CX108" s="539">
        <f t="shared" si="285"/>
        <v>1</v>
      </c>
      <c r="CY108" s="539">
        <f t="shared" si="286"/>
        <v>1</v>
      </c>
      <c r="CZ108" s="539">
        <f t="shared" si="287"/>
        <v>1</v>
      </c>
      <c r="DA108" s="539" t="str">
        <f t="shared" si="288"/>
        <v/>
      </c>
      <c r="DB108" s="538" t="str">
        <f t="shared" si="289"/>
        <v/>
      </c>
      <c r="DC108" s="537" t="str">
        <f t="shared" si="290"/>
        <v/>
      </c>
      <c r="DD108" s="641">
        <f t="shared" si="291"/>
        <v>10</v>
      </c>
      <c r="DE108" s="95">
        <f t="shared" si="292"/>
        <v>10</v>
      </c>
      <c r="DF108" s="95">
        <f t="shared" si="293"/>
        <v>10</v>
      </c>
      <c r="DG108" s="95">
        <f t="shared" si="294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187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5"/>
        <v/>
      </c>
      <c r="CA109" s="586" t="str">
        <f t="shared" si="296"/>
        <v/>
      </c>
      <c r="CB109" s="586" t="str">
        <f t="shared" si="297"/>
        <v/>
      </c>
      <c r="CC109" s="586" t="str">
        <f t="shared" si="298"/>
        <v/>
      </c>
      <c r="CD109" s="1316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7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7" t="str">
        <f t="shared" si="316"/>
        <v/>
      </c>
      <c r="CG109" s="1317" t="str">
        <f t="shared" si="316"/>
        <v/>
      </c>
      <c r="CH109" s="1318" t="str">
        <f t="shared" si="316"/>
        <v/>
      </c>
      <c r="CI109" s="1318" t="str">
        <f t="shared" si="316"/>
        <v/>
      </c>
      <c r="CJ109" s="1317" t="str">
        <f t="shared" si="316"/>
        <v/>
      </c>
      <c r="CK109" s="1317" t="str">
        <f t="shared" si="316"/>
        <v/>
      </c>
      <c r="CL109" s="1317" t="str">
        <f t="shared" si="316"/>
        <v/>
      </c>
      <c r="CM109" s="1316" t="str">
        <f t="shared" si="316"/>
        <v/>
      </c>
      <c r="CN109" s="538" t="str">
        <f t="shared" si="275"/>
        <v/>
      </c>
      <c r="CO109" s="539" t="str">
        <f t="shared" si="276"/>
        <v/>
      </c>
      <c r="CP109" s="539" t="str">
        <f t="shared" si="277"/>
        <v/>
      </c>
      <c r="CQ109" s="539" t="str">
        <f t="shared" si="278"/>
        <v/>
      </c>
      <c r="CR109" s="539" t="str">
        <f t="shared" si="279"/>
        <v/>
      </c>
      <c r="CS109" s="539" t="str">
        <f t="shared" si="280"/>
        <v/>
      </c>
      <c r="CT109" s="540" t="str">
        <f t="shared" si="281"/>
        <v/>
      </c>
      <c r="CU109" s="540">
        <f t="shared" si="282"/>
        <v>0</v>
      </c>
      <c r="CV109" s="540">
        <f t="shared" si="283"/>
        <v>0</v>
      </c>
      <c r="CW109" s="539" t="str">
        <f t="shared" si="284"/>
        <v/>
      </c>
      <c r="CX109" s="539" t="str">
        <f t="shared" si="285"/>
        <v/>
      </c>
      <c r="CY109" s="539" t="str">
        <f t="shared" si="286"/>
        <v/>
      </c>
      <c r="CZ109" s="539" t="str">
        <f t="shared" si="287"/>
        <v/>
      </c>
      <c r="DA109" s="539" t="str">
        <f t="shared" si="288"/>
        <v/>
      </c>
      <c r="DB109" s="538" t="str">
        <f t="shared" si="289"/>
        <v/>
      </c>
      <c r="DC109" s="537" t="str">
        <f t="shared" si="290"/>
        <v/>
      </c>
      <c r="DD109" s="641">
        <f t="shared" si="291"/>
        <v>2</v>
      </c>
      <c r="DE109" s="95">
        <f t="shared" si="292"/>
        <v>0</v>
      </c>
      <c r="DF109" s="95">
        <f t="shared" si="293"/>
        <v>0</v>
      </c>
      <c r="DG109" s="95">
        <f t="shared" si="294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212</v>
      </c>
      <c r="B110" s="609" t="str">
        <f t="shared" ref="B110:K110" si="317">IF(SUM(B96,B104)&gt;0,SUM(B97,B105)/SUM(B96,B104),"")</f>
        <v/>
      </c>
      <c r="C110" s="609" t="str">
        <f t="shared" si="317"/>
        <v/>
      </c>
      <c r="D110" s="609" t="str">
        <f t="shared" si="317"/>
        <v/>
      </c>
      <c r="E110" s="609" t="str">
        <f t="shared" si="317"/>
        <v/>
      </c>
      <c r="F110" s="609">
        <f t="shared" si="317"/>
        <v>0</v>
      </c>
      <c r="G110" s="609">
        <f t="shared" si="317"/>
        <v>0</v>
      </c>
      <c r="H110" s="609" t="str">
        <f t="shared" si="317"/>
        <v/>
      </c>
      <c r="I110" s="609" t="str">
        <f t="shared" si="317"/>
        <v/>
      </c>
      <c r="J110" s="609" t="str">
        <f t="shared" si="317"/>
        <v/>
      </c>
      <c r="K110" s="609" t="str">
        <f t="shared" si="317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8">IF(SUM(T96,T104)&gt;0,SUM(T97,T105)/SUM(T96,T104),"")</f>
        <v/>
      </c>
      <c r="U110" s="609" t="str">
        <f t="shared" si="318"/>
        <v/>
      </c>
      <c r="V110" s="609" t="str">
        <f t="shared" si="318"/>
        <v/>
      </c>
      <c r="W110" s="609" t="str">
        <f t="shared" si="318"/>
        <v/>
      </c>
      <c r="X110" s="609" t="str">
        <f t="shared" si="318"/>
        <v/>
      </c>
      <c r="Y110" s="609">
        <f t="shared" si="318"/>
        <v>0</v>
      </c>
      <c r="Z110" s="609">
        <f t="shared" si="318"/>
        <v>0</v>
      </c>
      <c r="AA110" s="609" t="str">
        <f t="shared" si="318"/>
        <v/>
      </c>
      <c r="AB110" s="609" t="str">
        <f t="shared" si="318"/>
        <v/>
      </c>
      <c r="AC110" s="609">
        <f t="shared" si="318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9">IF(SUM(AL96,AL104)&gt;0,SUM(AL97,AL105)/SUM(AL96,AL104),"")</f>
        <v/>
      </c>
      <c r="AM110" s="609" t="str">
        <f t="shared" si="319"/>
        <v/>
      </c>
      <c r="AN110" s="609">
        <f t="shared" si="319"/>
        <v>0</v>
      </c>
      <c r="AO110" s="609" t="str">
        <f t="shared" si="319"/>
        <v/>
      </c>
      <c r="AP110" s="609">
        <f t="shared" si="319"/>
        <v>0</v>
      </c>
      <c r="AQ110" s="609" t="str">
        <f t="shared" si="319"/>
        <v/>
      </c>
      <c r="AR110" s="609" t="str">
        <f t="shared" si="319"/>
        <v/>
      </c>
      <c r="AS110" s="609" t="str">
        <f t="shared" si="319"/>
        <v/>
      </c>
      <c r="AT110" s="609" t="str">
        <f t="shared" si="319"/>
        <v/>
      </c>
      <c r="AU110" s="609" t="str">
        <f t="shared" si="319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20">IF(SUM(BD96,BD104)&gt;0,SUM(BD97,BD105)/SUM(BD96,BD104),"")</f>
        <v>0</v>
      </c>
      <c r="BE110" s="609">
        <f t="shared" si="320"/>
        <v>0</v>
      </c>
      <c r="BF110" s="609">
        <f t="shared" si="320"/>
        <v>0</v>
      </c>
      <c r="BG110" s="609">
        <f t="shared" si="320"/>
        <v>0</v>
      </c>
      <c r="BH110" s="609">
        <f t="shared" si="320"/>
        <v>0</v>
      </c>
      <c r="BI110" s="609">
        <f t="shared" si="320"/>
        <v>0</v>
      </c>
      <c r="BJ110" s="609">
        <f t="shared" si="320"/>
        <v>0</v>
      </c>
      <c r="BK110" s="609">
        <f t="shared" si="320"/>
        <v>0</v>
      </c>
      <c r="BL110" s="609">
        <f t="shared" si="320"/>
        <v>0</v>
      </c>
      <c r="BM110" s="609">
        <f t="shared" si="320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5"/>
        <v/>
      </c>
      <c r="CA110" s="611">
        <f t="shared" si="296"/>
        <v>0</v>
      </c>
      <c r="CB110" s="611" t="str">
        <f t="shared" si="297"/>
        <v/>
      </c>
      <c r="CC110" s="611">
        <f t="shared" si="298"/>
        <v>0</v>
      </c>
      <c r="CD110" s="1319" t="str">
        <f t="shared" si="315"/>
        <v/>
      </c>
      <c r="CE110" s="1320" t="str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0" t="str">
        <f t="shared" si="321"/>
        <v/>
      </c>
      <c r="CG110" s="1320" t="str">
        <f t="shared" si="321"/>
        <v/>
      </c>
      <c r="CH110" s="1321">
        <f t="shared" si="321"/>
        <v>0</v>
      </c>
      <c r="CI110" s="1321">
        <f t="shared" si="321"/>
        <v>0</v>
      </c>
      <c r="CJ110" s="1320" t="str">
        <f t="shared" si="321"/>
        <v/>
      </c>
      <c r="CK110" s="1320" t="str">
        <f t="shared" si="321"/>
        <v/>
      </c>
      <c r="CL110" s="1320" t="str">
        <f t="shared" si="321"/>
        <v/>
      </c>
      <c r="CM110" s="1319" t="str">
        <f t="shared" si="321"/>
        <v/>
      </c>
      <c r="CN110" s="526" t="str">
        <f t="shared" si="275"/>
        <v/>
      </c>
      <c r="CO110" s="527" t="str">
        <f t="shared" si="276"/>
        <v/>
      </c>
      <c r="CP110" s="527" t="str">
        <f t="shared" si="277"/>
        <v/>
      </c>
      <c r="CQ110" s="527">
        <f t="shared" si="278"/>
        <v>0</v>
      </c>
      <c r="CR110" s="527">
        <f t="shared" si="279"/>
        <v>0</v>
      </c>
      <c r="CS110" s="527">
        <f t="shared" si="280"/>
        <v>0</v>
      </c>
      <c r="CT110" s="528">
        <f t="shared" si="281"/>
        <v>0</v>
      </c>
      <c r="CU110" s="528">
        <f t="shared" si="282"/>
        <v>0</v>
      </c>
      <c r="CV110" s="528">
        <f t="shared" si="283"/>
        <v>0</v>
      </c>
      <c r="CW110" s="527">
        <f t="shared" si="284"/>
        <v>0</v>
      </c>
      <c r="CX110" s="527">
        <f t="shared" si="285"/>
        <v>0</v>
      </c>
      <c r="CY110" s="527">
        <f t="shared" si="286"/>
        <v>0</v>
      </c>
      <c r="CZ110" s="527">
        <f t="shared" si="287"/>
        <v>0</v>
      </c>
      <c r="DA110" s="527" t="str">
        <f t="shared" si="288"/>
        <v/>
      </c>
      <c r="DB110" s="526" t="str">
        <f t="shared" si="289"/>
        <v/>
      </c>
      <c r="DC110" s="525" t="str">
        <f t="shared" si="290"/>
        <v/>
      </c>
      <c r="DD110" s="641">
        <f t="shared" si="291"/>
        <v>2</v>
      </c>
      <c r="DE110" s="95">
        <f t="shared" si="292"/>
        <v>3</v>
      </c>
      <c r="DF110" s="95">
        <f t="shared" si="293"/>
        <v>2</v>
      </c>
      <c r="DG110" s="95">
        <f t="shared" si="294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196</v>
      </c>
      <c r="B111" s="614" t="str">
        <f t="shared" ref="B111:K111" si="322">IF(SUM(B96,B104)=0,"",SUM(B96,-B97*B100,-B101*B100,B104,-B105*B108,-B109*B108)*0.04)</f>
        <v/>
      </c>
      <c r="C111" s="614" t="str">
        <f t="shared" si="322"/>
        <v/>
      </c>
      <c r="D111" s="614" t="str">
        <f t="shared" si="322"/>
        <v/>
      </c>
      <c r="E111" s="614" t="str">
        <f t="shared" si="322"/>
        <v/>
      </c>
      <c r="F111" s="614">
        <f t="shared" si="322"/>
        <v>18</v>
      </c>
      <c r="G111" s="614">
        <f t="shared" si="322"/>
        <v>10.8</v>
      </c>
      <c r="H111" s="614" t="str">
        <f t="shared" si="322"/>
        <v/>
      </c>
      <c r="I111" s="614" t="str">
        <f t="shared" si="322"/>
        <v/>
      </c>
      <c r="J111" s="614" t="str">
        <f t="shared" si="322"/>
        <v/>
      </c>
      <c r="K111" s="614" t="str">
        <f t="shared" si="322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3">IF(SUM(T96,T104)=0,"",SUM(T96,-T97*T100,-T101*T100,T104,-T105*T108,-T109*T108)*0.04)</f>
        <v/>
      </c>
      <c r="U111" s="614" t="str">
        <f t="shared" si="323"/>
        <v/>
      </c>
      <c r="V111" s="614" t="str">
        <f t="shared" si="323"/>
        <v/>
      </c>
      <c r="W111" s="614" t="str">
        <f t="shared" si="323"/>
        <v/>
      </c>
      <c r="X111" s="614" t="str">
        <f t="shared" si="323"/>
        <v/>
      </c>
      <c r="Y111" s="614">
        <f t="shared" si="323"/>
        <v>10.8</v>
      </c>
      <c r="Z111" s="614">
        <f t="shared" si="323"/>
        <v>2.8000000000000003</v>
      </c>
      <c r="AA111" s="614" t="str">
        <f t="shared" si="323"/>
        <v/>
      </c>
      <c r="AB111" s="614" t="str">
        <f t="shared" si="323"/>
        <v/>
      </c>
      <c r="AC111" s="614">
        <f t="shared" si="323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4">IF(SUM(AL96,AL104)=0,"",SUM(AL96,-AL97*AL100,-AL101*AL100,AL104,-AL105*AL108,-AL109*AL108)*0.04)</f>
        <v/>
      </c>
      <c r="AM111" s="614" t="str">
        <f t="shared" si="324"/>
        <v/>
      </c>
      <c r="AN111" s="614">
        <f t="shared" si="324"/>
        <v>8.4</v>
      </c>
      <c r="AO111" s="614" t="str">
        <f t="shared" si="324"/>
        <v/>
      </c>
      <c r="AP111" s="614">
        <f t="shared" si="324"/>
        <v>14.32</v>
      </c>
      <c r="AQ111" s="614" t="str">
        <f t="shared" si="324"/>
        <v/>
      </c>
      <c r="AR111" s="614" t="str">
        <f t="shared" si="324"/>
        <v/>
      </c>
      <c r="AS111" s="614" t="str">
        <f t="shared" si="324"/>
        <v/>
      </c>
      <c r="AT111" s="614" t="str">
        <f t="shared" si="324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5">IF(SUM(BD96,BD104)=0,"",SUM(BD96,-BD97*BD100,-BD101*BD100,BD104,-BD105*BD108,-BD109*BD108)*0.04)</f>
        <v>86.327999999999989</v>
      </c>
      <c r="BE111" s="614">
        <f t="shared" si="325"/>
        <v>51</v>
      </c>
      <c r="BF111" s="614">
        <f t="shared" si="325"/>
        <v>63.143999999999998</v>
      </c>
      <c r="BG111" s="614">
        <f t="shared" si="325"/>
        <v>25.8</v>
      </c>
      <c r="BH111" s="614">
        <f t="shared" si="325"/>
        <v>64.8</v>
      </c>
      <c r="BI111" s="614">
        <f t="shared" si="325"/>
        <v>46.08</v>
      </c>
      <c r="BJ111" s="614">
        <f t="shared" si="325"/>
        <v>82</v>
      </c>
      <c r="BK111" s="614">
        <f t="shared" si="325"/>
        <v>57.6</v>
      </c>
      <c r="BL111" s="614">
        <f t="shared" si="325"/>
        <v>54</v>
      </c>
      <c r="BM111" s="614">
        <f t="shared" si="325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5"/>
        <v/>
      </c>
      <c r="CA111" s="586">
        <f t="shared" si="296"/>
        <v>10.799999999999999</v>
      </c>
      <c r="CB111" s="586" t="str">
        <f t="shared" si="297"/>
        <v/>
      </c>
      <c r="CC111" s="586">
        <f t="shared" si="298"/>
        <v>55.552999999999997</v>
      </c>
      <c r="CD111" s="1319" t="str">
        <f t="shared" si="315"/>
        <v/>
      </c>
      <c r="CE111" s="1320" t="str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0" t="str">
        <f t="shared" si="326"/>
        <v/>
      </c>
      <c r="CG111" s="1320" t="str">
        <f t="shared" si="326"/>
        <v/>
      </c>
      <c r="CH111" s="1321">
        <f t="shared" si="326"/>
        <v>8.4</v>
      </c>
      <c r="CI111" s="1321">
        <f t="shared" si="326"/>
        <v>14.32</v>
      </c>
      <c r="CJ111" s="1320" t="str">
        <f t="shared" si="326"/>
        <v/>
      </c>
      <c r="CK111" s="1320" t="str">
        <f t="shared" si="326"/>
        <v/>
      </c>
      <c r="CL111" s="1320" t="str">
        <f t="shared" si="326"/>
        <v/>
      </c>
      <c r="CM111" s="1319" t="str">
        <f t="shared" si="326"/>
        <v/>
      </c>
      <c r="CN111" s="538" t="str">
        <f t="shared" si="275"/>
        <v/>
      </c>
      <c r="CO111" s="539" t="str">
        <f t="shared" si="276"/>
        <v/>
      </c>
      <c r="CP111" s="539" t="str">
        <f t="shared" si="277"/>
        <v/>
      </c>
      <c r="CQ111" s="539">
        <f t="shared" si="278"/>
        <v>14.4</v>
      </c>
      <c r="CR111" s="539">
        <f t="shared" si="279"/>
        <v>25.8</v>
      </c>
      <c r="CS111" s="539">
        <f t="shared" si="280"/>
        <v>46.08</v>
      </c>
      <c r="CT111" s="540">
        <f t="shared" si="281"/>
        <v>51</v>
      </c>
      <c r="CU111" s="540">
        <f t="shared" si="282"/>
        <v>54</v>
      </c>
      <c r="CV111" s="540">
        <f t="shared" si="283"/>
        <v>57.6</v>
      </c>
      <c r="CW111" s="539">
        <f t="shared" si="284"/>
        <v>63.143999999999998</v>
      </c>
      <c r="CX111" s="539">
        <f t="shared" si="285"/>
        <v>64.8</v>
      </c>
      <c r="CY111" s="539">
        <f t="shared" si="286"/>
        <v>82</v>
      </c>
      <c r="CZ111" s="539">
        <f t="shared" si="287"/>
        <v>86.327999999999989</v>
      </c>
      <c r="DA111" s="539" t="str">
        <f t="shared" si="288"/>
        <v/>
      </c>
      <c r="DB111" s="538" t="str">
        <f t="shared" si="289"/>
        <v/>
      </c>
      <c r="DC111" s="537" t="str">
        <f t="shared" si="290"/>
        <v/>
      </c>
      <c r="DD111" s="641">
        <f t="shared" si="291"/>
        <v>2</v>
      </c>
      <c r="DE111" s="95">
        <f t="shared" si="292"/>
        <v>3</v>
      </c>
      <c r="DF111" s="95">
        <f t="shared" si="293"/>
        <v>2</v>
      </c>
      <c r="DG111" s="95">
        <f t="shared" si="294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197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5"/>
        <v/>
      </c>
      <c r="CA112" s="586" t="str">
        <f t="shared" si="296"/>
        <v/>
      </c>
      <c r="CB112" s="586" t="str">
        <f t="shared" si="297"/>
        <v/>
      </c>
      <c r="CC112" s="586" t="str">
        <f t="shared" si="298"/>
        <v/>
      </c>
      <c r="CD112" s="1319" t="str">
        <f t="shared" si="315"/>
        <v/>
      </c>
      <c r="CE112" s="1320" t="str">
        <f t="shared" si="326"/>
        <v/>
      </c>
      <c r="CF112" s="1320" t="str">
        <f t="shared" si="326"/>
        <v/>
      </c>
      <c r="CG112" s="1320" t="str">
        <f t="shared" si="326"/>
        <v/>
      </c>
      <c r="CH112" s="1321" t="str">
        <f t="shared" si="326"/>
        <v/>
      </c>
      <c r="CI112" s="1321" t="str">
        <f t="shared" si="326"/>
        <v/>
      </c>
      <c r="CJ112" s="1320" t="str">
        <f t="shared" si="326"/>
        <v/>
      </c>
      <c r="CK112" s="1320" t="str">
        <f t="shared" si="326"/>
        <v/>
      </c>
      <c r="CL112" s="1320" t="str">
        <f t="shared" si="326"/>
        <v/>
      </c>
      <c r="CM112" s="1319" t="str">
        <f t="shared" si="326"/>
        <v/>
      </c>
      <c r="CN112" s="538" t="str">
        <f t="shared" si="275"/>
        <v/>
      </c>
      <c r="CO112" s="539" t="str">
        <f t="shared" si="276"/>
        <v/>
      </c>
      <c r="CP112" s="539" t="str">
        <f t="shared" si="277"/>
        <v/>
      </c>
      <c r="CQ112" s="539" t="str">
        <f t="shared" si="278"/>
        <v/>
      </c>
      <c r="CR112" s="539" t="str">
        <f t="shared" si="279"/>
        <v/>
      </c>
      <c r="CS112" s="539" t="str">
        <f t="shared" si="280"/>
        <v/>
      </c>
      <c r="CT112" s="540" t="str">
        <f t="shared" si="281"/>
        <v/>
      </c>
      <c r="CU112" s="540" t="str">
        <f t="shared" si="282"/>
        <v/>
      </c>
      <c r="CV112" s="540" t="str">
        <f t="shared" si="283"/>
        <v/>
      </c>
      <c r="CW112" s="539" t="str">
        <f t="shared" si="284"/>
        <v/>
      </c>
      <c r="CX112" s="539" t="str">
        <f t="shared" si="285"/>
        <v/>
      </c>
      <c r="CY112" s="539" t="str">
        <f t="shared" si="286"/>
        <v/>
      </c>
      <c r="CZ112" s="539" t="str">
        <f t="shared" si="287"/>
        <v/>
      </c>
      <c r="DA112" s="539" t="str">
        <f t="shared" si="288"/>
        <v/>
      </c>
      <c r="DB112" s="538" t="str">
        <f t="shared" si="289"/>
        <v/>
      </c>
      <c r="DC112" s="537" t="str">
        <f t="shared" si="290"/>
        <v/>
      </c>
      <c r="DD112" s="641">
        <f t="shared" si="291"/>
        <v>0</v>
      </c>
      <c r="DE112" s="95">
        <f t="shared" si="292"/>
        <v>0</v>
      </c>
      <c r="DF112" s="95">
        <f t="shared" si="293"/>
        <v>0</v>
      </c>
      <c r="DG112" s="95">
        <f t="shared" si="294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198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5"/>
        <v/>
      </c>
      <c r="CA113" s="586" t="str">
        <f t="shared" si="296"/>
        <v/>
      </c>
      <c r="CB113" s="586" t="str">
        <f t="shared" si="297"/>
        <v/>
      </c>
      <c r="CC113" s="586" t="str">
        <f t="shared" si="298"/>
        <v/>
      </c>
      <c r="CD113" s="1319" t="str">
        <f t="shared" si="315"/>
        <v/>
      </c>
      <c r="CE113" s="1320" t="str">
        <f t="shared" si="326"/>
        <v/>
      </c>
      <c r="CF113" s="1320" t="str">
        <f t="shared" si="326"/>
        <v/>
      </c>
      <c r="CG113" s="1320" t="str">
        <f t="shared" si="326"/>
        <v/>
      </c>
      <c r="CH113" s="1321" t="str">
        <f t="shared" si="326"/>
        <v/>
      </c>
      <c r="CI113" s="1321" t="str">
        <f t="shared" si="326"/>
        <v/>
      </c>
      <c r="CJ113" s="1320" t="str">
        <f t="shared" si="326"/>
        <v/>
      </c>
      <c r="CK113" s="1320" t="str">
        <f t="shared" si="326"/>
        <v/>
      </c>
      <c r="CL113" s="1320" t="str">
        <f t="shared" si="326"/>
        <v/>
      </c>
      <c r="CM113" s="1319" t="str">
        <f t="shared" si="326"/>
        <v/>
      </c>
      <c r="CN113" s="538" t="str">
        <f t="shared" si="275"/>
        <v/>
      </c>
      <c r="CO113" s="539" t="str">
        <f t="shared" si="276"/>
        <v/>
      </c>
      <c r="CP113" s="539" t="str">
        <f t="shared" si="277"/>
        <v/>
      </c>
      <c r="CQ113" s="539" t="str">
        <f t="shared" si="278"/>
        <v/>
      </c>
      <c r="CR113" s="539" t="str">
        <f t="shared" si="279"/>
        <v/>
      </c>
      <c r="CS113" s="539" t="str">
        <f t="shared" si="280"/>
        <v/>
      </c>
      <c r="CT113" s="540" t="str">
        <f t="shared" si="281"/>
        <v/>
      </c>
      <c r="CU113" s="540" t="str">
        <f t="shared" si="282"/>
        <v/>
      </c>
      <c r="CV113" s="540" t="str">
        <f t="shared" si="283"/>
        <v/>
      </c>
      <c r="CW113" s="539" t="str">
        <f t="shared" si="284"/>
        <v/>
      </c>
      <c r="CX113" s="539" t="str">
        <f t="shared" si="285"/>
        <v/>
      </c>
      <c r="CY113" s="539" t="str">
        <f t="shared" si="286"/>
        <v/>
      </c>
      <c r="CZ113" s="539" t="str">
        <f t="shared" si="287"/>
        <v/>
      </c>
      <c r="DA113" s="539" t="str">
        <f t="shared" si="288"/>
        <v/>
      </c>
      <c r="DB113" s="538" t="str">
        <f t="shared" si="289"/>
        <v/>
      </c>
      <c r="DC113" s="537" t="str">
        <f t="shared" si="290"/>
        <v/>
      </c>
      <c r="DD113" s="641">
        <f t="shared" si="291"/>
        <v>0</v>
      </c>
      <c r="DE113" s="95">
        <f t="shared" si="292"/>
        <v>0</v>
      </c>
      <c r="DF113" s="95">
        <f t="shared" si="293"/>
        <v>0</v>
      </c>
      <c r="DG113" s="95">
        <f t="shared" si="294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200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5"/>
        <v/>
      </c>
      <c r="CA114" s="586" t="str">
        <f t="shared" si="296"/>
        <v/>
      </c>
      <c r="CB114" s="586" t="str">
        <f t="shared" si="297"/>
        <v/>
      </c>
      <c r="CC114" s="586" t="str">
        <f t="shared" si="298"/>
        <v/>
      </c>
      <c r="CD114" s="1319" t="str">
        <f t="shared" si="315"/>
        <v/>
      </c>
      <c r="CE114" s="1320" t="str">
        <f t="shared" si="326"/>
        <v/>
      </c>
      <c r="CF114" s="1320" t="str">
        <f t="shared" si="326"/>
        <v/>
      </c>
      <c r="CG114" s="1320" t="str">
        <f t="shared" si="326"/>
        <v/>
      </c>
      <c r="CH114" s="1321" t="str">
        <f t="shared" si="326"/>
        <v/>
      </c>
      <c r="CI114" s="1321" t="str">
        <f t="shared" si="326"/>
        <v/>
      </c>
      <c r="CJ114" s="1320" t="str">
        <f t="shared" si="326"/>
        <v/>
      </c>
      <c r="CK114" s="1320" t="str">
        <f t="shared" si="326"/>
        <v/>
      </c>
      <c r="CL114" s="1320" t="str">
        <f t="shared" si="326"/>
        <v/>
      </c>
      <c r="CM114" s="1319" t="str">
        <f t="shared" si="326"/>
        <v/>
      </c>
      <c r="CN114" s="538" t="str">
        <f t="shared" si="275"/>
        <v/>
      </c>
      <c r="CO114" s="539" t="str">
        <f t="shared" si="276"/>
        <v/>
      </c>
      <c r="CP114" s="539" t="str">
        <f t="shared" si="277"/>
        <v/>
      </c>
      <c r="CQ114" s="539" t="str">
        <f t="shared" si="278"/>
        <v/>
      </c>
      <c r="CR114" s="539" t="str">
        <f t="shared" si="279"/>
        <v/>
      </c>
      <c r="CS114" s="539" t="str">
        <f t="shared" si="280"/>
        <v/>
      </c>
      <c r="CT114" s="540" t="str">
        <f t="shared" si="281"/>
        <v/>
      </c>
      <c r="CU114" s="540" t="str">
        <f t="shared" si="282"/>
        <v/>
      </c>
      <c r="CV114" s="540" t="str">
        <f t="shared" si="283"/>
        <v/>
      </c>
      <c r="CW114" s="539" t="str">
        <f t="shared" si="284"/>
        <v/>
      </c>
      <c r="CX114" s="539" t="str">
        <f t="shared" si="285"/>
        <v/>
      </c>
      <c r="CY114" s="539" t="str">
        <f t="shared" si="286"/>
        <v/>
      </c>
      <c r="CZ114" s="539" t="str">
        <f t="shared" si="287"/>
        <v/>
      </c>
      <c r="DA114" s="539" t="str">
        <f t="shared" si="288"/>
        <v/>
      </c>
      <c r="DB114" s="538" t="str">
        <f t="shared" si="289"/>
        <v/>
      </c>
      <c r="DC114" s="537" t="str">
        <f t="shared" si="290"/>
        <v/>
      </c>
      <c r="DD114" s="641">
        <f t="shared" si="291"/>
        <v>0</v>
      </c>
      <c r="DE114" s="95">
        <f t="shared" si="292"/>
        <v>0</v>
      </c>
      <c r="DF114" s="95">
        <f t="shared" si="293"/>
        <v>0</v>
      </c>
      <c r="DG114" s="95">
        <f t="shared" si="294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202</v>
      </c>
      <c r="B115" s="618" t="str">
        <f t="shared" ref="B115:K115" si="327">IF(B113="","",B113*B114)</f>
        <v/>
      </c>
      <c r="C115" s="618" t="str">
        <f t="shared" si="327"/>
        <v/>
      </c>
      <c r="D115" s="618" t="str">
        <f t="shared" si="327"/>
        <v/>
      </c>
      <c r="E115" s="618" t="str">
        <f t="shared" si="327"/>
        <v/>
      </c>
      <c r="F115" s="618" t="str">
        <f t="shared" si="327"/>
        <v/>
      </c>
      <c r="G115" s="618" t="str">
        <f t="shared" si="327"/>
        <v/>
      </c>
      <c r="H115" s="618" t="str">
        <f t="shared" si="327"/>
        <v/>
      </c>
      <c r="I115" s="618" t="str">
        <f t="shared" si="327"/>
        <v/>
      </c>
      <c r="J115" s="618" t="str">
        <f t="shared" si="327"/>
        <v/>
      </c>
      <c r="K115" s="618" t="str">
        <f t="shared" si="327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8">IF(T113="","",T113*T114)</f>
        <v/>
      </c>
      <c r="U115" s="618" t="str">
        <f t="shared" si="328"/>
        <v/>
      </c>
      <c r="V115" s="618" t="str">
        <f t="shared" si="328"/>
        <v/>
      </c>
      <c r="W115" s="618" t="str">
        <f t="shared" si="328"/>
        <v/>
      </c>
      <c r="X115" s="618" t="str">
        <f t="shared" si="328"/>
        <v/>
      </c>
      <c r="Y115" s="618" t="str">
        <f t="shared" si="328"/>
        <v/>
      </c>
      <c r="Z115" s="618" t="str">
        <f t="shared" si="328"/>
        <v/>
      </c>
      <c r="AA115" s="618" t="str">
        <f t="shared" si="328"/>
        <v/>
      </c>
      <c r="AB115" s="618" t="str">
        <f t="shared" si="328"/>
        <v/>
      </c>
      <c r="AC115" s="618" t="str">
        <f t="shared" si="328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9">IF(AL113="","",AL113*AL114)</f>
        <v/>
      </c>
      <c r="AM115" s="618" t="str">
        <f t="shared" si="329"/>
        <v/>
      </c>
      <c r="AN115" s="618" t="str">
        <f t="shared" si="329"/>
        <v/>
      </c>
      <c r="AO115" s="618" t="str">
        <f t="shared" si="329"/>
        <v/>
      </c>
      <c r="AP115" s="618" t="str">
        <f t="shared" si="329"/>
        <v/>
      </c>
      <c r="AQ115" s="618" t="str">
        <f t="shared" si="329"/>
        <v/>
      </c>
      <c r="AR115" s="618" t="str">
        <f t="shared" si="329"/>
        <v/>
      </c>
      <c r="AS115" s="618" t="str">
        <f t="shared" si="329"/>
        <v/>
      </c>
      <c r="AT115" s="618" t="str">
        <f t="shared" si="329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30">IF(BD113="","",BD113*BD114)</f>
        <v/>
      </c>
      <c r="BE115" s="618" t="str">
        <f t="shared" si="330"/>
        <v/>
      </c>
      <c r="BF115" s="618" t="str">
        <f t="shared" si="330"/>
        <v/>
      </c>
      <c r="BG115" s="618" t="str">
        <f t="shared" si="330"/>
        <v/>
      </c>
      <c r="BH115" s="618" t="str">
        <f t="shared" si="330"/>
        <v/>
      </c>
      <c r="BI115" s="618" t="str">
        <f t="shared" si="330"/>
        <v/>
      </c>
      <c r="BJ115" s="618" t="str">
        <f t="shared" si="330"/>
        <v/>
      </c>
      <c r="BK115" s="618" t="str">
        <f t="shared" si="330"/>
        <v/>
      </c>
      <c r="BL115" s="618" t="str">
        <f t="shared" si="330"/>
        <v/>
      </c>
      <c r="BM115" s="618" t="str">
        <f t="shared" si="330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5"/>
        <v/>
      </c>
      <c r="CA115" s="586" t="str">
        <f t="shared" si="296"/>
        <v/>
      </c>
      <c r="CB115" s="586" t="str">
        <f t="shared" si="297"/>
        <v/>
      </c>
      <c r="CC115" s="586" t="str">
        <f t="shared" si="298"/>
        <v/>
      </c>
      <c r="CD115" s="1319" t="str">
        <f t="shared" si="315"/>
        <v/>
      </c>
      <c r="CE115" s="1320" t="str">
        <f t="shared" si="326"/>
        <v/>
      </c>
      <c r="CF115" s="1320" t="str">
        <f t="shared" si="326"/>
        <v/>
      </c>
      <c r="CG115" s="1320" t="str">
        <f t="shared" si="326"/>
        <v/>
      </c>
      <c r="CH115" s="1321" t="str">
        <f t="shared" si="326"/>
        <v/>
      </c>
      <c r="CI115" s="1321" t="str">
        <f t="shared" si="326"/>
        <v/>
      </c>
      <c r="CJ115" s="1320" t="str">
        <f t="shared" si="326"/>
        <v/>
      </c>
      <c r="CK115" s="1320" t="str">
        <f t="shared" si="326"/>
        <v/>
      </c>
      <c r="CL115" s="1320" t="str">
        <f t="shared" si="326"/>
        <v/>
      </c>
      <c r="CM115" s="1319" t="str">
        <f t="shared" si="326"/>
        <v/>
      </c>
      <c r="CN115" s="538" t="str">
        <f t="shared" si="275"/>
        <v/>
      </c>
      <c r="CO115" s="539" t="str">
        <f t="shared" si="276"/>
        <v/>
      </c>
      <c r="CP115" s="539" t="str">
        <f t="shared" si="277"/>
        <v/>
      </c>
      <c r="CQ115" s="539" t="str">
        <f t="shared" si="278"/>
        <v/>
      </c>
      <c r="CR115" s="539" t="str">
        <f t="shared" si="279"/>
        <v/>
      </c>
      <c r="CS115" s="539" t="str">
        <f t="shared" si="280"/>
        <v/>
      </c>
      <c r="CT115" s="540" t="str">
        <f t="shared" si="281"/>
        <v/>
      </c>
      <c r="CU115" s="540" t="str">
        <f t="shared" si="282"/>
        <v/>
      </c>
      <c r="CV115" s="540" t="str">
        <f t="shared" si="283"/>
        <v/>
      </c>
      <c r="CW115" s="539" t="str">
        <f t="shared" si="284"/>
        <v/>
      </c>
      <c r="CX115" s="539" t="str">
        <f t="shared" si="285"/>
        <v/>
      </c>
      <c r="CY115" s="539" t="str">
        <f t="shared" si="286"/>
        <v/>
      </c>
      <c r="CZ115" s="539" t="str">
        <f t="shared" si="287"/>
        <v/>
      </c>
      <c r="DA115" s="539" t="str">
        <f t="shared" si="288"/>
        <v/>
      </c>
      <c r="DB115" s="538" t="str">
        <f t="shared" si="289"/>
        <v/>
      </c>
      <c r="DC115" s="537" t="str">
        <f t="shared" si="290"/>
        <v/>
      </c>
      <c r="DD115" s="641">
        <f t="shared" si="291"/>
        <v>0</v>
      </c>
      <c r="DE115" s="95">
        <f t="shared" si="292"/>
        <v>0</v>
      </c>
      <c r="DF115" s="95">
        <f t="shared" si="293"/>
        <v>0</v>
      </c>
      <c r="DG115" s="95">
        <f t="shared" si="294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213</v>
      </c>
      <c r="B116" s="621" t="str">
        <f t="shared" ref="B116:K116" si="331">IF(B111="","",(SUM(B96)*2680-SUM(B97,B101)*(2680-1256*(B100=0))-SUM(B112,B113)*32930)/$G$1/365/B$46)</f>
        <v/>
      </c>
      <c r="C116" s="621" t="str">
        <f t="shared" si="331"/>
        <v/>
      </c>
      <c r="D116" s="621" t="str">
        <f t="shared" si="331"/>
        <v/>
      </c>
      <c r="E116" s="621" t="str">
        <f t="shared" si="331"/>
        <v/>
      </c>
      <c r="F116" s="621">
        <f t="shared" si="331"/>
        <v>4.2910514143390859E-2</v>
      </c>
      <c r="G116" s="621">
        <f t="shared" si="331"/>
        <v>2.8160024906600252E-2</v>
      </c>
      <c r="H116" s="621" t="str">
        <f t="shared" si="331"/>
        <v/>
      </c>
      <c r="I116" s="621" t="str">
        <f t="shared" si="331"/>
        <v/>
      </c>
      <c r="J116" s="621" t="str">
        <f t="shared" si="331"/>
        <v/>
      </c>
      <c r="K116" s="621" t="str">
        <f t="shared" si="331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2">IF(T111="","",(SUM(T96)*2680-SUM(T97,T101)*(2680-1256*(T100=0))-SUM(T112,T113)*32930)/$G$1/365/T$46)</f>
        <v/>
      </c>
      <c r="U116" s="621" t="str">
        <f t="shared" si="332"/>
        <v/>
      </c>
      <c r="V116" s="621" t="str">
        <f t="shared" si="332"/>
        <v/>
      </c>
      <c r="W116" s="621" t="str">
        <f t="shared" si="332"/>
        <v/>
      </c>
      <c r="X116" s="621" t="str">
        <f t="shared" si="332"/>
        <v/>
      </c>
      <c r="Y116" s="621">
        <f t="shared" si="332"/>
        <v>2.2528019925280203E-2</v>
      </c>
      <c r="Z116" s="621">
        <f t="shared" si="332"/>
        <v>6.4895530648955303E-3</v>
      </c>
      <c r="AA116" s="621" t="str">
        <f t="shared" si="332"/>
        <v/>
      </c>
      <c r="AB116" s="621" t="str">
        <f t="shared" si="332"/>
        <v/>
      </c>
      <c r="AC116" s="621">
        <f t="shared" si="332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3">IF(AL111="","",(SUM(AL96)*2680-SUM(AL97,AL101)*(2680-1256*(AL100=0))-SUM(AL112,AL113)*32930)/$G$1/365/AL$46)</f>
        <v/>
      </c>
      <c r="AM116" s="621" t="str">
        <f t="shared" si="333"/>
        <v/>
      </c>
      <c r="AN116" s="621">
        <f t="shared" si="333"/>
        <v>3.5043586550435865E-2</v>
      </c>
      <c r="AO116" s="621" t="str">
        <f t="shared" si="333"/>
        <v/>
      </c>
      <c r="AP116" s="621">
        <f t="shared" si="333"/>
        <v>2.9870485678704855E-2</v>
      </c>
      <c r="AQ116" s="621" t="str">
        <f t="shared" si="333"/>
        <v/>
      </c>
      <c r="AR116" s="621" t="str">
        <f t="shared" si="333"/>
        <v/>
      </c>
      <c r="AS116" s="621" t="str">
        <f t="shared" si="333"/>
        <v/>
      </c>
      <c r="AT116" s="621" t="str">
        <f t="shared" si="333"/>
        <v/>
      </c>
      <c r="AU116" s="621" t="str">
        <f t="shared" si="333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4">IF(BD111="","",(SUM(BD96)*2680-SUM(BD97,BD101)*(2680-1256*(BD100=0))-SUM(BD112,BD113)*32930)/$G$1/365/BD$46)</f>
        <v>0.1500616438356164</v>
      </c>
      <c r="BE116" s="621">
        <f t="shared" si="334"/>
        <v>0.13297789539227897</v>
      </c>
      <c r="BF116" s="621">
        <f t="shared" si="334"/>
        <v>0.10976151930261518</v>
      </c>
      <c r="BG116" s="621">
        <f t="shared" si="334"/>
        <v>7.6881337840241953E-2</v>
      </c>
      <c r="BH116" s="621">
        <f t="shared" si="334"/>
        <v>0.12288010868334655</v>
      </c>
      <c r="BI116" s="621">
        <f t="shared" si="334"/>
        <v>9.6119551681195514E-2</v>
      </c>
      <c r="BJ116" s="621">
        <f t="shared" si="334"/>
        <v>0.21380759651307599</v>
      </c>
      <c r="BK116" s="621">
        <f t="shared" si="334"/>
        <v>0.17164205657356343</v>
      </c>
      <c r="BL116" s="621">
        <f t="shared" si="334"/>
        <v>0.10240009056945545</v>
      </c>
      <c r="BM116" s="621">
        <f t="shared" si="334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5">IF(BV111="","",(SUM(BV96)*2680-SUM(BV97,BV101)*(2680-1256*(BV100=0))-SUM(BV112,BV113)*32930)/$G$1/365/BV$46)</f>
        <v>1.4080012453300126E-2</v>
      </c>
      <c r="BW116" s="621">
        <f t="shared" si="335"/>
        <v>8.3437110834371116E-3</v>
      </c>
      <c r="BX116" s="621">
        <f t="shared" si="335"/>
        <v>1.3037048567870486E-2</v>
      </c>
      <c r="BY116" s="621">
        <f t="shared" si="335"/>
        <v>8.5476684654766849E-2</v>
      </c>
      <c r="BZ116" s="586" t="str">
        <f t="shared" si="295"/>
        <v/>
      </c>
      <c r="CA116" s="611">
        <f t="shared" si="296"/>
        <v>2.2528019925280203E-2</v>
      </c>
      <c r="CB116" s="611" t="str">
        <f t="shared" si="297"/>
        <v/>
      </c>
      <c r="CC116" s="611">
        <f t="shared" si="298"/>
        <v>0.12034052548478917</v>
      </c>
      <c r="CD116" s="1319" t="str">
        <f t="shared" si="315"/>
        <v/>
      </c>
      <c r="CE116" s="1320" t="str">
        <f t="shared" si="326"/>
        <v/>
      </c>
      <c r="CF116" s="1320" t="str">
        <f t="shared" si="326"/>
        <v/>
      </c>
      <c r="CG116" s="1320" t="str">
        <f t="shared" si="326"/>
        <v/>
      </c>
      <c r="CH116" s="1321">
        <f t="shared" si="326"/>
        <v>2.9870485678704855E-2</v>
      </c>
      <c r="CI116" s="1321">
        <f t="shared" si="326"/>
        <v>3.5043586550435865E-2</v>
      </c>
      <c r="CJ116" s="1320" t="str">
        <f t="shared" si="326"/>
        <v/>
      </c>
      <c r="CK116" s="1320" t="str">
        <f t="shared" si="326"/>
        <v/>
      </c>
      <c r="CL116" s="1320" t="str">
        <f t="shared" si="326"/>
        <v/>
      </c>
      <c r="CM116" s="1319" t="str">
        <f t="shared" si="326"/>
        <v/>
      </c>
      <c r="CN116" s="526" t="str">
        <f t="shared" si="275"/>
        <v/>
      </c>
      <c r="CO116" s="527" t="str">
        <f t="shared" si="276"/>
        <v/>
      </c>
      <c r="CP116" s="527" t="str">
        <f t="shared" si="277"/>
        <v/>
      </c>
      <c r="CQ116" s="527">
        <f t="shared" si="278"/>
        <v>4.2910514143390859E-2</v>
      </c>
      <c r="CR116" s="527">
        <f t="shared" si="279"/>
        <v>7.6881337840241953E-2</v>
      </c>
      <c r="CS116" s="527">
        <f t="shared" si="280"/>
        <v>9.6119551681195514E-2</v>
      </c>
      <c r="CT116" s="528">
        <f t="shared" si="281"/>
        <v>0.10240009056945545</v>
      </c>
      <c r="CU116" s="528">
        <f t="shared" si="282"/>
        <v>0.10976151930261518</v>
      </c>
      <c r="CV116" s="528">
        <f t="shared" si="283"/>
        <v>0.12288010868334655</v>
      </c>
      <c r="CW116" s="527">
        <f t="shared" si="284"/>
        <v>0.13297789539227897</v>
      </c>
      <c r="CX116" s="527">
        <f t="shared" si="285"/>
        <v>0.1500616438356164</v>
      </c>
      <c r="CY116" s="527">
        <f t="shared" si="286"/>
        <v>0.17164205657356343</v>
      </c>
      <c r="CZ116" s="527">
        <f t="shared" si="287"/>
        <v>0.21380759651307599</v>
      </c>
      <c r="DA116" s="527" t="str">
        <f t="shared" si="288"/>
        <v/>
      </c>
      <c r="DB116" s="526" t="str">
        <f t="shared" si="289"/>
        <v/>
      </c>
      <c r="DC116" s="525" t="str">
        <f t="shared" si="290"/>
        <v/>
      </c>
      <c r="DD116" s="641">
        <f t="shared" si="291"/>
        <v>2</v>
      </c>
      <c r="DE116" s="95">
        <f t="shared" si="292"/>
        <v>3</v>
      </c>
      <c r="DF116" s="95">
        <f t="shared" si="293"/>
        <v>2</v>
      </c>
      <c r="DG116" s="95">
        <f t="shared" si="294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214</v>
      </c>
      <c r="B117" s="621" t="str">
        <f t="shared" ref="B117:K117" si="336">IF(B111="","",(SUM(B104)*2680-SUM(B105,B109)*(2680-1256*(B108=0)))/$G$1/365/B$46)</f>
        <v/>
      </c>
      <c r="C117" s="621" t="str">
        <f t="shared" si="336"/>
        <v/>
      </c>
      <c r="D117" s="621" t="str">
        <f t="shared" si="336"/>
        <v/>
      </c>
      <c r="E117" s="621" t="str">
        <f t="shared" si="336"/>
        <v/>
      </c>
      <c r="F117" s="621">
        <f t="shared" si="336"/>
        <v>1.0727628535847715E-2</v>
      </c>
      <c r="G117" s="621">
        <f t="shared" si="336"/>
        <v>0</v>
      </c>
      <c r="H117" s="621" t="str">
        <f t="shared" si="336"/>
        <v/>
      </c>
      <c r="I117" s="621" t="str">
        <f t="shared" si="336"/>
        <v/>
      </c>
      <c r="J117" s="621" t="str">
        <f t="shared" si="336"/>
        <v/>
      </c>
      <c r="K117" s="621" t="str">
        <f t="shared" si="336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7">IF(T111="","",(SUM(T104)*2680-SUM(T105,T109)*(2680-1256*(T108=0)))/$G$1/365/T$46)</f>
        <v/>
      </c>
      <c r="U117" s="621" t="str">
        <f t="shared" si="337"/>
        <v/>
      </c>
      <c r="V117" s="621" t="str">
        <f t="shared" si="337"/>
        <v/>
      </c>
      <c r="W117" s="621" t="str">
        <f t="shared" si="337"/>
        <v/>
      </c>
      <c r="X117" s="621" t="str">
        <f t="shared" si="337"/>
        <v/>
      </c>
      <c r="Y117" s="621">
        <f t="shared" si="337"/>
        <v>0</v>
      </c>
      <c r="Z117" s="621">
        <f t="shared" si="337"/>
        <v>0</v>
      </c>
      <c r="AA117" s="621" t="str">
        <f t="shared" si="337"/>
        <v/>
      </c>
      <c r="AB117" s="621" t="str">
        <f t="shared" si="337"/>
        <v/>
      </c>
      <c r="AC117" s="621">
        <f t="shared" si="337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8">IF(AL111="","",(SUM(AL104)*2680-SUM(AL105,AL109)*(2680-1256*(AL108=0)))/$G$1/365/AL$46)</f>
        <v/>
      </c>
      <c r="AM117" s="621" t="str">
        <f t="shared" si="338"/>
        <v/>
      </c>
      <c r="AN117" s="621">
        <f t="shared" si="338"/>
        <v>0</v>
      </c>
      <c r="AO117" s="621" t="str">
        <f t="shared" si="338"/>
        <v/>
      </c>
      <c r="AP117" s="621">
        <f t="shared" si="338"/>
        <v>0</v>
      </c>
      <c r="AQ117" s="621" t="str">
        <f t="shared" si="338"/>
        <v/>
      </c>
      <c r="AR117" s="621" t="str">
        <f t="shared" si="338"/>
        <v/>
      </c>
      <c r="AS117" s="621" t="str">
        <f t="shared" si="338"/>
        <v/>
      </c>
      <c r="AT117" s="621" t="str">
        <f t="shared" si="338"/>
        <v/>
      </c>
      <c r="AU117" s="621" t="str">
        <f t="shared" si="338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9">IF(BD111="","",(SUM(BD104)*2680-SUM(BD105,BD109)*(2680-1256*(BD108=0)))/$G$1/365/BD$46)</f>
        <v>0</v>
      </c>
      <c r="BE117" s="621">
        <f t="shared" si="339"/>
        <v>0</v>
      </c>
      <c r="BF117" s="621">
        <f t="shared" si="339"/>
        <v>0</v>
      </c>
      <c r="BG117" s="621">
        <f t="shared" si="339"/>
        <v>0</v>
      </c>
      <c r="BH117" s="621">
        <f t="shared" si="339"/>
        <v>0</v>
      </c>
      <c r="BI117" s="621">
        <f t="shared" si="339"/>
        <v>0</v>
      </c>
      <c r="BJ117" s="621">
        <f t="shared" si="339"/>
        <v>0</v>
      </c>
      <c r="BK117" s="621">
        <f t="shared" si="339"/>
        <v>0</v>
      </c>
      <c r="BL117" s="621">
        <f t="shared" si="339"/>
        <v>0</v>
      </c>
      <c r="BM117" s="621">
        <f t="shared" si="339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5"/>
        <v/>
      </c>
      <c r="CA117" s="611">
        <f t="shared" si="296"/>
        <v>0</v>
      </c>
      <c r="CB117" s="611" t="str">
        <f t="shared" si="297"/>
        <v/>
      </c>
      <c r="CC117" s="611">
        <f t="shared" si="298"/>
        <v>0</v>
      </c>
      <c r="CD117" s="1319" t="str">
        <f t="shared" si="315"/>
        <v/>
      </c>
      <c r="CE117" s="1320" t="str">
        <f t="shared" si="326"/>
        <v/>
      </c>
      <c r="CF117" s="1320" t="str">
        <f t="shared" si="326"/>
        <v/>
      </c>
      <c r="CG117" s="1320" t="str">
        <f t="shared" si="326"/>
        <v/>
      </c>
      <c r="CH117" s="1321">
        <f t="shared" si="326"/>
        <v>0</v>
      </c>
      <c r="CI117" s="1321">
        <f t="shared" si="326"/>
        <v>0</v>
      </c>
      <c r="CJ117" s="1320" t="str">
        <f t="shared" si="326"/>
        <v/>
      </c>
      <c r="CK117" s="1320" t="str">
        <f t="shared" si="326"/>
        <v/>
      </c>
      <c r="CL117" s="1320" t="str">
        <f t="shared" si="326"/>
        <v/>
      </c>
      <c r="CM117" s="1319" t="str">
        <f t="shared" si="326"/>
        <v/>
      </c>
      <c r="CN117" s="526" t="str">
        <f t="shared" si="275"/>
        <v/>
      </c>
      <c r="CO117" s="527" t="str">
        <f t="shared" si="276"/>
        <v/>
      </c>
      <c r="CP117" s="527" t="str">
        <f t="shared" si="277"/>
        <v/>
      </c>
      <c r="CQ117" s="527">
        <f t="shared" si="278"/>
        <v>0</v>
      </c>
      <c r="CR117" s="527">
        <f t="shared" si="279"/>
        <v>0</v>
      </c>
      <c r="CS117" s="527">
        <f t="shared" si="280"/>
        <v>0</v>
      </c>
      <c r="CT117" s="528">
        <f t="shared" si="281"/>
        <v>0</v>
      </c>
      <c r="CU117" s="528">
        <f t="shared" si="282"/>
        <v>0</v>
      </c>
      <c r="CV117" s="528">
        <f t="shared" si="283"/>
        <v>0</v>
      </c>
      <c r="CW117" s="527">
        <f t="shared" si="284"/>
        <v>0</v>
      </c>
      <c r="CX117" s="527">
        <f t="shared" si="285"/>
        <v>0</v>
      </c>
      <c r="CY117" s="527">
        <f t="shared" si="286"/>
        <v>0</v>
      </c>
      <c r="CZ117" s="527">
        <f t="shared" si="287"/>
        <v>0</v>
      </c>
      <c r="DA117" s="527" t="str">
        <f t="shared" si="288"/>
        <v/>
      </c>
      <c r="DB117" s="526" t="str">
        <f t="shared" si="289"/>
        <v/>
      </c>
      <c r="DC117" s="525" t="str">
        <f t="shared" si="290"/>
        <v/>
      </c>
      <c r="DD117" s="641">
        <f t="shared" si="291"/>
        <v>2</v>
      </c>
      <c r="DE117" s="95">
        <f t="shared" si="292"/>
        <v>3</v>
      </c>
      <c r="DF117" s="95">
        <f t="shared" si="293"/>
        <v>2</v>
      </c>
      <c r="DG117" s="95">
        <f t="shared" si="294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215</v>
      </c>
      <c r="B118" s="609" t="str">
        <f t="shared" ref="B118:K118" si="340">IF(SUM(B111)&gt;0,B113/B111,"")</f>
        <v/>
      </c>
      <c r="C118" s="609" t="str">
        <f t="shared" si="340"/>
        <v/>
      </c>
      <c r="D118" s="609" t="str">
        <f t="shared" si="340"/>
        <v/>
      </c>
      <c r="E118" s="609" t="str">
        <f t="shared" si="340"/>
        <v/>
      </c>
      <c r="F118" s="609">
        <f t="shared" si="340"/>
        <v>0</v>
      </c>
      <c r="G118" s="609">
        <f t="shared" si="340"/>
        <v>0</v>
      </c>
      <c r="H118" s="609" t="str">
        <f t="shared" si="340"/>
        <v/>
      </c>
      <c r="I118" s="609" t="str">
        <f t="shared" si="340"/>
        <v/>
      </c>
      <c r="J118" s="609" t="str">
        <f t="shared" si="340"/>
        <v/>
      </c>
      <c r="K118" s="609" t="str">
        <f t="shared" si="340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41">IF(SUM(T111)&gt;0,T113/T111,"")</f>
        <v/>
      </c>
      <c r="U118" s="609" t="str">
        <f t="shared" si="341"/>
        <v/>
      </c>
      <c r="V118" s="609" t="str">
        <f t="shared" si="341"/>
        <v/>
      </c>
      <c r="W118" s="609" t="str">
        <f t="shared" si="341"/>
        <v/>
      </c>
      <c r="X118" s="609" t="str">
        <f t="shared" si="341"/>
        <v/>
      </c>
      <c r="Y118" s="609">
        <f t="shared" si="341"/>
        <v>0</v>
      </c>
      <c r="Z118" s="609">
        <f t="shared" si="341"/>
        <v>0</v>
      </c>
      <c r="AA118" s="609" t="str">
        <f t="shared" si="341"/>
        <v/>
      </c>
      <c r="AB118" s="609" t="str">
        <f t="shared" si="341"/>
        <v/>
      </c>
      <c r="AC118" s="609">
        <f t="shared" si="341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2">IF(SUM(AL111)&gt;0,AL113/AL111,"")</f>
        <v/>
      </c>
      <c r="AM118" s="609" t="str">
        <f t="shared" si="342"/>
        <v/>
      </c>
      <c r="AN118" s="609">
        <f t="shared" si="342"/>
        <v>0</v>
      </c>
      <c r="AO118" s="609" t="str">
        <f t="shared" si="342"/>
        <v/>
      </c>
      <c r="AP118" s="609">
        <f t="shared" si="342"/>
        <v>0</v>
      </c>
      <c r="AQ118" s="609" t="str">
        <f t="shared" si="342"/>
        <v/>
      </c>
      <c r="AR118" s="609" t="str">
        <f t="shared" si="342"/>
        <v/>
      </c>
      <c r="AS118" s="609" t="str">
        <f t="shared" si="342"/>
        <v/>
      </c>
      <c r="AT118" s="609" t="str">
        <f t="shared" si="342"/>
        <v/>
      </c>
      <c r="AU118" s="609" t="str">
        <f t="shared" si="342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3">IF(SUM(BD111)&gt;0,BD113/BD111,"")</f>
        <v>0</v>
      </c>
      <c r="BE118" s="609">
        <f t="shared" si="343"/>
        <v>0</v>
      </c>
      <c r="BF118" s="609">
        <f t="shared" si="343"/>
        <v>0</v>
      </c>
      <c r="BG118" s="609">
        <f t="shared" si="343"/>
        <v>0</v>
      </c>
      <c r="BH118" s="609">
        <f t="shared" si="343"/>
        <v>0</v>
      </c>
      <c r="BI118" s="609">
        <f t="shared" si="343"/>
        <v>0</v>
      </c>
      <c r="BJ118" s="609">
        <f t="shared" si="343"/>
        <v>0</v>
      </c>
      <c r="BK118" s="609">
        <f t="shared" si="343"/>
        <v>0</v>
      </c>
      <c r="BL118" s="609">
        <f t="shared" si="343"/>
        <v>0</v>
      </c>
      <c r="BM118" s="609">
        <f t="shared" si="343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5"/>
        <v/>
      </c>
      <c r="CA118" s="611">
        <f t="shared" si="296"/>
        <v>0</v>
      </c>
      <c r="CB118" s="611" t="str">
        <f t="shared" si="297"/>
        <v/>
      </c>
      <c r="CC118" s="611">
        <f t="shared" si="298"/>
        <v>0</v>
      </c>
      <c r="CD118" s="1319" t="str">
        <f t="shared" si="315"/>
        <v/>
      </c>
      <c r="CE118" s="1320" t="str">
        <f t="shared" si="326"/>
        <v/>
      </c>
      <c r="CF118" s="1320" t="str">
        <f t="shared" si="326"/>
        <v/>
      </c>
      <c r="CG118" s="1320" t="str">
        <f t="shared" si="326"/>
        <v/>
      </c>
      <c r="CH118" s="1321">
        <f t="shared" si="326"/>
        <v>0</v>
      </c>
      <c r="CI118" s="1321">
        <f t="shared" si="326"/>
        <v>0</v>
      </c>
      <c r="CJ118" s="1320" t="str">
        <f t="shared" si="326"/>
        <v/>
      </c>
      <c r="CK118" s="1320" t="str">
        <f t="shared" si="326"/>
        <v/>
      </c>
      <c r="CL118" s="1320" t="str">
        <f t="shared" si="326"/>
        <v/>
      </c>
      <c r="CM118" s="1319" t="str">
        <f t="shared" si="326"/>
        <v/>
      </c>
      <c r="CN118" s="526" t="str">
        <f t="shared" si="275"/>
        <v/>
      </c>
      <c r="CO118" s="527" t="str">
        <f t="shared" si="276"/>
        <v/>
      </c>
      <c r="CP118" s="527" t="str">
        <f t="shared" si="277"/>
        <v/>
      </c>
      <c r="CQ118" s="527">
        <f t="shared" si="278"/>
        <v>0</v>
      </c>
      <c r="CR118" s="527">
        <f t="shared" si="279"/>
        <v>0</v>
      </c>
      <c r="CS118" s="527">
        <f t="shared" si="280"/>
        <v>0</v>
      </c>
      <c r="CT118" s="528">
        <f t="shared" si="281"/>
        <v>0</v>
      </c>
      <c r="CU118" s="528">
        <f t="shared" si="282"/>
        <v>0</v>
      </c>
      <c r="CV118" s="528">
        <f t="shared" si="283"/>
        <v>0</v>
      </c>
      <c r="CW118" s="527">
        <f t="shared" si="284"/>
        <v>0</v>
      </c>
      <c r="CX118" s="527">
        <f t="shared" si="285"/>
        <v>0</v>
      </c>
      <c r="CY118" s="527">
        <f t="shared" si="286"/>
        <v>0</v>
      </c>
      <c r="CZ118" s="527">
        <f t="shared" si="287"/>
        <v>0</v>
      </c>
      <c r="DA118" s="527" t="str">
        <f t="shared" si="288"/>
        <v/>
      </c>
      <c r="DB118" s="526" t="str">
        <f t="shared" si="289"/>
        <v/>
      </c>
      <c r="DC118" s="525" t="str">
        <f t="shared" si="290"/>
        <v/>
      </c>
      <c r="DD118" s="641">
        <f t="shared" si="291"/>
        <v>2</v>
      </c>
      <c r="DE118" s="95">
        <f t="shared" si="292"/>
        <v>3</v>
      </c>
      <c r="DF118" s="95">
        <f t="shared" si="293"/>
        <v>2</v>
      </c>
      <c r="DG118" s="95">
        <f t="shared" si="294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216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5"/>
        <v/>
      </c>
      <c r="CA119" s="578" t="str">
        <f t="shared" si="296"/>
        <v/>
      </c>
      <c r="CB119" s="578" t="str">
        <f t="shared" si="297"/>
        <v/>
      </c>
      <c r="CC119" s="578" t="str">
        <f t="shared" si="298"/>
        <v/>
      </c>
      <c r="CD119" s="1329"/>
      <c r="CE119" s="1330"/>
      <c r="CF119" s="1330"/>
      <c r="CG119" s="1330"/>
      <c r="CH119" s="1330"/>
      <c r="CI119" s="1330"/>
      <c r="CJ119" s="1330"/>
      <c r="CK119" s="1330"/>
      <c r="CL119" s="1330"/>
      <c r="CM119" s="1329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217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5"/>
        <v>0</v>
      </c>
      <c r="CA120" s="586">
        <f t="shared" si="296"/>
        <v>0</v>
      </c>
      <c r="CB120" s="586">
        <f t="shared" si="297"/>
        <v>0</v>
      </c>
      <c r="CC120" s="586">
        <f t="shared" si="298"/>
        <v>4</v>
      </c>
      <c r="CD120" s="1331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2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2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2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3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3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2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2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2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1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70">COUNT(B120:R120)</f>
        <v>10</v>
      </c>
      <c r="DE120" s="95">
        <f t="shared" ref="DE120:DE146" si="371">COUNT(T120:AJ120)</f>
        <v>10</v>
      </c>
      <c r="DF120" s="95">
        <f t="shared" ref="DF120:DF146" si="372">COUNT(AL120:BB120)</f>
        <v>10</v>
      </c>
      <c r="DG120" s="95">
        <f t="shared" ref="DG120:DG146" si="373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5"/>
        <v>45</v>
      </c>
      <c r="CA121" s="586">
        <f t="shared" si="296"/>
        <v>45</v>
      </c>
      <c r="CB121" s="586">
        <f t="shared" si="297"/>
        <v>45</v>
      </c>
      <c r="CC121" s="586">
        <f t="shared" si="298"/>
        <v>45.375</v>
      </c>
      <c r="CD121" s="1331">
        <f t="shared" si="344"/>
        <v>45</v>
      </c>
      <c r="CE121" s="1332">
        <f t="shared" si="345"/>
        <v>45</v>
      </c>
      <c r="CF121" s="1332">
        <f t="shared" si="346"/>
        <v>45</v>
      </c>
      <c r="CG121" s="1332">
        <f t="shared" si="347"/>
        <v>45</v>
      </c>
      <c r="CH121" s="1333">
        <f t="shared" si="348"/>
        <v>45</v>
      </c>
      <c r="CI121" s="1333">
        <f t="shared" si="349"/>
        <v>45</v>
      </c>
      <c r="CJ121" s="1332">
        <f t="shared" si="350"/>
        <v>45</v>
      </c>
      <c r="CK121" s="1332">
        <f t="shared" si="351"/>
        <v>45</v>
      </c>
      <c r="CL121" s="1332">
        <f t="shared" si="352"/>
        <v>45</v>
      </c>
      <c r="CM121" s="1331">
        <f t="shared" si="353"/>
        <v>45</v>
      </c>
      <c r="CN121" s="538" t="str">
        <f t="shared" si="354"/>
        <v/>
      </c>
      <c r="CO121" s="539" t="str">
        <f t="shared" si="355"/>
        <v/>
      </c>
      <c r="CP121" s="539" t="str">
        <f t="shared" si="356"/>
        <v/>
      </c>
      <c r="CQ121" s="539">
        <f t="shared" si="357"/>
        <v>45</v>
      </c>
      <c r="CR121" s="539">
        <f t="shared" si="358"/>
        <v>45</v>
      </c>
      <c r="CS121" s="539">
        <f t="shared" si="359"/>
        <v>45</v>
      </c>
      <c r="CT121" s="540">
        <f t="shared" si="360"/>
        <v>45</v>
      </c>
      <c r="CU121" s="540">
        <f t="shared" si="361"/>
        <v>45</v>
      </c>
      <c r="CV121" s="540">
        <f t="shared" si="362"/>
        <v>45</v>
      </c>
      <c r="CW121" s="539">
        <f t="shared" si="363"/>
        <v>45</v>
      </c>
      <c r="CX121" s="539">
        <f t="shared" si="364"/>
        <v>46</v>
      </c>
      <c r="CY121" s="539">
        <f t="shared" si="365"/>
        <v>47</v>
      </c>
      <c r="CZ121" s="539">
        <f t="shared" si="366"/>
        <v>48</v>
      </c>
      <c r="DA121" s="539" t="str">
        <f t="shared" si="367"/>
        <v/>
      </c>
      <c r="DB121" s="538" t="str">
        <f t="shared" si="368"/>
        <v/>
      </c>
      <c r="DC121" s="537" t="str">
        <f t="shared" si="369"/>
        <v/>
      </c>
      <c r="DD121" s="641">
        <f t="shared" si="370"/>
        <v>10</v>
      </c>
      <c r="DE121" s="95">
        <f t="shared" si="371"/>
        <v>10</v>
      </c>
      <c r="DF121" s="95">
        <f t="shared" si="372"/>
        <v>10</v>
      </c>
      <c r="DG121" s="95">
        <f t="shared" si="373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5"/>
        <v/>
      </c>
      <c r="CA122" s="586" t="str">
        <f t="shared" si="296"/>
        <v/>
      </c>
      <c r="CB122" s="586" t="str">
        <f t="shared" si="297"/>
        <v/>
      </c>
      <c r="CC122" s="586" t="str">
        <f t="shared" si="298"/>
        <v/>
      </c>
      <c r="CD122" s="1331" t="str">
        <f t="shared" si="344"/>
        <v/>
      </c>
      <c r="CE122" s="1332" t="str">
        <f t="shared" si="345"/>
        <v/>
      </c>
      <c r="CF122" s="1332" t="str">
        <f t="shared" si="346"/>
        <v/>
      </c>
      <c r="CG122" s="1332" t="str">
        <f t="shared" si="347"/>
        <v/>
      </c>
      <c r="CH122" s="1333" t="str">
        <f t="shared" si="348"/>
        <v/>
      </c>
      <c r="CI122" s="1333" t="str">
        <f t="shared" si="349"/>
        <v/>
      </c>
      <c r="CJ122" s="1332" t="str">
        <f t="shared" si="350"/>
        <v/>
      </c>
      <c r="CK122" s="1332" t="str">
        <f t="shared" si="351"/>
        <v/>
      </c>
      <c r="CL122" s="1332" t="str">
        <f t="shared" si="352"/>
        <v/>
      </c>
      <c r="CM122" s="1331" t="str">
        <f t="shared" si="353"/>
        <v/>
      </c>
      <c r="CN122" s="538" t="str">
        <f t="shared" si="354"/>
        <v/>
      </c>
      <c r="CO122" s="539" t="str">
        <f t="shared" si="355"/>
        <v/>
      </c>
      <c r="CP122" s="539" t="str">
        <f t="shared" si="356"/>
        <v/>
      </c>
      <c r="CQ122" s="539" t="str">
        <f t="shared" si="357"/>
        <v/>
      </c>
      <c r="CR122" s="539" t="str">
        <f t="shared" si="358"/>
        <v/>
      </c>
      <c r="CS122" s="539" t="str">
        <f t="shared" si="359"/>
        <v/>
      </c>
      <c r="CT122" s="540" t="str">
        <f t="shared" si="360"/>
        <v/>
      </c>
      <c r="CU122" s="540" t="str">
        <f t="shared" si="361"/>
        <v/>
      </c>
      <c r="CV122" s="540" t="str">
        <f t="shared" si="362"/>
        <v/>
      </c>
      <c r="CW122" s="539" t="str">
        <f t="shared" si="363"/>
        <v/>
      </c>
      <c r="CX122" s="539" t="str">
        <f t="shared" si="364"/>
        <v/>
      </c>
      <c r="CY122" s="539" t="str">
        <f t="shared" si="365"/>
        <v/>
      </c>
      <c r="CZ122" s="539" t="str">
        <f t="shared" si="366"/>
        <v/>
      </c>
      <c r="DA122" s="539" t="str">
        <f t="shared" si="367"/>
        <v/>
      </c>
      <c r="DB122" s="538" t="str">
        <f t="shared" si="368"/>
        <v/>
      </c>
      <c r="DC122" s="537" t="str">
        <f t="shared" si="369"/>
        <v/>
      </c>
      <c r="DD122" s="641">
        <f t="shared" si="370"/>
        <v>2</v>
      </c>
      <c r="DE122" s="95">
        <f t="shared" si="371"/>
        <v>0</v>
      </c>
      <c r="DF122" s="95">
        <f t="shared" si="372"/>
        <v>0</v>
      </c>
      <c r="DG122" s="95">
        <f t="shared" si="373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177</v>
      </c>
      <c r="B123" s="595">
        <f t="shared" ref="B123:K123" si="374">IF(B122="","",B120*B121*B122)</f>
        <v>0</v>
      </c>
      <c r="C123" s="595">
        <f t="shared" si="374"/>
        <v>0</v>
      </c>
      <c r="D123" s="595" t="str">
        <f t="shared" si="374"/>
        <v/>
      </c>
      <c r="E123" s="595" t="str">
        <f t="shared" si="374"/>
        <v/>
      </c>
      <c r="F123" s="595" t="str">
        <f t="shared" si="374"/>
        <v/>
      </c>
      <c r="G123" s="595" t="str">
        <f t="shared" si="374"/>
        <v/>
      </c>
      <c r="H123" s="595" t="str">
        <f t="shared" si="374"/>
        <v/>
      </c>
      <c r="I123" s="595" t="str">
        <f t="shared" si="374"/>
        <v/>
      </c>
      <c r="J123" s="595" t="str">
        <f t="shared" si="374"/>
        <v/>
      </c>
      <c r="K123" s="595" t="str">
        <f t="shared" si="374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5">IF(T122="","",T120*T121*T122)</f>
        <v/>
      </c>
      <c r="U123" s="595" t="str">
        <f t="shared" si="375"/>
        <v/>
      </c>
      <c r="V123" s="595" t="str">
        <f t="shared" si="375"/>
        <v/>
      </c>
      <c r="W123" s="595" t="str">
        <f t="shared" si="375"/>
        <v/>
      </c>
      <c r="X123" s="595" t="str">
        <f t="shared" si="375"/>
        <v/>
      </c>
      <c r="Y123" s="595" t="str">
        <f t="shared" si="375"/>
        <v/>
      </c>
      <c r="Z123" s="595" t="str">
        <f t="shared" si="375"/>
        <v/>
      </c>
      <c r="AA123" s="595" t="str">
        <f t="shared" si="375"/>
        <v/>
      </c>
      <c r="AB123" s="595" t="str">
        <f t="shared" si="375"/>
        <v/>
      </c>
      <c r="AC123" s="595" t="str">
        <f t="shared" si="375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6">IF(AL122="","",AL120*AL121*AL122)</f>
        <v/>
      </c>
      <c r="AM123" s="595" t="str">
        <f t="shared" si="376"/>
        <v/>
      </c>
      <c r="AN123" s="595" t="str">
        <f t="shared" si="376"/>
        <v/>
      </c>
      <c r="AO123" s="595" t="str">
        <f t="shared" si="376"/>
        <v/>
      </c>
      <c r="AP123" s="595" t="str">
        <f t="shared" si="376"/>
        <v/>
      </c>
      <c r="AQ123" s="595" t="str">
        <f t="shared" si="376"/>
        <v/>
      </c>
      <c r="AR123" s="595" t="str">
        <f t="shared" si="376"/>
        <v/>
      </c>
      <c r="AS123" s="595" t="str">
        <f t="shared" si="376"/>
        <v/>
      </c>
      <c r="AT123" s="595" t="str">
        <f t="shared" si="376"/>
        <v/>
      </c>
      <c r="AU123" s="595" t="str">
        <f t="shared" si="376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7">IF(BD122="","",BD120*BD121*BD122)</f>
        <v/>
      </c>
      <c r="BE123" s="595" t="str">
        <f t="shared" si="377"/>
        <v/>
      </c>
      <c r="BF123" s="595" t="str">
        <f t="shared" si="377"/>
        <v/>
      </c>
      <c r="BG123" s="595" t="str">
        <f t="shared" si="377"/>
        <v/>
      </c>
      <c r="BH123" s="595" t="str">
        <f t="shared" si="377"/>
        <v/>
      </c>
      <c r="BI123" s="595" t="str">
        <f t="shared" si="377"/>
        <v/>
      </c>
      <c r="BJ123" s="595" t="str">
        <f t="shared" si="377"/>
        <v/>
      </c>
      <c r="BK123" s="595" t="str">
        <f t="shared" si="377"/>
        <v/>
      </c>
      <c r="BL123" s="595" t="str">
        <f t="shared" si="377"/>
        <v/>
      </c>
      <c r="BM123" s="595" t="str">
        <f t="shared" si="377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5"/>
        <v/>
      </c>
      <c r="CA123" s="586" t="str">
        <f t="shared" si="296"/>
        <v/>
      </c>
      <c r="CB123" s="586" t="str">
        <f t="shared" si="297"/>
        <v/>
      </c>
      <c r="CC123" s="586" t="str">
        <f t="shared" si="298"/>
        <v/>
      </c>
      <c r="CD123" s="1331" t="str">
        <f t="shared" si="344"/>
        <v/>
      </c>
      <c r="CE123" s="1332" t="str">
        <f t="shared" si="345"/>
        <v/>
      </c>
      <c r="CF123" s="1332" t="str">
        <f t="shared" si="346"/>
        <v/>
      </c>
      <c r="CG123" s="1332" t="str">
        <f t="shared" si="347"/>
        <v/>
      </c>
      <c r="CH123" s="1333" t="str">
        <f t="shared" si="348"/>
        <v/>
      </c>
      <c r="CI123" s="1333" t="str">
        <f t="shared" si="349"/>
        <v/>
      </c>
      <c r="CJ123" s="1332" t="str">
        <f t="shared" si="350"/>
        <v/>
      </c>
      <c r="CK123" s="1332" t="str">
        <f t="shared" si="351"/>
        <v/>
      </c>
      <c r="CL123" s="1332" t="str">
        <f t="shared" si="352"/>
        <v/>
      </c>
      <c r="CM123" s="1331" t="str">
        <f t="shared" si="353"/>
        <v/>
      </c>
      <c r="CN123" s="538" t="str">
        <f t="shared" si="354"/>
        <v/>
      </c>
      <c r="CO123" s="539" t="str">
        <f t="shared" si="355"/>
        <v/>
      </c>
      <c r="CP123" s="539" t="str">
        <f t="shared" si="356"/>
        <v/>
      </c>
      <c r="CQ123" s="539" t="str">
        <f t="shared" si="357"/>
        <v/>
      </c>
      <c r="CR123" s="539" t="str">
        <f t="shared" si="358"/>
        <v/>
      </c>
      <c r="CS123" s="539" t="str">
        <f t="shared" si="359"/>
        <v/>
      </c>
      <c r="CT123" s="540" t="str">
        <f t="shared" si="360"/>
        <v/>
      </c>
      <c r="CU123" s="540" t="str">
        <f t="shared" si="361"/>
        <v/>
      </c>
      <c r="CV123" s="540" t="str">
        <f t="shared" si="362"/>
        <v/>
      </c>
      <c r="CW123" s="539" t="str">
        <f t="shared" si="363"/>
        <v/>
      </c>
      <c r="CX123" s="539" t="str">
        <f t="shared" si="364"/>
        <v/>
      </c>
      <c r="CY123" s="539" t="str">
        <f t="shared" si="365"/>
        <v/>
      </c>
      <c r="CZ123" s="539" t="str">
        <f t="shared" si="366"/>
        <v/>
      </c>
      <c r="DA123" s="539" t="str">
        <f t="shared" si="367"/>
        <v/>
      </c>
      <c r="DB123" s="538" t="str">
        <f t="shared" si="368"/>
        <v/>
      </c>
      <c r="DC123" s="537" t="str">
        <f t="shared" si="369"/>
        <v/>
      </c>
      <c r="DD123" s="641">
        <f t="shared" si="370"/>
        <v>2</v>
      </c>
      <c r="DE123" s="95">
        <f t="shared" si="371"/>
        <v>0</v>
      </c>
      <c r="DF123" s="95">
        <f t="shared" si="372"/>
        <v>0</v>
      </c>
      <c r="DG123" s="95">
        <f t="shared" si="373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5"/>
        <v/>
      </c>
      <c r="CA124" s="586" t="str">
        <f t="shared" si="296"/>
        <v/>
      </c>
      <c r="CB124" s="586" t="str">
        <f t="shared" si="297"/>
        <v/>
      </c>
      <c r="CC124" s="586" t="str">
        <f t="shared" si="298"/>
        <v/>
      </c>
      <c r="CD124" s="1331" t="str">
        <f t="shared" si="344"/>
        <v/>
      </c>
      <c r="CE124" s="1332" t="str">
        <f t="shared" si="345"/>
        <v/>
      </c>
      <c r="CF124" s="1332" t="str">
        <f t="shared" si="346"/>
        <v/>
      </c>
      <c r="CG124" s="1332" t="str">
        <f t="shared" si="347"/>
        <v/>
      </c>
      <c r="CH124" s="1333" t="str">
        <f t="shared" si="348"/>
        <v/>
      </c>
      <c r="CI124" s="1333" t="str">
        <f t="shared" si="349"/>
        <v/>
      </c>
      <c r="CJ124" s="1332" t="str">
        <f t="shared" si="350"/>
        <v/>
      </c>
      <c r="CK124" s="1332" t="str">
        <f t="shared" si="351"/>
        <v/>
      </c>
      <c r="CL124" s="1332" t="str">
        <f t="shared" si="352"/>
        <v/>
      </c>
      <c r="CM124" s="1331" t="str">
        <f t="shared" si="353"/>
        <v/>
      </c>
      <c r="CN124" s="538" t="str">
        <f t="shared" si="354"/>
        <v/>
      </c>
      <c r="CO124" s="539" t="str">
        <f t="shared" si="355"/>
        <v/>
      </c>
      <c r="CP124" s="539" t="str">
        <f t="shared" si="356"/>
        <v/>
      </c>
      <c r="CQ124" s="539" t="str">
        <f t="shared" si="357"/>
        <v/>
      </c>
      <c r="CR124" s="539" t="str">
        <f t="shared" si="358"/>
        <v/>
      </c>
      <c r="CS124" s="539" t="str">
        <f t="shared" si="359"/>
        <v/>
      </c>
      <c r="CT124" s="540" t="str">
        <f t="shared" si="360"/>
        <v/>
      </c>
      <c r="CU124" s="540" t="str">
        <f t="shared" si="361"/>
        <v/>
      </c>
      <c r="CV124" s="540" t="str">
        <f t="shared" si="362"/>
        <v/>
      </c>
      <c r="CW124" s="539" t="str">
        <f t="shared" si="363"/>
        <v/>
      </c>
      <c r="CX124" s="539" t="str">
        <f t="shared" si="364"/>
        <v/>
      </c>
      <c r="CY124" s="539" t="str">
        <f t="shared" si="365"/>
        <v/>
      </c>
      <c r="CZ124" s="539" t="str">
        <f t="shared" si="366"/>
        <v/>
      </c>
      <c r="DA124" s="539" t="str">
        <f t="shared" si="367"/>
        <v/>
      </c>
      <c r="DB124" s="538" t="str">
        <f t="shared" si="368"/>
        <v/>
      </c>
      <c r="DC124" s="537" t="str">
        <f t="shared" si="369"/>
        <v/>
      </c>
      <c r="DD124" s="641">
        <f t="shared" si="370"/>
        <v>0</v>
      </c>
      <c r="DE124" s="95">
        <f t="shared" si="371"/>
        <v>0</v>
      </c>
      <c r="DF124" s="95">
        <f t="shared" si="372"/>
        <v>0</v>
      </c>
      <c r="DG124" s="95">
        <f t="shared" si="373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5"/>
        <v/>
      </c>
      <c r="CA125" s="586" t="str">
        <f t="shared" si="296"/>
        <v/>
      </c>
      <c r="CB125" s="586" t="str">
        <f t="shared" si="297"/>
        <v/>
      </c>
      <c r="CC125" s="586" t="str">
        <f t="shared" si="298"/>
        <v/>
      </c>
      <c r="CD125" s="1331" t="str">
        <f t="shared" si="344"/>
        <v/>
      </c>
      <c r="CE125" s="1332" t="str">
        <f t="shared" si="345"/>
        <v/>
      </c>
      <c r="CF125" s="1332" t="str">
        <f t="shared" si="346"/>
        <v/>
      </c>
      <c r="CG125" s="1332" t="str">
        <f t="shared" si="347"/>
        <v/>
      </c>
      <c r="CH125" s="1333" t="str">
        <f t="shared" si="348"/>
        <v/>
      </c>
      <c r="CI125" s="1333" t="str">
        <f t="shared" si="349"/>
        <v/>
      </c>
      <c r="CJ125" s="1332" t="str">
        <f t="shared" si="350"/>
        <v/>
      </c>
      <c r="CK125" s="1332" t="str">
        <f t="shared" si="351"/>
        <v/>
      </c>
      <c r="CL125" s="1332" t="str">
        <f t="shared" si="352"/>
        <v/>
      </c>
      <c r="CM125" s="1331" t="str">
        <f t="shared" si="353"/>
        <v/>
      </c>
      <c r="CN125" s="538" t="str">
        <f t="shared" si="354"/>
        <v/>
      </c>
      <c r="CO125" s="539" t="str">
        <f t="shared" si="355"/>
        <v/>
      </c>
      <c r="CP125" s="539" t="str">
        <f t="shared" si="356"/>
        <v/>
      </c>
      <c r="CQ125" s="539" t="str">
        <f t="shared" si="357"/>
        <v/>
      </c>
      <c r="CR125" s="539" t="str">
        <f t="shared" si="358"/>
        <v/>
      </c>
      <c r="CS125" s="539" t="str">
        <f t="shared" si="359"/>
        <v/>
      </c>
      <c r="CT125" s="540" t="str">
        <f t="shared" si="360"/>
        <v/>
      </c>
      <c r="CU125" s="540" t="str">
        <f t="shared" si="361"/>
        <v/>
      </c>
      <c r="CV125" s="540" t="str">
        <f t="shared" si="362"/>
        <v/>
      </c>
      <c r="CW125" s="539" t="str">
        <f t="shared" si="363"/>
        <v/>
      </c>
      <c r="CX125" s="539" t="str">
        <f t="shared" si="364"/>
        <v/>
      </c>
      <c r="CY125" s="539" t="str">
        <f t="shared" si="365"/>
        <v/>
      </c>
      <c r="CZ125" s="539" t="str">
        <f t="shared" si="366"/>
        <v/>
      </c>
      <c r="DA125" s="539" t="str">
        <f t="shared" si="367"/>
        <v/>
      </c>
      <c r="DB125" s="538" t="str">
        <f t="shared" si="368"/>
        <v/>
      </c>
      <c r="DC125" s="537" t="str">
        <f t="shared" si="369"/>
        <v/>
      </c>
      <c r="DD125" s="641">
        <f t="shared" si="370"/>
        <v>0</v>
      </c>
      <c r="DE125" s="95">
        <f t="shared" si="371"/>
        <v>0</v>
      </c>
      <c r="DF125" s="95">
        <f t="shared" si="372"/>
        <v>0</v>
      </c>
      <c r="DG125" s="95">
        <f t="shared" si="373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183</v>
      </c>
      <c r="B126" s="596" t="str">
        <f t="shared" ref="B126:K126" si="378">IF(B124="","",B124*B125)</f>
        <v/>
      </c>
      <c r="C126" s="596" t="str">
        <f t="shared" si="378"/>
        <v/>
      </c>
      <c r="D126" s="596" t="str">
        <f t="shared" si="378"/>
        <v/>
      </c>
      <c r="E126" s="596" t="str">
        <f t="shared" si="378"/>
        <v/>
      </c>
      <c r="F126" s="596" t="str">
        <f t="shared" si="378"/>
        <v/>
      </c>
      <c r="G126" s="596" t="str">
        <f t="shared" si="378"/>
        <v/>
      </c>
      <c r="H126" s="596" t="str">
        <f t="shared" si="378"/>
        <v/>
      </c>
      <c r="I126" s="596" t="str">
        <f t="shared" si="378"/>
        <v/>
      </c>
      <c r="J126" s="596" t="str">
        <f t="shared" si="378"/>
        <v/>
      </c>
      <c r="K126" s="596" t="str">
        <f t="shared" si="378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9">IF(T124="","",T124*T125)</f>
        <v/>
      </c>
      <c r="U126" s="596" t="str">
        <f t="shared" si="379"/>
        <v/>
      </c>
      <c r="V126" s="596" t="str">
        <f t="shared" si="379"/>
        <v/>
      </c>
      <c r="W126" s="596" t="str">
        <f t="shared" si="379"/>
        <v/>
      </c>
      <c r="X126" s="596" t="str">
        <f t="shared" si="379"/>
        <v/>
      </c>
      <c r="Y126" s="596" t="str">
        <f t="shared" si="379"/>
        <v/>
      </c>
      <c r="Z126" s="596" t="str">
        <f t="shared" si="379"/>
        <v/>
      </c>
      <c r="AA126" s="596" t="str">
        <f t="shared" si="379"/>
        <v/>
      </c>
      <c r="AB126" s="596" t="str">
        <f t="shared" si="379"/>
        <v/>
      </c>
      <c r="AC126" s="596" t="str">
        <f t="shared" si="379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80">IF(AL124="","",AL124*AL125)</f>
        <v/>
      </c>
      <c r="AM126" s="596" t="str">
        <f t="shared" si="380"/>
        <v/>
      </c>
      <c r="AN126" s="596" t="str">
        <f t="shared" si="380"/>
        <v/>
      </c>
      <c r="AO126" s="596" t="str">
        <f t="shared" si="380"/>
        <v/>
      </c>
      <c r="AP126" s="596" t="str">
        <f t="shared" si="380"/>
        <v/>
      </c>
      <c r="AQ126" s="596" t="str">
        <f t="shared" si="380"/>
        <v/>
      </c>
      <c r="AR126" s="596" t="str">
        <f t="shared" si="380"/>
        <v/>
      </c>
      <c r="AS126" s="596" t="str">
        <f t="shared" si="380"/>
        <v/>
      </c>
      <c r="AT126" s="596" t="str">
        <f t="shared" si="380"/>
        <v/>
      </c>
      <c r="AU126" s="596" t="str">
        <f t="shared" si="380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81">IF(BD124="","",BD124*BD125)</f>
        <v/>
      </c>
      <c r="BE126" s="596" t="str">
        <f t="shared" si="381"/>
        <v/>
      </c>
      <c r="BF126" s="596" t="str">
        <f t="shared" si="381"/>
        <v/>
      </c>
      <c r="BG126" s="596" t="str">
        <f t="shared" si="381"/>
        <v/>
      </c>
      <c r="BH126" s="596" t="str">
        <f t="shared" si="381"/>
        <v/>
      </c>
      <c r="BI126" s="596" t="str">
        <f t="shared" si="381"/>
        <v/>
      </c>
      <c r="BJ126" s="596" t="str">
        <f t="shared" si="381"/>
        <v/>
      </c>
      <c r="BK126" s="596" t="str">
        <f t="shared" si="381"/>
        <v/>
      </c>
      <c r="BL126" s="596" t="str">
        <f t="shared" si="381"/>
        <v/>
      </c>
      <c r="BM126" s="596" t="str">
        <f t="shared" si="381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5"/>
        <v/>
      </c>
      <c r="CA126" s="586" t="str">
        <f t="shared" si="296"/>
        <v/>
      </c>
      <c r="CB126" s="586" t="str">
        <f t="shared" si="297"/>
        <v/>
      </c>
      <c r="CC126" s="586" t="str">
        <f t="shared" si="298"/>
        <v/>
      </c>
      <c r="CD126" s="1331" t="str">
        <f t="shared" si="344"/>
        <v/>
      </c>
      <c r="CE126" s="1332" t="str">
        <f t="shared" si="345"/>
        <v/>
      </c>
      <c r="CF126" s="1332" t="str">
        <f t="shared" si="346"/>
        <v/>
      </c>
      <c r="CG126" s="1332" t="str">
        <f t="shared" si="347"/>
        <v/>
      </c>
      <c r="CH126" s="1333" t="str">
        <f t="shared" si="348"/>
        <v/>
      </c>
      <c r="CI126" s="1333" t="str">
        <f t="shared" si="349"/>
        <v/>
      </c>
      <c r="CJ126" s="1332" t="str">
        <f t="shared" si="350"/>
        <v/>
      </c>
      <c r="CK126" s="1332" t="str">
        <f t="shared" si="351"/>
        <v/>
      </c>
      <c r="CL126" s="1332" t="str">
        <f t="shared" si="352"/>
        <v/>
      </c>
      <c r="CM126" s="1331" t="str">
        <f t="shared" si="353"/>
        <v/>
      </c>
      <c r="CN126" s="538" t="str">
        <f t="shared" si="354"/>
        <v/>
      </c>
      <c r="CO126" s="539" t="str">
        <f t="shared" si="355"/>
        <v/>
      </c>
      <c r="CP126" s="539" t="str">
        <f t="shared" si="356"/>
        <v/>
      </c>
      <c r="CQ126" s="539" t="str">
        <f t="shared" si="357"/>
        <v/>
      </c>
      <c r="CR126" s="539" t="str">
        <f t="shared" si="358"/>
        <v/>
      </c>
      <c r="CS126" s="539" t="str">
        <f t="shared" si="359"/>
        <v/>
      </c>
      <c r="CT126" s="540" t="str">
        <f t="shared" si="360"/>
        <v/>
      </c>
      <c r="CU126" s="540" t="str">
        <f t="shared" si="361"/>
        <v/>
      </c>
      <c r="CV126" s="540" t="str">
        <f t="shared" si="362"/>
        <v/>
      </c>
      <c r="CW126" s="539" t="str">
        <f t="shared" si="363"/>
        <v/>
      </c>
      <c r="CX126" s="539" t="str">
        <f t="shared" si="364"/>
        <v/>
      </c>
      <c r="CY126" s="539" t="str">
        <f t="shared" si="365"/>
        <v/>
      </c>
      <c r="CZ126" s="539" t="str">
        <f t="shared" si="366"/>
        <v/>
      </c>
      <c r="DA126" s="539" t="str">
        <f t="shared" si="367"/>
        <v/>
      </c>
      <c r="DB126" s="538" t="str">
        <f t="shared" si="368"/>
        <v/>
      </c>
      <c r="DC126" s="537" t="str">
        <f t="shared" si="369"/>
        <v/>
      </c>
      <c r="DD126" s="641">
        <f t="shared" si="370"/>
        <v>0</v>
      </c>
      <c r="DE126" s="95">
        <f t="shared" si="371"/>
        <v>0</v>
      </c>
      <c r="DF126" s="95">
        <f t="shared" si="372"/>
        <v>0</v>
      </c>
      <c r="DG126" s="95">
        <f t="shared" si="373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185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5"/>
        <v>1</v>
      </c>
      <c r="CA127" s="586">
        <f t="shared" si="296"/>
        <v>1</v>
      </c>
      <c r="CB127" s="586">
        <f t="shared" si="297"/>
        <v>1</v>
      </c>
      <c r="CC127" s="586">
        <f t="shared" si="298"/>
        <v>1</v>
      </c>
      <c r="CD127" s="1331">
        <f t="shared" si="344"/>
        <v>1</v>
      </c>
      <c r="CE127" s="1332">
        <f t="shared" si="345"/>
        <v>1</v>
      </c>
      <c r="CF127" s="1332">
        <f t="shared" si="346"/>
        <v>1</v>
      </c>
      <c r="CG127" s="1332">
        <f t="shared" si="347"/>
        <v>1</v>
      </c>
      <c r="CH127" s="1333">
        <f t="shared" si="348"/>
        <v>1</v>
      </c>
      <c r="CI127" s="1333">
        <f t="shared" si="349"/>
        <v>1</v>
      </c>
      <c r="CJ127" s="1332">
        <f t="shared" si="350"/>
        <v>1</v>
      </c>
      <c r="CK127" s="1332">
        <f t="shared" si="351"/>
        <v>1</v>
      </c>
      <c r="CL127" s="1332">
        <f t="shared" si="352"/>
        <v>1</v>
      </c>
      <c r="CM127" s="1331">
        <f t="shared" si="353"/>
        <v>1</v>
      </c>
      <c r="CN127" s="538" t="str">
        <f t="shared" si="354"/>
        <v/>
      </c>
      <c r="CO127" s="539" t="str">
        <f t="shared" si="355"/>
        <v/>
      </c>
      <c r="CP127" s="539" t="str">
        <f t="shared" si="356"/>
        <v/>
      </c>
      <c r="CQ127" s="539">
        <f t="shared" si="357"/>
        <v>1</v>
      </c>
      <c r="CR127" s="539">
        <f t="shared" si="358"/>
        <v>1</v>
      </c>
      <c r="CS127" s="539">
        <f t="shared" si="359"/>
        <v>1</v>
      </c>
      <c r="CT127" s="540">
        <f t="shared" si="360"/>
        <v>1</v>
      </c>
      <c r="CU127" s="540">
        <f t="shared" si="361"/>
        <v>1</v>
      </c>
      <c r="CV127" s="540">
        <f t="shared" si="362"/>
        <v>1</v>
      </c>
      <c r="CW127" s="539">
        <f t="shared" si="363"/>
        <v>1</v>
      </c>
      <c r="CX127" s="539">
        <f t="shared" si="364"/>
        <v>1</v>
      </c>
      <c r="CY127" s="539">
        <f t="shared" si="365"/>
        <v>1</v>
      </c>
      <c r="CZ127" s="539">
        <f t="shared" si="366"/>
        <v>1</v>
      </c>
      <c r="DA127" s="539" t="str">
        <f t="shared" si="367"/>
        <v/>
      </c>
      <c r="DB127" s="538" t="str">
        <f t="shared" si="368"/>
        <v/>
      </c>
      <c r="DC127" s="537" t="str">
        <f t="shared" si="369"/>
        <v/>
      </c>
      <c r="DD127" s="641">
        <f t="shared" si="370"/>
        <v>10</v>
      </c>
      <c r="DE127" s="95">
        <f t="shared" si="371"/>
        <v>10</v>
      </c>
      <c r="DF127" s="95">
        <f t="shared" si="372"/>
        <v>10</v>
      </c>
      <c r="DG127" s="95">
        <f t="shared" si="373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187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5"/>
        <v/>
      </c>
      <c r="CA128" s="586" t="str">
        <f t="shared" si="296"/>
        <v/>
      </c>
      <c r="CB128" s="586" t="str">
        <f t="shared" si="297"/>
        <v/>
      </c>
      <c r="CC128" s="586" t="str">
        <f t="shared" si="298"/>
        <v/>
      </c>
      <c r="CD128" s="1331" t="str">
        <f t="shared" si="344"/>
        <v/>
      </c>
      <c r="CE128" s="1332" t="str">
        <f t="shared" si="345"/>
        <v/>
      </c>
      <c r="CF128" s="1332" t="str">
        <f t="shared" si="346"/>
        <v/>
      </c>
      <c r="CG128" s="1332" t="str">
        <f t="shared" si="347"/>
        <v/>
      </c>
      <c r="CH128" s="1333" t="str">
        <f t="shared" si="348"/>
        <v/>
      </c>
      <c r="CI128" s="1333" t="str">
        <f t="shared" si="349"/>
        <v/>
      </c>
      <c r="CJ128" s="1332" t="str">
        <f t="shared" si="350"/>
        <v/>
      </c>
      <c r="CK128" s="1332" t="str">
        <f t="shared" si="351"/>
        <v/>
      </c>
      <c r="CL128" s="1332" t="str">
        <f t="shared" si="352"/>
        <v/>
      </c>
      <c r="CM128" s="1331" t="str">
        <f t="shared" si="353"/>
        <v/>
      </c>
      <c r="CN128" s="538" t="str">
        <f t="shared" si="354"/>
        <v/>
      </c>
      <c r="CO128" s="539" t="str">
        <f t="shared" si="355"/>
        <v/>
      </c>
      <c r="CP128" s="539" t="str">
        <f t="shared" si="356"/>
        <v/>
      </c>
      <c r="CQ128" s="539" t="str">
        <f t="shared" si="357"/>
        <v/>
      </c>
      <c r="CR128" s="539" t="str">
        <f t="shared" si="358"/>
        <v/>
      </c>
      <c r="CS128" s="539" t="str">
        <f t="shared" si="359"/>
        <v/>
      </c>
      <c r="CT128" s="540" t="str">
        <f t="shared" si="360"/>
        <v/>
      </c>
      <c r="CU128" s="540" t="str">
        <f t="shared" si="361"/>
        <v/>
      </c>
      <c r="CV128" s="540" t="str">
        <f t="shared" si="362"/>
        <v/>
      </c>
      <c r="CW128" s="539" t="str">
        <f t="shared" si="363"/>
        <v/>
      </c>
      <c r="CX128" s="539" t="str">
        <f t="shared" si="364"/>
        <v/>
      </c>
      <c r="CY128" s="539" t="str">
        <f t="shared" si="365"/>
        <v/>
      </c>
      <c r="CZ128" s="539" t="str">
        <f t="shared" si="366"/>
        <v/>
      </c>
      <c r="DA128" s="539" t="str">
        <f t="shared" si="367"/>
        <v/>
      </c>
      <c r="DB128" s="538" t="str">
        <f t="shared" si="368"/>
        <v/>
      </c>
      <c r="DC128" s="537" t="str">
        <f t="shared" si="369"/>
        <v/>
      </c>
      <c r="DD128" s="641">
        <f t="shared" si="370"/>
        <v>0</v>
      </c>
      <c r="DE128" s="95">
        <f t="shared" si="371"/>
        <v>0</v>
      </c>
      <c r="DF128" s="95">
        <f t="shared" si="372"/>
        <v>0</v>
      </c>
      <c r="DG128" s="95">
        <f t="shared" si="373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219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5"/>
        <v/>
      </c>
      <c r="CA129" s="586" t="str">
        <f t="shared" si="296"/>
        <v/>
      </c>
      <c r="CB129" s="586" t="str">
        <f t="shared" si="297"/>
        <v/>
      </c>
      <c r="CC129" s="586" t="str">
        <f t="shared" si="298"/>
        <v/>
      </c>
      <c r="CD129" s="1331" t="str">
        <f t="shared" si="344"/>
        <v/>
      </c>
      <c r="CE129" s="1332" t="str">
        <f t="shared" si="345"/>
        <v/>
      </c>
      <c r="CF129" s="1332" t="str">
        <f t="shared" si="346"/>
        <v/>
      </c>
      <c r="CG129" s="1332" t="str">
        <f t="shared" si="347"/>
        <v/>
      </c>
      <c r="CH129" s="1333" t="str">
        <f t="shared" si="348"/>
        <v/>
      </c>
      <c r="CI129" s="1333" t="str">
        <f t="shared" si="349"/>
        <v/>
      </c>
      <c r="CJ129" s="1332" t="str">
        <f t="shared" si="350"/>
        <v/>
      </c>
      <c r="CK129" s="1332" t="str">
        <f t="shared" si="351"/>
        <v/>
      </c>
      <c r="CL129" s="1332" t="str">
        <f t="shared" si="352"/>
        <v/>
      </c>
      <c r="CM129" s="1331" t="str">
        <f t="shared" si="353"/>
        <v/>
      </c>
      <c r="CN129" s="538" t="str">
        <f t="shared" si="354"/>
        <v/>
      </c>
      <c r="CO129" s="539" t="str">
        <f t="shared" si="355"/>
        <v/>
      </c>
      <c r="CP129" s="539" t="str">
        <f t="shared" si="356"/>
        <v/>
      </c>
      <c r="CQ129" s="539" t="str">
        <f t="shared" si="357"/>
        <v/>
      </c>
      <c r="CR129" s="539" t="str">
        <f t="shared" si="358"/>
        <v/>
      </c>
      <c r="CS129" s="539" t="str">
        <f t="shared" si="359"/>
        <v/>
      </c>
      <c r="CT129" s="540" t="str">
        <f t="shared" si="360"/>
        <v/>
      </c>
      <c r="CU129" s="540" t="str">
        <f t="shared" si="361"/>
        <v/>
      </c>
      <c r="CV129" s="540" t="str">
        <f t="shared" si="362"/>
        <v/>
      </c>
      <c r="CW129" s="539" t="str">
        <f t="shared" si="363"/>
        <v/>
      </c>
      <c r="CX129" s="539" t="str">
        <f t="shared" si="364"/>
        <v/>
      </c>
      <c r="CY129" s="539" t="str">
        <f t="shared" si="365"/>
        <v/>
      </c>
      <c r="CZ129" s="539" t="str">
        <f t="shared" si="366"/>
        <v/>
      </c>
      <c r="DA129" s="539" t="str">
        <f t="shared" si="367"/>
        <v/>
      </c>
      <c r="DB129" s="538" t="str">
        <f t="shared" si="368"/>
        <v/>
      </c>
      <c r="DC129" s="537" t="str">
        <f t="shared" si="369"/>
        <v/>
      </c>
      <c r="DD129" s="641">
        <f t="shared" si="370"/>
        <v>0</v>
      </c>
      <c r="DE129" s="95">
        <f t="shared" si="371"/>
        <v>0</v>
      </c>
      <c r="DF129" s="95">
        <f t="shared" si="372"/>
        <v>0</v>
      </c>
      <c r="DG129" s="95">
        <f t="shared" si="373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5"/>
        <v>45</v>
      </c>
      <c r="CA130" s="586">
        <f t="shared" si="296"/>
        <v>45</v>
      </c>
      <c r="CB130" s="586">
        <f t="shared" si="297"/>
        <v>45</v>
      </c>
      <c r="CC130" s="586">
        <f t="shared" si="298"/>
        <v>45</v>
      </c>
      <c r="CD130" s="1331">
        <f t="shared" si="344"/>
        <v>45</v>
      </c>
      <c r="CE130" s="1332">
        <f t="shared" si="345"/>
        <v>45</v>
      </c>
      <c r="CF130" s="1332">
        <f t="shared" si="346"/>
        <v>45</v>
      </c>
      <c r="CG130" s="1332">
        <f t="shared" si="347"/>
        <v>45</v>
      </c>
      <c r="CH130" s="1333">
        <f t="shared" si="348"/>
        <v>45</v>
      </c>
      <c r="CI130" s="1333">
        <f t="shared" si="349"/>
        <v>45</v>
      </c>
      <c r="CJ130" s="1332">
        <f t="shared" si="350"/>
        <v>45</v>
      </c>
      <c r="CK130" s="1332">
        <f t="shared" si="351"/>
        <v>45</v>
      </c>
      <c r="CL130" s="1332">
        <f t="shared" si="352"/>
        <v>45</v>
      </c>
      <c r="CM130" s="1331">
        <f t="shared" si="353"/>
        <v>45</v>
      </c>
      <c r="CN130" s="538" t="str">
        <f t="shared" si="354"/>
        <v/>
      </c>
      <c r="CO130" s="539" t="str">
        <f t="shared" si="355"/>
        <v/>
      </c>
      <c r="CP130" s="539" t="str">
        <f t="shared" si="356"/>
        <v/>
      </c>
      <c r="CQ130" s="539">
        <f t="shared" si="357"/>
        <v>45</v>
      </c>
      <c r="CR130" s="539">
        <f t="shared" si="358"/>
        <v>45</v>
      </c>
      <c r="CS130" s="539">
        <f t="shared" si="359"/>
        <v>45</v>
      </c>
      <c r="CT130" s="540">
        <f t="shared" si="360"/>
        <v>45</v>
      </c>
      <c r="CU130" s="540">
        <f t="shared" si="361"/>
        <v>45</v>
      </c>
      <c r="CV130" s="540">
        <f t="shared" si="362"/>
        <v>45</v>
      </c>
      <c r="CW130" s="539">
        <f t="shared" si="363"/>
        <v>45</v>
      </c>
      <c r="CX130" s="539">
        <f t="shared" si="364"/>
        <v>45</v>
      </c>
      <c r="CY130" s="539">
        <f t="shared" si="365"/>
        <v>45</v>
      </c>
      <c r="CZ130" s="539">
        <f t="shared" si="366"/>
        <v>45</v>
      </c>
      <c r="DA130" s="539" t="str">
        <f t="shared" si="367"/>
        <v/>
      </c>
      <c r="DB130" s="538" t="str">
        <f t="shared" si="368"/>
        <v/>
      </c>
      <c r="DC130" s="537" t="str">
        <f t="shared" si="369"/>
        <v/>
      </c>
      <c r="DD130" s="641">
        <f t="shared" si="370"/>
        <v>10</v>
      </c>
      <c r="DE130" s="95">
        <f t="shared" si="371"/>
        <v>10</v>
      </c>
      <c r="DF130" s="95">
        <f t="shared" si="372"/>
        <v>10</v>
      </c>
      <c r="DG130" s="95">
        <f t="shared" si="373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5"/>
        <v/>
      </c>
      <c r="CA131" s="586" t="str">
        <f t="shared" si="296"/>
        <v/>
      </c>
      <c r="CB131" s="586" t="str">
        <f t="shared" si="297"/>
        <v/>
      </c>
      <c r="CC131" s="586" t="str">
        <f t="shared" si="298"/>
        <v/>
      </c>
      <c r="CD131" s="1331" t="str">
        <f t="shared" si="344"/>
        <v/>
      </c>
      <c r="CE131" s="1332" t="str">
        <f t="shared" si="345"/>
        <v/>
      </c>
      <c r="CF131" s="1332" t="str">
        <f t="shared" si="346"/>
        <v/>
      </c>
      <c r="CG131" s="1332" t="str">
        <f t="shared" si="347"/>
        <v/>
      </c>
      <c r="CH131" s="1333" t="str">
        <f t="shared" si="348"/>
        <v/>
      </c>
      <c r="CI131" s="1333" t="str">
        <f t="shared" si="349"/>
        <v/>
      </c>
      <c r="CJ131" s="1332" t="str">
        <f t="shared" si="350"/>
        <v/>
      </c>
      <c r="CK131" s="1332" t="str">
        <f t="shared" si="351"/>
        <v/>
      </c>
      <c r="CL131" s="1332" t="str">
        <f t="shared" si="352"/>
        <v/>
      </c>
      <c r="CM131" s="1331" t="str">
        <f t="shared" si="353"/>
        <v/>
      </c>
      <c r="CN131" s="538" t="str">
        <f t="shared" si="354"/>
        <v/>
      </c>
      <c r="CO131" s="539" t="str">
        <f t="shared" si="355"/>
        <v/>
      </c>
      <c r="CP131" s="539" t="str">
        <f t="shared" si="356"/>
        <v/>
      </c>
      <c r="CQ131" s="539" t="str">
        <f t="shared" si="357"/>
        <v/>
      </c>
      <c r="CR131" s="539" t="str">
        <f t="shared" si="358"/>
        <v/>
      </c>
      <c r="CS131" s="539" t="str">
        <f t="shared" si="359"/>
        <v/>
      </c>
      <c r="CT131" s="540" t="str">
        <f t="shared" si="360"/>
        <v/>
      </c>
      <c r="CU131" s="540" t="str">
        <f t="shared" si="361"/>
        <v/>
      </c>
      <c r="CV131" s="540" t="str">
        <f t="shared" si="362"/>
        <v/>
      </c>
      <c r="CW131" s="539" t="str">
        <f t="shared" si="363"/>
        <v/>
      </c>
      <c r="CX131" s="539" t="str">
        <f t="shared" si="364"/>
        <v/>
      </c>
      <c r="CY131" s="539" t="str">
        <f t="shared" si="365"/>
        <v/>
      </c>
      <c r="CZ131" s="539" t="str">
        <f t="shared" si="366"/>
        <v/>
      </c>
      <c r="DA131" s="539" t="str">
        <f t="shared" si="367"/>
        <v/>
      </c>
      <c r="DB131" s="538" t="str">
        <f t="shared" si="368"/>
        <v/>
      </c>
      <c r="DC131" s="537" t="str">
        <f t="shared" si="369"/>
        <v/>
      </c>
      <c r="DD131" s="641">
        <f t="shared" si="370"/>
        <v>0</v>
      </c>
      <c r="DE131" s="95">
        <f t="shared" si="371"/>
        <v>0</v>
      </c>
      <c r="DF131" s="95">
        <f t="shared" si="372"/>
        <v>0</v>
      </c>
      <c r="DG131" s="95">
        <f t="shared" si="373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177</v>
      </c>
      <c r="B132" s="595" t="str">
        <f t="shared" ref="B132:K132" si="382">IF(B131="","",IF(B129="",B120*B130*B131,B129*B130*B131))</f>
        <v/>
      </c>
      <c r="C132" s="595" t="str">
        <f t="shared" si="382"/>
        <v/>
      </c>
      <c r="D132" s="595" t="str">
        <f t="shared" si="382"/>
        <v/>
      </c>
      <c r="E132" s="595" t="str">
        <f t="shared" si="382"/>
        <v/>
      </c>
      <c r="F132" s="595" t="str">
        <f t="shared" si="382"/>
        <v/>
      </c>
      <c r="G132" s="595" t="str">
        <f t="shared" si="382"/>
        <v/>
      </c>
      <c r="H132" s="595" t="str">
        <f t="shared" si="382"/>
        <v/>
      </c>
      <c r="I132" s="595" t="str">
        <f t="shared" si="382"/>
        <v/>
      </c>
      <c r="J132" s="595" t="str">
        <f t="shared" si="382"/>
        <v/>
      </c>
      <c r="K132" s="595" t="str">
        <f t="shared" si="382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3">IF(T131="","",IF(T129="",T120*T130*T131,T129*T130*T131))</f>
        <v/>
      </c>
      <c r="U132" s="595" t="str">
        <f t="shared" si="383"/>
        <v/>
      </c>
      <c r="V132" s="595" t="str">
        <f t="shared" si="383"/>
        <v/>
      </c>
      <c r="W132" s="595" t="str">
        <f t="shared" si="383"/>
        <v/>
      </c>
      <c r="X132" s="595" t="str">
        <f t="shared" si="383"/>
        <v/>
      </c>
      <c r="Y132" s="595" t="str">
        <f t="shared" si="383"/>
        <v/>
      </c>
      <c r="Z132" s="595" t="str">
        <f t="shared" si="383"/>
        <v/>
      </c>
      <c r="AA132" s="595" t="str">
        <f t="shared" si="383"/>
        <v/>
      </c>
      <c r="AB132" s="595" t="str">
        <f t="shared" si="383"/>
        <v/>
      </c>
      <c r="AC132" s="595" t="str">
        <f t="shared" si="383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4">IF(AL131="","",IF(AL129="",AL120*AL130*AL131,AL129*AL130*AL131))</f>
        <v/>
      </c>
      <c r="AM132" s="595" t="str">
        <f t="shared" si="384"/>
        <v/>
      </c>
      <c r="AN132" s="595" t="str">
        <f t="shared" si="384"/>
        <v/>
      </c>
      <c r="AO132" s="595" t="str">
        <f t="shared" si="384"/>
        <v/>
      </c>
      <c r="AP132" s="595" t="str">
        <f t="shared" si="384"/>
        <v/>
      </c>
      <c r="AQ132" s="595" t="str">
        <f t="shared" si="384"/>
        <v/>
      </c>
      <c r="AR132" s="595" t="str">
        <f t="shared" si="384"/>
        <v/>
      </c>
      <c r="AS132" s="595" t="str">
        <f t="shared" si="384"/>
        <v/>
      </c>
      <c r="AT132" s="595" t="str">
        <f t="shared" si="384"/>
        <v/>
      </c>
      <c r="AU132" s="595" t="str">
        <f t="shared" si="384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5">IF(BD131="","",IF(BD129="",BD120*BD130*BD131,BD129*BD130*BD131))</f>
        <v/>
      </c>
      <c r="BE132" s="595" t="str">
        <f t="shared" si="385"/>
        <v/>
      </c>
      <c r="BF132" s="595" t="str">
        <f t="shared" si="385"/>
        <v/>
      </c>
      <c r="BG132" s="595" t="str">
        <f t="shared" si="385"/>
        <v/>
      </c>
      <c r="BH132" s="595" t="str">
        <f t="shared" si="385"/>
        <v/>
      </c>
      <c r="BI132" s="595" t="str">
        <f t="shared" si="385"/>
        <v/>
      </c>
      <c r="BJ132" s="595" t="str">
        <f t="shared" si="385"/>
        <v/>
      </c>
      <c r="BK132" s="595" t="str">
        <f t="shared" si="385"/>
        <v/>
      </c>
      <c r="BL132" s="595" t="str">
        <f t="shared" si="385"/>
        <v/>
      </c>
      <c r="BM132" s="595" t="str">
        <f t="shared" si="385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5"/>
        <v/>
      </c>
      <c r="CA132" s="586" t="str">
        <f t="shared" si="296"/>
        <v/>
      </c>
      <c r="CB132" s="586" t="str">
        <f t="shared" si="297"/>
        <v/>
      </c>
      <c r="CC132" s="586" t="str">
        <f t="shared" si="298"/>
        <v/>
      </c>
      <c r="CD132" s="1331" t="str">
        <f t="shared" si="344"/>
        <v/>
      </c>
      <c r="CE132" s="1332" t="str">
        <f t="shared" si="345"/>
        <v/>
      </c>
      <c r="CF132" s="1332" t="str">
        <f t="shared" si="346"/>
        <v/>
      </c>
      <c r="CG132" s="1332" t="str">
        <f t="shared" si="347"/>
        <v/>
      </c>
      <c r="CH132" s="1333" t="str">
        <f t="shared" si="348"/>
        <v/>
      </c>
      <c r="CI132" s="1333" t="str">
        <f t="shared" si="349"/>
        <v/>
      </c>
      <c r="CJ132" s="1332" t="str">
        <f t="shared" si="350"/>
        <v/>
      </c>
      <c r="CK132" s="1332" t="str">
        <f t="shared" si="351"/>
        <v/>
      </c>
      <c r="CL132" s="1332" t="str">
        <f t="shared" si="352"/>
        <v/>
      </c>
      <c r="CM132" s="1331" t="str">
        <f t="shared" si="353"/>
        <v/>
      </c>
      <c r="CN132" s="538" t="str">
        <f t="shared" si="354"/>
        <v/>
      </c>
      <c r="CO132" s="539" t="str">
        <f t="shared" si="355"/>
        <v/>
      </c>
      <c r="CP132" s="539" t="str">
        <f t="shared" si="356"/>
        <v/>
      </c>
      <c r="CQ132" s="539" t="str">
        <f t="shared" si="357"/>
        <v/>
      </c>
      <c r="CR132" s="539" t="str">
        <f t="shared" si="358"/>
        <v/>
      </c>
      <c r="CS132" s="539" t="str">
        <f t="shared" si="359"/>
        <v/>
      </c>
      <c r="CT132" s="540" t="str">
        <f t="shared" si="360"/>
        <v/>
      </c>
      <c r="CU132" s="540" t="str">
        <f t="shared" si="361"/>
        <v/>
      </c>
      <c r="CV132" s="540" t="str">
        <f t="shared" si="362"/>
        <v/>
      </c>
      <c r="CW132" s="539" t="str">
        <f t="shared" si="363"/>
        <v/>
      </c>
      <c r="CX132" s="539" t="str">
        <f t="shared" si="364"/>
        <v/>
      </c>
      <c r="CY132" s="539" t="str">
        <f t="shared" si="365"/>
        <v/>
      </c>
      <c r="CZ132" s="539" t="str">
        <f t="shared" si="366"/>
        <v/>
      </c>
      <c r="DA132" s="539" t="str">
        <f t="shared" si="367"/>
        <v/>
      </c>
      <c r="DB132" s="538" t="str">
        <f t="shared" si="368"/>
        <v/>
      </c>
      <c r="DC132" s="537" t="str">
        <f t="shared" si="369"/>
        <v/>
      </c>
      <c r="DD132" s="641">
        <f t="shared" si="370"/>
        <v>0</v>
      </c>
      <c r="DE132" s="95">
        <f t="shared" si="371"/>
        <v>0</v>
      </c>
      <c r="DF132" s="95">
        <f t="shared" si="372"/>
        <v>0</v>
      </c>
      <c r="DG132" s="95">
        <f t="shared" si="373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5"/>
        <v/>
      </c>
      <c r="CA133" s="586" t="str">
        <f t="shared" si="296"/>
        <v/>
      </c>
      <c r="CB133" s="586" t="str">
        <f t="shared" si="297"/>
        <v/>
      </c>
      <c r="CC133" s="586" t="str">
        <f t="shared" si="298"/>
        <v/>
      </c>
      <c r="CD133" s="1331" t="str">
        <f t="shared" si="344"/>
        <v/>
      </c>
      <c r="CE133" s="1332" t="str">
        <f t="shared" si="345"/>
        <v/>
      </c>
      <c r="CF133" s="1332" t="str">
        <f t="shared" si="346"/>
        <v/>
      </c>
      <c r="CG133" s="1332" t="str">
        <f t="shared" si="347"/>
        <v/>
      </c>
      <c r="CH133" s="1333" t="str">
        <f t="shared" si="348"/>
        <v/>
      </c>
      <c r="CI133" s="1333" t="str">
        <f t="shared" si="349"/>
        <v/>
      </c>
      <c r="CJ133" s="1332" t="str">
        <f t="shared" si="350"/>
        <v/>
      </c>
      <c r="CK133" s="1332" t="str">
        <f t="shared" si="351"/>
        <v/>
      </c>
      <c r="CL133" s="1332" t="str">
        <f t="shared" si="352"/>
        <v/>
      </c>
      <c r="CM133" s="1331" t="str">
        <f t="shared" si="353"/>
        <v/>
      </c>
      <c r="CN133" s="538" t="str">
        <f t="shared" si="354"/>
        <v/>
      </c>
      <c r="CO133" s="539" t="str">
        <f t="shared" si="355"/>
        <v/>
      </c>
      <c r="CP133" s="539" t="str">
        <f t="shared" si="356"/>
        <v/>
      </c>
      <c r="CQ133" s="539" t="str">
        <f t="shared" si="357"/>
        <v/>
      </c>
      <c r="CR133" s="539" t="str">
        <f t="shared" si="358"/>
        <v/>
      </c>
      <c r="CS133" s="539" t="str">
        <f t="shared" si="359"/>
        <v/>
      </c>
      <c r="CT133" s="540" t="str">
        <f t="shared" si="360"/>
        <v/>
      </c>
      <c r="CU133" s="540" t="str">
        <f t="shared" si="361"/>
        <v/>
      </c>
      <c r="CV133" s="540" t="str">
        <f t="shared" si="362"/>
        <v/>
      </c>
      <c r="CW133" s="539" t="str">
        <f t="shared" si="363"/>
        <v/>
      </c>
      <c r="CX133" s="539" t="str">
        <f t="shared" si="364"/>
        <v/>
      </c>
      <c r="CY133" s="539" t="str">
        <f t="shared" si="365"/>
        <v/>
      </c>
      <c r="CZ133" s="539" t="str">
        <f t="shared" si="366"/>
        <v/>
      </c>
      <c r="DA133" s="539" t="str">
        <f t="shared" si="367"/>
        <v/>
      </c>
      <c r="DB133" s="538" t="str">
        <f t="shared" si="368"/>
        <v/>
      </c>
      <c r="DC133" s="537" t="str">
        <f t="shared" si="369"/>
        <v/>
      </c>
      <c r="DD133" s="641">
        <f t="shared" si="370"/>
        <v>0</v>
      </c>
      <c r="DE133" s="95">
        <f t="shared" si="371"/>
        <v>0</v>
      </c>
      <c r="DF133" s="95">
        <f t="shared" si="372"/>
        <v>0</v>
      </c>
      <c r="DG133" s="95">
        <f t="shared" si="373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5"/>
        <v/>
      </c>
      <c r="CA134" s="586" t="str">
        <f t="shared" si="296"/>
        <v/>
      </c>
      <c r="CB134" s="586" t="str">
        <f t="shared" si="297"/>
        <v/>
      </c>
      <c r="CC134" s="586" t="str">
        <f t="shared" si="298"/>
        <v/>
      </c>
      <c r="CD134" s="1331" t="str">
        <f t="shared" si="344"/>
        <v/>
      </c>
      <c r="CE134" s="1332" t="str">
        <f t="shared" si="345"/>
        <v/>
      </c>
      <c r="CF134" s="1332" t="str">
        <f t="shared" si="346"/>
        <v/>
      </c>
      <c r="CG134" s="1332" t="str">
        <f t="shared" si="347"/>
        <v/>
      </c>
      <c r="CH134" s="1333" t="str">
        <f t="shared" si="348"/>
        <v/>
      </c>
      <c r="CI134" s="1333" t="str">
        <f t="shared" si="349"/>
        <v/>
      </c>
      <c r="CJ134" s="1332" t="str">
        <f t="shared" si="350"/>
        <v/>
      </c>
      <c r="CK134" s="1332" t="str">
        <f t="shared" si="351"/>
        <v/>
      </c>
      <c r="CL134" s="1332" t="str">
        <f t="shared" si="352"/>
        <v/>
      </c>
      <c r="CM134" s="1331" t="str">
        <f t="shared" si="353"/>
        <v/>
      </c>
      <c r="CN134" s="538" t="str">
        <f t="shared" si="354"/>
        <v/>
      </c>
      <c r="CO134" s="539" t="str">
        <f t="shared" si="355"/>
        <v/>
      </c>
      <c r="CP134" s="539" t="str">
        <f t="shared" si="356"/>
        <v/>
      </c>
      <c r="CQ134" s="539" t="str">
        <f t="shared" si="357"/>
        <v/>
      </c>
      <c r="CR134" s="539" t="str">
        <f t="shared" si="358"/>
        <v/>
      </c>
      <c r="CS134" s="539" t="str">
        <f t="shared" si="359"/>
        <v/>
      </c>
      <c r="CT134" s="540" t="str">
        <f t="shared" si="360"/>
        <v/>
      </c>
      <c r="CU134" s="540" t="str">
        <f t="shared" si="361"/>
        <v/>
      </c>
      <c r="CV134" s="540" t="str">
        <f t="shared" si="362"/>
        <v/>
      </c>
      <c r="CW134" s="539" t="str">
        <f t="shared" si="363"/>
        <v/>
      </c>
      <c r="CX134" s="539" t="str">
        <f t="shared" si="364"/>
        <v/>
      </c>
      <c r="CY134" s="539" t="str">
        <f t="shared" si="365"/>
        <v/>
      </c>
      <c r="CZ134" s="539" t="str">
        <f t="shared" si="366"/>
        <v/>
      </c>
      <c r="DA134" s="539" t="str">
        <f t="shared" si="367"/>
        <v/>
      </c>
      <c r="DB134" s="538" t="str">
        <f t="shared" si="368"/>
        <v/>
      </c>
      <c r="DC134" s="537" t="str">
        <f t="shared" si="369"/>
        <v/>
      </c>
      <c r="DD134" s="641">
        <f t="shared" si="370"/>
        <v>0</v>
      </c>
      <c r="DE134" s="95">
        <f t="shared" si="371"/>
        <v>0</v>
      </c>
      <c r="DF134" s="95">
        <f t="shared" si="372"/>
        <v>0</v>
      </c>
      <c r="DG134" s="95">
        <f t="shared" si="373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183</v>
      </c>
      <c r="B135" s="595" t="str">
        <f t="shared" ref="B135:K135" si="386">IF(B133="","",B133*B134)</f>
        <v/>
      </c>
      <c r="C135" s="595" t="str">
        <f t="shared" si="386"/>
        <v/>
      </c>
      <c r="D135" s="595" t="str">
        <f t="shared" si="386"/>
        <v/>
      </c>
      <c r="E135" s="595" t="str">
        <f t="shared" si="386"/>
        <v/>
      </c>
      <c r="F135" s="595" t="str">
        <f t="shared" si="386"/>
        <v/>
      </c>
      <c r="G135" s="595" t="str">
        <f t="shared" si="386"/>
        <v/>
      </c>
      <c r="H135" s="595" t="str">
        <f t="shared" si="386"/>
        <v/>
      </c>
      <c r="I135" s="595" t="str">
        <f t="shared" si="386"/>
        <v/>
      </c>
      <c r="J135" s="595" t="str">
        <f t="shared" si="386"/>
        <v/>
      </c>
      <c r="K135" s="595" t="str">
        <f t="shared" si="386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7">IF(T133="","",T133*T134)</f>
        <v/>
      </c>
      <c r="U135" s="595" t="str">
        <f t="shared" si="387"/>
        <v/>
      </c>
      <c r="V135" s="595" t="str">
        <f t="shared" si="387"/>
        <v/>
      </c>
      <c r="W135" s="595" t="str">
        <f t="shared" si="387"/>
        <v/>
      </c>
      <c r="X135" s="595" t="str">
        <f t="shared" si="387"/>
        <v/>
      </c>
      <c r="Y135" s="595" t="str">
        <f t="shared" si="387"/>
        <v/>
      </c>
      <c r="Z135" s="595" t="str">
        <f t="shared" si="387"/>
        <v/>
      </c>
      <c r="AA135" s="595" t="str">
        <f t="shared" si="387"/>
        <v/>
      </c>
      <c r="AB135" s="595" t="str">
        <f t="shared" si="387"/>
        <v/>
      </c>
      <c r="AC135" s="595" t="str">
        <f t="shared" si="387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8">IF(AL133="","",AL133*AL134)</f>
        <v/>
      </c>
      <c r="AM135" s="595" t="str">
        <f t="shared" si="388"/>
        <v/>
      </c>
      <c r="AN135" s="595" t="str">
        <f t="shared" si="388"/>
        <v/>
      </c>
      <c r="AO135" s="595" t="str">
        <f t="shared" si="388"/>
        <v/>
      </c>
      <c r="AP135" s="595" t="str">
        <f t="shared" si="388"/>
        <v/>
      </c>
      <c r="AQ135" s="595" t="str">
        <f t="shared" si="388"/>
        <v/>
      </c>
      <c r="AR135" s="595" t="str">
        <f t="shared" si="388"/>
        <v/>
      </c>
      <c r="AS135" s="595" t="str">
        <f t="shared" si="388"/>
        <v/>
      </c>
      <c r="AT135" s="595" t="str">
        <f t="shared" si="388"/>
        <v/>
      </c>
      <c r="AU135" s="595" t="str">
        <f t="shared" si="388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9">IF(BD133="","",BD133*BD134)</f>
        <v/>
      </c>
      <c r="BE135" s="595" t="str">
        <f t="shared" si="389"/>
        <v/>
      </c>
      <c r="BF135" s="595" t="str">
        <f t="shared" si="389"/>
        <v/>
      </c>
      <c r="BG135" s="595" t="str">
        <f t="shared" si="389"/>
        <v/>
      </c>
      <c r="BH135" s="595" t="str">
        <f t="shared" si="389"/>
        <v/>
      </c>
      <c r="BI135" s="595" t="str">
        <f t="shared" si="389"/>
        <v/>
      </c>
      <c r="BJ135" s="595" t="str">
        <f t="shared" si="389"/>
        <v/>
      </c>
      <c r="BK135" s="595" t="str">
        <f t="shared" si="389"/>
        <v/>
      </c>
      <c r="BL135" s="595" t="str">
        <f t="shared" si="389"/>
        <v/>
      </c>
      <c r="BM135" s="595" t="str">
        <f t="shared" si="389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5"/>
        <v/>
      </c>
      <c r="CA135" s="586" t="str">
        <f t="shared" si="296"/>
        <v/>
      </c>
      <c r="CB135" s="586" t="str">
        <f t="shared" si="297"/>
        <v/>
      </c>
      <c r="CC135" s="586" t="str">
        <f t="shared" si="298"/>
        <v/>
      </c>
      <c r="CD135" s="1331" t="str">
        <f t="shared" si="344"/>
        <v/>
      </c>
      <c r="CE135" s="1332" t="str">
        <f t="shared" si="345"/>
        <v/>
      </c>
      <c r="CF135" s="1332" t="str">
        <f t="shared" si="346"/>
        <v/>
      </c>
      <c r="CG135" s="1332" t="str">
        <f t="shared" si="347"/>
        <v/>
      </c>
      <c r="CH135" s="1333" t="str">
        <f t="shared" si="348"/>
        <v/>
      </c>
      <c r="CI135" s="1333" t="str">
        <f t="shared" si="349"/>
        <v/>
      </c>
      <c r="CJ135" s="1332" t="str">
        <f t="shared" si="350"/>
        <v/>
      </c>
      <c r="CK135" s="1332" t="str">
        <f t="shared" si="351"/>
        <v/>
      </c>
      <c r="CL135" s="1332" t="str">
        <f t="shared" si="352"/>
        <v/>
      </c>
      <c r="CM135" s="1331" t="str">
        <f t="shared" si="353"/>
        <v/>
      </c>
      <c r="CN135" s="538" t="str">
        <f t="shared" si="354"/>
        <v/>
      </c>
      <c r="CO135" s="539" t="str">
        <f t="shared" si="355"/>
        <v/>
      </c>
      <c r="CP135" s="539" t="str">
        <f t="shared" si="356"/>
        <v/>
      </c>
      <c r="CQ135" s="539" t="str">
        <f t="shared" si="357"/>
        <v/>
      </c>
      <c r="CR135" s="539" t="str">
        <f t="shared" si="358"/>
        <v/>
      </c>
      <c r="CS135" s="539" t="str">
        <f t="shared" si="359"/>
        <v/>
      </c>
      <c r="CT135" s="540" t="str">
        <f t="shared" si="360"/>
        <v/>
      </c>
      <c r="CU135" s="540" t="str">
        <f t="shared" si="361"/>
        <v/>
      </c>
      <c r="CV135" s="540" t="str">
        <f t="shared" si="362"/>
        <v/>
      </c>
      <c r="CW135" s="539" t="str">
        <f t="shared" si="363"/>
        <v/>
      </c>
      <c r="CX135" s="539" t="str">
        <f t="shared" si="364"/>
        <v/>
      </c>
      <c r="CY135" s="539" t="str">
        <f t="shared" si="365"/>
        <v/>
      </c>
      <c r="CZ135" s="539" t="str">
        <f t="shared" si="366"/>
        <v/>
      </c>
      <c r="DA135" s="539" t="str">
        <f t="shared" si="367"/>
        <v/>
      </c>
      <c r="DB135" s="538" t="str">
        <f t="shared" si="368"/>
        <v/>
      </c>
      <c r="DC135" s="537" t="str">
        <f t="shared" si="369"/>
        <v/>
      </c>
      <c r="DD135" s="641">
        <f t="shared" si="370"/>
        <v>0</v>
      </c>
      <c r="DE135" s="95">
        <f t="shared" si="371"/>
        <v>0</v>
      </c>
      <c r="DF135" s="95">
        <f t="shared" si="372"/>
        <v>0</v>
      </c>
      <c r="DG135" s="95">
        <f t="shared" si="373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185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5"/>
        <v>1</v>
      </c>
      <c r="CA136" s="586">
        <f t="shared" si="296"/>
        <v>1</v>
      </c>
      <c r="CB136" s="586">
        <f t="shared" si="297"/>
        <v>1</v>
      </c>
      <c r="CC136" s="586">
        <f t="shared" si="298"/>
        <v>1.375</v>
      </c>
      <c r="CD136" s="1331">
        <f t="shared" si="344"/>
        <v>1</v>
      </c>
      <c r="CE136" s="1332">
        <f t="shared" si="345"/>
        <v>1</v>
      </c>
      <c r="CF136" s="1332">
        <f t="shared" si="346"/>
        <v>1</v>
      </c>
      <c r="CG136" s="1332">
        <f t="shared" si="347"/>
        <v>1</v>
      </c>
      <c r="CH136" s="1333">
        <f t="shared" si="348"/>
        <v>1</v>
      </c>
      <c r="CI136" s="1333">
        <f t="shared" si="349"/>
        <v>1</v>
      </c>
      <c r="CJ136" s="1332">
        <f t="shared" si="350"/>
        <v>1</v>
      </c>
      <c r="CK136" s="1332">
        <f t="shared" si="351"/>
        <v>1</v>
      </c>
      <c r="CL136" s="1332">
        <f t="shared" si="352"/>
        <v>1</v>
      </c>
      <c r="CM136" s="1331">
        <f t="shared" si="353"/>
        <v>1</v>
      </c>
      <c r="CN136" s="538" t="str">
        <f t="shared" si="354"/>
        <v/>
      </c>
      <c r="CO136" s="539" t="str">
        <f t="shared" si="355"/>
        <v/>
      </c>
      <c r="CP136" s="539" t="str">
        <f t="shared" si="356"/>
        <v/>
      </c>
      <c r="CQ136" s="539">
        <f t="shared" si="357"/>
        <v>1</v>
      </c>
      <c r="CR136" s="539">
        <f t="shared" si="358"/>
        <v>1</v>
      </c>
      <c r="CS136" s="539">
        <f t="shared" si="359"/>
        <v>1</v>
      </c>
      <c r="CT136" s="540">
        <f t="shared" si="360"/>
        <v>1</v>
      </c>
      <c r="CU136" s="540">
        <f t="shared" si="361"/>
        <v>1</v>
      </c>
      <c r="CV136" s="540">
        <f t="shared" si="362"/>
        <v>1</v>
      </c>
      <c r="CW136" s="539">
        <f t="shared" si="363"/>
        <v>1</v>
      </c>
      <c r="CX136" s="539">
        <f t="shared" si="364"/>
        <v>2</v>
      </c>
      <c r="CY136" s="539">
        <f t="shared" si="365"/>
        <v>3</v>
      </c>
      <c r="CZ136" s="539">
        <f t="shared" si="366"/>
        <v>4</v>
      </c>
      <c r="DA136" s="539" t="str">
        <f t="shared" si="367"/>
        <v/>
      </c>
      <c r="DB136" s="538" t="str">
        <f t="shared" si="368"/>
        <v/>
      </c>
      <c r="DC136" s="537" t="str">
        <f t="shared" si="369"/>
        <v/>
      </c>
      <c r="DD136" s="641">
        <f t="shared" si="370"/>
        <v>10</v>
      </c>
      <c r="DE136" s="95">
        <f t="shared" si="371"/>
        <v>10</v>
      </c>
      <c r="DF136" s="95">
        <f t="shared" si="372"/>
        <v>10</v>
      </c>
      <c r="DG136" s="95">
        <f t="shared" si="373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187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5"/>
        <v/>
      </c>
      <c r="CA137" s="586" t="str">
        <f t="shared" si="296"/>
        <v/>
      </c>
      <c r="CB137" s="586" t="str">
        <f t="shared" si="297"/>
        <v/>
      </c>
      <c r="CC137" s="586" t="str">
        <f t="shared" si="298"/>
        <v/>
      </c>
      <c r="CD137" s="1331" t="str">
        <f t="shared" si="344"/>
        <v/>
      </c>
      <c r="CE137" s="1332" t="str">
        <f t="shared" si="345"/>
        <v/>
      </c>
      <c r="CF137" s="1332" t="str">
        <f t="shared" si="346"/>
        <v/>
      </c>
      <c r="CG137" s="1332" t="str">
        <f t="shared" si="347"/>
        <v/>
      </c>
      <c r="CH137" s="1333" t="str">
        <f t="shared" si="348"/>
        <v/>
      </c>
      <c r="CI137" s="1333" t="str">
        <f t="shared" si="349"/>
        <v/>
      </c>
      <c r="CJ137" s="1332" t="str">
        <f t="shared" si="350"/>
        <v/>
      </c>
      <c r="CK137" s="1332" t="str">
        <f t="shared" si="351"/>
        <v/>
      </c>
      <c r="CL137" s="1332" t="str">
        <f t="shared" si="352"/>
        <v/>
      </c>
      <c r="CM137" s="1331" t="str">
        <f t="shared" si="353"/>
        <v/>
      </c>
      <c r="CN137" s="538" t="str">
        <f t="shared" si="354"/>
        <v/>
      </c>
      <c r="CO137" s="539" t="str">
        <f t="shared" si="355"/>
        <v/>
      </c>
      <c r="CP137" s="539" t="str">
        <f t="shared" si="356"/>
        <v/>
      </c>
      <c r="CQ137" s="539" t="str">
        <f t="shared" si="357"/>
        <v/>
      </c>
      <c r="CR137" s="539" t="str">
        <f t="shared" si="358"/>
        <v/>
      </c>
      <c r="CS137" s="539" t="str">
        <f t="shared" si="359"/>
        <v/>
      </c>
      <c r="CT137" s="540" t="str">
        <f t="shared" si="360"/>
        <v/>
      </c>
      <c r="CU137" s="540" t="str">
        <f t="shared" si="361"/>
        <v/>
      </c>
      <c r="CV137" s="540" t="str">
        <f t="shared" si="362"/>
        <v/>
      </c>
      <c r="CW137" s="539" t="str">
        <f t="shared" si="363"/>
        <v/>
      </c>
      <c r="CX137" s="539" t="str">
        <f t="shared" si="364"/>
        <v/>
      </c>
      <c r="CY137" s="539" t="str">
        <f t="shared" si="365"/>
        <v/>
      </c>
      <c r="CZ137" s="539" t="str">
        <f t="shared" si="366"/>
        <v/>
      </c>
      <c r="DA137" s="539" t="str">
        <f t="shared" si="367"/>
        <v/>
      </c>
      <c r="DB137" s="538" t="str">
        <f t="shared" si="368"/>
        <v/>
      </c>
      <c r="DC137" s="537" t="str">
        <f t="shared" si="369"/>
        <v/>
      </c>
      <c r="DD137" s="641">
        <f t="shared" si="370"/>
        <v>0</v>
      </c>
      <c r="DE137" s="95">
        <f t="shared" si="371"/>
        <v>0</v>
      </c>
      <c r="DF137" s="95">
        <f t="shared" si="372"/>
        <v>0</v>
      </c>
      <c r="DG137" s="95">
        <f t="shared" si="373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220</v>
      </c>
      <c r="B138" s="609" t="str">
        <f t="shared" ref="B138:K138" si="390">IF(SUM(B123,B132)&gt;0,SUM(B124,B133)/SUM(B123,B132),"")</f>
        <v/>
      </c>
      <c r="C138" s="609" t="str">
        <f t="shared" si="390"/>
        <v/>
      </c>
      <c r="D138" s="609" t="str">
        <f t="shared" si="390"/>
        <v/>
      </c>
      <c r="E138" s="609" t="str">
        <f t="shared" si="390"/>
        <v/>
      </c>
      <c r="F138" s="609" t="str">
        <f t="shared" si="390"/>
        <v/>
      </c>
      <c r="G138" s="609" t="str">
        <f t="shared" si="390"/>
        <v/>
      </c>
      <c r="H138" s="609" t="str">
        <f t="shared" si="390"/>
        <v/>
      </c>
      <c r="I138" s="609" t="str">
        <f t="shared" si="390"/>
        <v/>
      </c>
      <c r="J138" s="609" t="str">
        <f t="shared" si="390"/>
        <v/>
      </c>
      <c r="K138" s="609" t="str">
        <f t="shared" si="390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91">IF(SUM(T123,T132)&gt;0,SUM(T124,T133)/SUM(T123,T132),"")</f>
        <v/>
      </c>
      <c r="U138" s="609" t="str">
        <f t="shared" si="391"/>
        <v/>
      </c>
      <c r="V138" s="609" t="str">
        <f t="shared" si="391"/>
        <v/>
      </c>
      <c r="W138" s="609" t="str">
        <f t="shared" si="391"/>
        <v/>
      </c>
      <c r="X138" s="609" t="str">
        <f t="shared" si="391"/>
        <v/>
      </c>
      <c r="Y138" s="609" t="str">
        <f t="shared" si="391"/>
        <v/>
      </c>
      <c r="Z138" s="609" t="str">
        <f t="shared" si="391"/>
        <v/>
      </c>
      <c r="AA138" s="609" t="str">
        <f t="shared" si="391"/>
        <v/>
      </c>
      <c r="AB138" s="609" t="str">
        <f t="shared" si="391"/>
        <v/>
      </c>
      <c r="AC138" s="609" t="str">
        <f t="shared" si="391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2">IF(SUM(AL123,AL132)&gt;0,SUM(AL124,AL133)/SUM(AL123,AL132),"")</f>
        <v/>
      </c>
      <c r="AM138" s="609" t="str">
        <f t="shared" si="392"/>
        <v/>
      </c>
      <c r="AN138" s="609" t="str">
        <f t="shared" si="392"/>
        <v/>
      </c>
      <c r="AO138" s="609" t="str">
        <f t="shared" si="392"/>
        <v/>
      </c>
      <c r="AP138" s="609" t="str">
        <f t="shared" si="392"/>
        <v/>
      </c>
      <c r="AQ138" s="609" t="str">
        <f t="shared" si="392"/>
        <v/>
      </c>
      <c r="AR138" s="609" t="str">
        <f t="shared" si="392"/>
        <v/>
      </c>
      <c r="AS138" s="609" t="str">
        <f t="shared" si="392"/>
        <v/>
      </c>
      <c r="AT138" s="609" t="str">
        <f t="shared" si="392"/>
        <v/>
      </c>
      <c r="AU138" s="609" t="str">
        <f t="shared" si="392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3">IF(SUM(BD123,BD132)&gt;0,SUM(BD124,BD133)/SUM(BD123,BD132),"")</f>
        <v/>
      </c>
      <c r="BE138" s="609" t="str">
        <f t="shared" si="393"/>
        <v/>
      </c>
      <c r="BF138" s="609" t="str">
        <f t="shared" si="393"/>
        <v/>
      </c>
      <c r="BG138" s="609" t="str">
        <f t="shared" si="393"/>
        <v/>
      </c>
      <c r="BH138" s="609" t="str">
        <f t="shared" si="393"/>
        <v/>
      </c>
      <c r="BI138" s="609" t="str">
        <f t="shared" si="393"/>
        <v/>
      </c>
      <c r="BJ138" s="609" t="str">
        <f t="shared" si="393"/>
        <v/>
      </c>
      <c r="BK138" s="609" t="str">
        <f t="shared" si="393"/>
        <v/>
      </c>
      <c r="BL138" s="609" t="str">
        <f t="shared" si="393"/>
        <v/>
      </c>
      <c r="BM138" s="609" t="str">
        <f t="shared" si="393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5"/>
        <v/>
      </c>
      <c r="CA138" s="586" t="str">
        <f t="shared" si="296"/>
        <v/>
      </c>
      <c r="CB138" s="586" t="str">
        <f t="shared" si="297"/>
        <v/>
      </c>
      <c r="CC138" s="586" t="str">
        <f t="shared" si="298"/>
        <v/>
      </c>
      <c r="CD138" s="1325" t="str">
        <f t="shared" si="344"/>
        <v/>
      </c>
      <c r="CE138" s="1326" t="str">
        <f t="shared" si="345"/>
        <v/>
      </c>
      <c r="CF138" s="1326" t="str">
        <f t="shared" si="346"/>
        <v/>
      </c>
      <c r="CG138" s="1326" t="str">
        <f t="shared" si="347"/>
        <v/>
      </c>
      <c r="CH138" s="1327" t="str">
        <f t="shared" si="348"/>
        <v/>
      </c>
      <c r="CI138" s="1327" t="str">
        <f t="shared" si="349"/>
        <v/>
      </c>
      <c r="CJ138" s="1326" t="str">
        <f t="shared" si="350"/>
        <v/>
      </c>
      <c r="CK138" s="1326" t="str">
        <f t="shared" si="351"/>
        <v/>
      </c>
      <c r="CL138" s="1326" t="str">
        <f t="shared" si="352"/>
        <v/>
      </c>
      <c r="CM138" s="1325" t="str">
        <f t="shared" si="353"/>
        <v/>
      </c>
      <c r="CN138" s="526" t="str">
        <f t="shared" si="354"/>
        <v/>
      </c>
      <c r="CO138" s="527" t="str">
        <f t="shared" si="355"/>
        <v/>
      </c>
      <c r="CP138" s="527" t="str">
        <f t="shared" si="356"/>
        <v/>
      </c>
      <c r="CQ138" s="527" t="str">
        <f t="shared" si="357"/>
        <v/>
      </c>
      <c r="CR138" s="527" t="str">
        <f t="shared" si="358"/>
        <v/>
      </c>
      <c r="CS138" s="527" t="str">
        <f t="shared" si="359"/>
        <v/>
      </c>
      <c r="CT138" s="528" t="str">
        <f t="shared" si="360"/>
        <v/>
      </c>
      <c r="CU138" s="528" t="str">
        <f t="shared" si="361"/>
        <v/>
      </c>
      <c r="CV138" s="528" t="str">
        <f t="shared" si="362"/>
        <v/>
      </c>
      <c r="CW138" s="527" t="str">
        <f t="shared" si="363"/>
        <v/>
      </c>
      <c r="CX138" s="527" t="str">
        <f t="shared" si="364"/>
        <v/>
      </c>
      <c r="CY138" s="527" t="str">
        <f t="shared" si="365"/>
        <v/>
      </c>
      <c r="CZ138" s="527" t="str">
        <f t="shared" si="366"/>
        <v/>
      </c>
      <c r="DA138" s="527" t="str">
        <f t="shared" si="367"/>
        <v/>
      </c>
      <c r="DB138" s="526" t="str">
        <f t="shared" si="368"/>
        <v/>
      </c>
      <c r="DC138" s="525" t="str">
        <f t="shared" si="369"/>
        <v/>
      </c>
      <c r="DD138" s="641">
        <f t="shared" si="370"/>
        <v>0</v>
      </c>
      <c r="DE138" s="95">
        <f t="shared" si="371"/>
        <v>0</v>
      </c>
      <c r="DF138" s="95">
        <f t="shared" si="372"/>
        <v>0</v>
      </c>
      <c r="DG138" s="95">
        <f t="shared" si="373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196</v>
      </c>
      <c r="B139" s="614" t="str">
        <f t="shared" ref="B139:K139" si="394">IF(SUM(B123,B132)=0,"",SUM(B123,-B124*B127,-B128*B127,B132,-B133*B136,-B137*B136)*0.098)</f>
        <v/>
      </c>
      <c r="C139" s="614" t="str">
        <f t="shared" si="394"/>
        <v/>
      </c>
      <c r="D139" s="614" t="str">
        <f t="shared" si="394"/>
        <v/>
      </c>
      <c r="E139" s="614" t="str">
        <f t="shared" si="394"/>
        <v/>
      </c>
      <c r="F139" s="614" t="str">
        <f t="shared" si="394"/>
        <v/>
      </c>
      <c r="G139" s="614" t="str">
        <f t="shared" si="394"/>
        <v/>
      </c>
      <c r="H139" s="614" t="str">
        <f t="shared" si="394"/>
        <v/>
      </c>
      <c r="I139" s="614" t="str">
        <f t="shared" si="394"/>
        <v/>
      </c>
      <c r="J139" s="614" t="str">
        <f t="shared" si="394"/>
        <v/>
      </c>
      <c r="K139" s="614" t="str">
        <f t="shared" si="394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5">IF(SUM(T123,T132)=0,"",SUM(T123,-T124*T127,-T128*T127,T132,-T133*T136,-T137*T136)*0.098)</f>
        <v/>
      </c>
      <c r="U139" s="614" t="str">
        <f t="shared" si="395"/>
        <v/>
      </c>
      <c r="V139" s="614" t="str">
        <f t="shared" si="395"/>
        <v/>
      </c>
      <c r="W139" s="614" t="str">
        <f t="shared" si="395"/>
        <v/>
      </c>
      <c r="X139" s="614" t="str">
        <f t="shared" si="395"/>
        <v/>
      </c>
      <c r="Y139" s="614" t="str">
        <f t="shared" si="395"/>
        <v/>
      </c>
      <c r="Z139" s="614" t="str">
        <f t="shared" si="395"/>
        <v/>
      </c>
      <c r="AA139" s="614" t="str">
        <f t="shared" si="395"/>
        <v/>
      </c>
      <c r="AB139" s="614" t="str">
        <f t="shared" si="395"/>
        <v/>
      </c>
      <c r="AC139" s="614" t="str">
        <f t="shared" si="395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6">IF(SUM(AL123,AL132)=0,"",SUM(AL123,-AL124*AL127,-AL128*AL127,AL132,-AL133*AL136,-AL137*AL136)*0.098)</f>
        <v/>
      </c>
      <c r="AM139" s="614" t="str">
        <f t="shared" si="396"/>
        <v/>
      </c>
      <c r="AN139" s="614" t="str">
        <f t="shared" si="396"/>
        <v/>
      </c>
      <c r="AO139" s="614" t="str">
        <f t="shared" si="396"/>
        <v/>
      </c>
      <c r="AP139" s="614" t="str">
        <f t="shared" si="396"/>
        <v/>
      </c>
      <c r="AQ139" s="614" t="str">
        <f t="shared" si="396"/>
        <v/>
      </c>
      <c r="AR139" s="614" t="str">
        <f t="shared" si="396"/>
        <v/>
      </c>
      <c r="AS139" s="614" t="str">
        <f t="shared" si="396"/>
        <v/>
      </c>
      <c r="AT139" s="614" t="str">
        <f t="shared" si="396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7">IF(SUM(BD123,BD132)=0,"",SUM(BD123,-BD124*BD127,-BD128*BD127,BD132,-BD133*BD136,-BD137*BD136)*0.098)</f>
        <v/>
      </c>
      <c r="BE139" s="614" t="str">
        <f t="shared" si="397"/>
        <v/>
      </c>
      <c r="BF139" s="614" t="str">
        <f t="shared" si="397"/>
        <v/>
      </c>
      <c r="BG139" s="614" t="str">
        <f t="shared" si="397"/>
        <v/>
      </c>
      <c r="BH139" s="614" t="str">
        <f t="shared" si="397"/>
        <v/>
      </c>
      <c r="BI139" s="614" t="str">
        <f t="shared" si="397"/>
        <v/>
      </c>
      <c r="BJ139" s="614" t="str">
        <f t="shared" si="397"/>
        <v/>
      </c>
      <c r="BK139" s="614" t="str">
        <f t="shared" si="397"/>
        <v/>
      </c>
      <c r="BL139" s="614" t="str">
        <f t="shared" si="397"/>
        <v/>
      </c>
      <c r="BM139" s="614" t="str">
        <f t="shared" si="397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5"/>
        <v/>
      </c>
      <c r="CA139" s="586" t="str">
        <f t="shared" si="296"/>
        <v/>
      </c>
      <c r="CB139" s="586" t="str">
        <f t="shared" si="297"/>
        <v/>
      </c>
      <c r="CC139" s="586" t="str">
        <f t="shared" si="298"/>
        <v/>
      </c>
      <c r="CD139" s="1331" t="str">
        <f t="shared" si="344"/>
        <v/>
      </c>
      <c r="CE139" s="1332" t="str">
        <f t="shared" si="345"/>
        <v/>
      </c>
      <c r="CF139" s="1332" t="str">
        <f t="shared" si="346"/>
        <v/>
      </c>
      <c r="CG139" s="1332" t="str">
        <f t="shared" si="347"/>
        <v/>
      </c>
      <c r="CH139" s="1333" t="str">
        <f t="shared" si="348"/>
        <v/>
      </c>
      <c r="CI139" s="1333" t="str">
        <f t="shared" si="349"/>
        <v/>
      </c>
      <c r="CJ139" s="1332" t="str">
        <f t="shared" si="350"/>
        <v/>
      </c>
      <c r="CK139" s="1332" t="str">
        <f t="shared" si="351"/>
        <v/>
      </c>
      <c r="CL139" s="1332" t="str">
        <f t="shared" si="352"/>
        <v/>
      </c>
      <c r="CM139" s="1331" t="str">
        <f t="shared" si="353"/>
        <v/>
      </c>
      <c r="CN139" s="538" t="str">
        <f t="shared" si="354"/>
        <v/>
      </c>
      <c r="CO139" s="539" t="str">
        <f t="shared" si="355"/>
        <v/>
      </c>
      <c r="CP139" s="539" t="str">
        <f t="shared" si="356"/>
        <v/>
      </c>
      <c r="CQ139" s="539" t="str">
        <f t="shared" si="357"/>
        <v/>
      </c>
      <c r="CR139" s="539" t="str">
        <f t="shared" si="358"/>
        <v/>
      </c>
      <c r="CS139" s="539" t="str">
        <f t="shared" si="359"/>
        <v/>
      </c>
      <c r="CT139" s="540" t="str">
        <f t="shared" si="360"/>
        <v/>
      </c>
      <c r="CU139" s="540" t="str">
        <f t="shared" si="361"/>
        <v/>
      </c>
      <c r="CV139" s="540" t="str">
        <f t="shared" si="362"/>
        <v/>
      </c>
      <c r="CW139" s="539" t="str">
        <f t="shared" si="363"/>
        <v/>
      </c>
      <c r="CX139" s="539" t="str">
        <f t="shared" si="364"/>
        <v/>
      </c>
      <c r="CY139" s="539" t="str">
        <f t="shared" si="365"/>
        <v/>
      </c>
      <c r="CZ139" s="539" t="str">
        <f t="shared" si="366"/>
        <v/>
      </c>
      <c r="DA139" s="539" t="str">
        <f t="shared" si="367"/>
        <v/>
      </c>
      <c r="DB139" s="538" t="str">
        <f t="shared" si="368"/>
        <v/>
      </c>
      <c r="DC139" s="537" t="str">
        <f t="shared" si="369"/>
        <v/>
      </c>
      <c r="DD139" s="641">
        <f t="shared" si="370"/>
        <v>0</v>
      </c>
      <c r="DE139" s="95">
        <f t="shared" si="371"/>
        <v>0</v>
      </c>
      <c r="DF139" s="95">
        <f t="shared" si="372"/>
        <v>0</v>
      </c>
      <c r="DG139" s="95">
        <f t="shared" si="373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5"/>
        <v/>
      </c>
      <c r="CA140" s="586" t="str">
        <f t="shared" si="296"/>
        <v/>
      </c>
      <c r="CB140" s="586" t="str">
        <f t="shared" si="297"/>
        <v/>
      </c>
      <c r="CC140" s="586" t="str">
        <f t="shared" si="298"/>
        <v/>
      </c>
      <c r="CD140" s="1331" t="str">
        <f t="shared" si="344"/>
        <v/>
      </c>
      <c r="CE140" s="1332" t="str">
        <f t="shared" si="345"/>
        <v/>
      </c>
      <c r="CF140" s="1332" t="str">
        <f t="shared" si="346"/>
        <v/>
      </c>
      <c r="CG140" s="1332" t="str">
        <f t="shared" si="347"/>
        <v/>
      </c>
      <c r="CH140" s="1333" t="str">
        <f t="shared" si="348"/>
        <v/>
      </c>
      <c r="CI140" s="1333" t="str">
        <f t="shared" si="349"/>
        <v/>
      </c>
      <c r="CJ140" s="1332" t="str">
        <f t="shared" si="350"/>
        <v/>
      </c>
      <c r="CK140" s="1332" t="str">
        <f t="shared" si="351"/>
        <v/>
      </c>
      <c r="CL140" s="1332" t="str">
        <f t="shared" si="352"/>
        <v/>
      </c>
      <c r="CM140" s="1331" t="str">
        <f t="shared" si="353"/>
        <v/>
      </c>
      <c r="CN140" s="538" t="str">
        <f t="shared" si="354"/>
        <v/>
      </c>
      <c r="CO140" s="539" t="str">
        <f t="shared" si="355"/>
        <v/>
      </c>
      <c r="CP140" s="539" t="str">
        <f t="shared" si="356"/>
        <v/>
      </c>
      <c r="CQ140" s="539" t="str">
        <f t="shared" si="357"/>
        <v/>
      </c>
      <c r="CR140" s="539" t="str">
        <f t="shared" si="358"/>
        <v/>
      </c>
      <c r="CS140" s="539" t="str">
        <f t="shared" si="359"/>
        <v/>
      </c>
      <c r="CT140" s="540" t="str">
        <f t="shared" si="360"/>
        <v/>
      </c>
      <c r="CU140" s="540" t="str">
        <f t="shared" si="361"/>
        <v/>
      </c>
      <c r="CV140" s="540" t="str">
        <f t="shared" si="362"/>
        <v/>
      </c>
      <c r="CW140" s="539" t="str">
        <f t="shared" si="363"/>
        <v/>
      </c>
      <c r="CX140" s="539" t="str">
        <f t="shared" si="364"/>
        <v/>
      </c>
      <c r="CY140" s="539" t="str">
        <f t="shared" si="365"/>
        <v/>
      </c>
      <c r="CZ140" s="539" t="str">
        <f t="shared" si="366"/>
        <v/>
      </c>
      <c r="DA140" s="539" t="str">
        <f t="shared" si="367"/>
        <v/>
      </c>
      <c r="DB140" s="538" t="str">
        <f t="shared" si="368"/>
        <v/>
      </c>
      <c r="DC140" s="537" t="str">
        <f t="shared" si="369"/>
        <v/>
      </c>
      <c r="DD140" s="641">
        <f t="shared" si="370"/>
        <v>0</v>
      </c>
      <c r="DE140" s="95">
        <f t="shared" si="371"/>
        <v>0</v>
      </c>
      <c r="DF140" s="95">
        <f t="shared" si="372"/>
        <v>0</v>
      </c>
      <c r="DG140" s="95">
        <f t="shared" si="373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5"/>
        <v/>
      </c>
      <c r="CA141" s="586" t="str">
        <f t="shared" si="296"/>
        <v/>
      </c>
      <c r="CB141" s="586" t="str">
        <f t="shared" si="297"/>
        <v/>
      </c>
      <c r="CC141" s="586" t="str">
        <f t="shared" si="298"/>
        <v/>
      </c>
      <c r="CD141" s="1331" t="str">
        <f t="shared" si="344"/>
        <v/>
      </c>
      <c r="CE141" s="1332" t="str">
        <f t="shared" si="345"/>
        <v/>
      </c>
      <c r="CF141" s="1332" t="str">
        <f t="shared" si="346"/>
        <v/>
      </c>
      <c r="CG141" s="1332" t="str">
        <f t="shared" si="347"/>
        <v/>
      </c>
      <c r="CH141" s="1333" t="str">
        <f t="shared" si="348"/>
        <v/>
      </c>
      <c r="CI141" s="1333" t="str">
        <f t="shared" si="349"/>
        <v/>
      </c>
      <c r="CJ141" s="1332" t="str">
        <f t="shared" si="350"/>
        <v/>
      </c>
      <c r="CK141" s="1332" t="str">
        <f t="shared" si="351"/>
        <v/>
      </c>
      <c r="CL141" s="1332" t="str">
        <f t="shared" si="352"/>
        <v/>
      </c>
      <c r="CM141" s="1331" t="str">
        <f t="shared" si="353"/>
        <v/>
      </c>
      <c r="CN141" s="538" t="str">
        <f t="shared" si="354"/>
        <v/>
      </c>
      <c r="CO141" s="539" t="str">
        <f t="shared" si="355"/>
        <v/>
      </c>
      <c r="CP141" s="539" t="str">
        <f t="shared" si="356"/>
        <v/>
      </c>
      <c r="CQ141" s="539" t="str">
        <f t="shared" si="357"/>
        <v/>
      </c>
      <c r="CR141" s="539" t="str">
        <f t="shared" si="358"/>
        <v/>
      </c>
      <c r="CS141" s="539" t="str">
        <f t="shared" si="359"/>
        <v/>
      </c>
      <c r="CT141" s="540" t="str">
        <f t="shared" si="360"/>
        <v/>
      </c>
      <c r="CU141" s="540" t="str">
        <f t="shared" si="361"/>
        <v/>
      </c>
      <c r="CV141" s="540" t="str">
        <f t="shared" si="362"/>
        <v/>
      </c>
      <c r="CW141" s="539" t="str">
        <f t="shared" si="363"/>
        <v/>
      </c>
      <c r="CX141" s="539" t="str">
        <f t="shared" si="364"/>
        <v/>
      </c>
      <c r="CY141" s="539" t="str">
        <f t="shared" si="365"/>
        <v/>
      </c>
      <c r="CZ141" s="539" t="str">
        <f t="shared" si="366"/>
        <v/>
      </c>
      <c r="DA141" s="539" t="str">
        <f t="shared" si="367"/>
        <v/>
      </c>
      <c r="DB141" s="538" t="str">
        <f t="shared" si="368"/>
        <v/>
      </c>
      <c r="DC141" s="537" t="str">
        <f t="shared" si="369"/>
        <v/>
      </c>
      <c r="DD141" s="641">
        <f t="shared" si="370"/>
        <v>0</v>
      </c>
      <c r="DE141" s="95">
        <f t="shared" si="371"/>
        <v>0</v>
      </c>
      <c r="DF141" s="95">
        <f t="shared" si="372"/>
        <v>0</v>
      </c>
      <c r="DG141" s="95">
        <f t="shared" si="373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5"/>
        <v/>
      </c>
      <c r="CA142" s="586" t="str">
        <f t="shared" si="296"/>
        <v/>
      </c>
      <c r="CB142" s="586" t="str">
        <f t="shared" si="297"/>
        <v/>
      </c>
      <c r="CC142" s="586" t="str">
        <f t="shared" si="298"/>
        <v/>
      </c>
      <c r="CD142" s="1331" t="str">
        <f t="shared" si="344"/>
        <v/>
      </c>
      <c r="CE142" s="1332" t="str">
        <f t="shared" si="345"/>
        <v/>
      </c>
      <c r="CF142" s="1332" t="str">
        <f t="shared" si="346"/>
        <v/>
      </c>
      <c r="CG142" s="1332" t="str">
        <f t="shared" si="347"/>
        <v/>
      </c>
      <c r="CH142" s="1333" t="str">
        <f t="shared" si="348"/>
        <v/>
      </c>
      <c r="CI142" s="1333" t="str">
        <f t="shared" si="349"/>
        <v/>
      </c>
      <c r="CJ142" s="1332" t="str">
        <f t="shared" si="350"/>
        <v/>
      </c>
      <c r="CK142" s="1332" t="str">
        <f t="shared" si="351"/>
        <v/>
      </c>
      <c r="CL142" s="1332" t="str">
        <f t="shared" si="352"/>
        <v/>
      </c>
      <c r="CM142" s="1331" t="str">
        <f t="shared" si="353"/>
        <v/>
      </c>
      <c r="CN142" s="538" t="str">
        <f t="shared" si="354"/>
        <v/>
      </c>
      <c r="CO142" s="539" t="str">
        <f t="shared" si="355"/>
        <v/>
      </c>
      <c r="CP142" s="539" t="str">
        <f t="shared" si="356"/>
        <v/>
      </c>
      <c r="CQ142" s="539" t="str">
        <f t="shared" si="357"/>
        <v/>
      </c>
      <c r="CR142" s="539" t="str">
        <f t="shared" si="358"/>
        <v/>
      </c>
      <c r="CS142" s="539" t="str">
        <f t="shared" si="359"/>
        <v/>
      </c>
      <c r="CT142" s="540" t="str">
        <f t="shared" si="360"/>
        <v/>
      </c>
      <c r="CU142" s="540" t="str">
        <f t="shared" si="361"/>
        <v/>
      </c>
      <c r="CV142" s="540" t="str">
        <f t="shared" si="362"/>
        <v/>
      </c>
      <c r="CW142" s="539" t="str">
        <f t="shared" si="363"/>
        <v/>
      </c>
      <c r="CX142" s="539" t="str">
        <f t="shared" si="364"/>
        <v/>
      </c>
      <c r="CY142" s="539" t="str">
        <f t="shared" si="365"/>
        <v/>
      </c>
      <c r="CZ142" s="539" t="str">
        <f t="shared" si="366"/>
        <v/>
      </c>
      <c r="DA142" s="539" t="str">
        <f t="shared" si="367"/>
        <v/>
      </c>
      <c r="DB142" s="538" t="str">
        <f t="shared" si="368"/>
        <v/>
      </c>
      <c r="DC142" s="537" t="str">
        <f t="shared" si="369"/>
        <v/>
      </c>
      <c r="DD142" s="641">
        <f t="shared" si="370"/>
        <v>0</v>
      </c>
      <c r="DE142" s="95">
        <f t="shared" si="371"/>
        <v>0</v>
      </c>
      <c r="DF142" s="95">
        <f t="shared" si="372"/>
        <v>0</v>
      </c>
      <c r="DG142" s="95">
        <f t="shared" si="373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202</v>
      </c>
      <c r="B143" s="618" t="str">
        <f t="shared" ref="B143:K143" si="398">IF(B141="","",B141*B142)</f>
        <v/>
      </c>
      <c r="C143" s="618" t="str">
        <f t="shared" si="398"/>
        <v/>
      </c>
      <c r="D143" s="618" t="str">
        <f t="shared" si="398"/>
        <v/>
      </c>
      <c r="E143" s="618" t="str">
        <f t="shared" si="398"/>
        <v/>
      </c>
      <c r="F143" s="618" t="str">
        <f t="shared" si="398"/>
        <v/>
      </c>
      <c r="G143" s="618" t="str">
        <f t="shared" si="398"/>
        <v/>
      </c>
      <c r="H143" s="618" t="str">
        <f t="shared" si="398"/>
        <v/>
      </c>
      <c r="I143" s="618" t="str">
        <f t="shared" si="398"/>
        <v/>
      </c>
      <c r="J143" s="618" t="str">
        <f t="shared" si="398"/>
        <v/>
      </c>
      <c r="K143" s="618" t="str">
        <f t="shared" si="398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9">IF(T141="","",T141*T142)</f>
        <v/>
      </c>
      <c r="U143" s="618" t="str">
        <f t="shared" si="399"/>
        <v/>
      </c>
      <c r="V143" s="618" t="str">
        <f t="shared" si="399"/>
        <v/>
      </c>
      <c r="W143" s="618" t="str">
        <f t="shared" si="399"/>
        <v/>
      </c>
      <c r="X143" s="618" t="str">
        <f t="shared" si="399"/>
        <v/>
      </c>
      <c r="Y143" s="618" t="str">
        <f t="shared" si="399"/>
        <v/>
      </c>
      <c r="Z143" s="618" t="str">
        <f t="shared" si="399"/>
        <v/>
      </c>
      <c r="AA143" s="618" t="str">
        <f t="shared" si="399"/>
        <v/>
      </c>
      <c r="AB143" s="618" t="str">
        <f t="shared" si="399"/>
        <v/>
      </c>
      <c r="AC143" s="618" t="str">
        <f t="shared" si="399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400">IF(AL141="","",AL141*AL142)</f>
        <v/>
      </c>
      <c r="AM143" s="618" t="str">
        <f t="shared" si="400"/>
        <v/>
      </c>
      <c r="AN143" s="618" t="str">
        <f t="shared" si="400"/>
        <v/>
      </c>
      <c r="AO143" s="618" t="str">
        <f t="shared" si="400"/>
        <v/>
      </c>
      <c r="AP143" s="618" t="str">
        <f t="shared" si="400"/>
        <v/>
      </c>
      <c r="AQ143" s="618" t="str">
        <f t="shared" si="400"/>
        <v/>
      </c>
      <c r="AR143" s="618" t="str">
        <f t="shared" si="400"/>
        <v/>
      </c>
      <c r="AS143" s="618" t="str">
        <f t="shared" si="400"/>
        <v/>
      </c>
      <c r="AT143" s="618" t="str">
        <f t="shared" si="400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401">IF(BD141="","",BD141*BD142)</f>
        <v/>
      </c>
      <c r="BE143" s="618" t="str">
        <f t="shared" si="401"/>
        <v/>
      </c>
      <c r="BF143" s="618" t="str">
        <f t="shared" si="401"/>
        <v/>
      </c>
      <c r="BG143" s="618" t="str">
        <f t="shared" si="401"/>
        <v/>
      </c>
      <c r="BH143" s="618" t="str">
        <f t="shared" si="401"/>
        <v/>
      </c>
      <c r="BI143" s="618" t="str">
        <f t="shared" si="401"/>
        <v/>
      </c>
      <c r="BJ143" s="618" t="str">
        <f t="shared" si="401"/>
        <v/>
      </c>
      <c r="BK143" s="618" t="str">
        <f t="shared" si="401"/>
        <v/>
      </c>
      <c r="BL143" s="618" t="str">
        <f t="shared" si="401"/>
        <v/>
      </c>
      <c r="BM143" s="618" t="str">
        <f t="shared" si="401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5"/>
        <v/>
      </c>
      <c r="CA143" s="586" t="str">
        <f t="shared" si="296"/>
        <v/>
      </c>
      <c r="CB143" s="586" t="str">
        <f t="shared" si="297"/>
        <v/>
      </c>
      <c r="CC143" s="586" t="str">
        <f t="shared" si="298"/>
        <v/>
      </c>
      <c r="CD143" s="1331" t="str">
        <f t="shared" si="344"/>
        <v/>
      </c>
      <c r="CE143" s="1332" t="str">
        <f t="shared" si="345"/>
        <v/>
      </c>
      <c r="CF143" s="1332" t="str">
        <f t="shared" si="346"/>
        <v/>
      </c>
      <c r="CG143" s="1332" t="str">
        <f t="shared" si="347"/>
        <v/>
      </c>
      <c r="CH143" s="1333" t="str">
        <f t="shared" si="348"/>
        <v/>
      </c>
      <c r="CI143" s="1333" t="str">
        <f t="shared" si="349"/>
        <v/>
      </c>
      <c r="CJ143" s="1332" t="str">
        <f t="shared" si="350"/>
        <v/>
      </c>
      <c r="CK143" s="1332" t="str">
        <f t="shared" si="351"/>
        <v/>
      </c>
      <c r="CL143" s="1332" t="str">
        <f t="shared" si="352"/>
        <v/>
      </c>
      <c r="CM143" s="1331" t="str">
        <f t="shared" si="353"/>
        <v/>
      </c>
      <c r="CN143" s="538" t="str">
        <f t="shared" si="354"/>
        <v/>
      </c>
      <c r="CO143" s="539" t="str">
        <f t="shared" si="355"/>
        <v/>
      </c>
      <c r="CP143" s="539" t="str">
        <f t="shared" si="356"/>
        <v/>
      </c>
      <c r="CQ143" s="539" t="str">
        <f t="shared" si="357"/>
        <v/>
      </c>
      <c r="CR143" s="539" t="str">
        <f t="shared" si="358"/>
        <v/>
      </c>
      <c r="CS143" s="539" t="str">
        <f t="shared" si="359"/>
        <v/>
      </c>
      <c r="CT143" s="540" t="str">
        <f t="shared" si="360"/>
        <v/>
      </c>
      <c r="CU143" s="540" t="str">
        <f t="shared" si="361"/>
        <v/>
      </c>
      <c r="CV143" s="540" t="str">
        <f t="shared" si="362"/>
        <v/>
      </c>
      <c r="CW143" s="539" t="str">
        <f t="shared" si="363"/>
        <v/>
      </c>
      <c r="CX143" s="539" t="str">
        <f t="shared" si="364"/>
        <v/>
      </c>
      <c r="CY143" s="539" t="str">
        <f t="shared" si="365"/>
        <v/>
      </c>
      <c r="CZ143" s="539" t="str">
        <f t="shared" si="366"/>
        <v/>
      </c>
      <c r="DA143" s="539" t="str">
        <f t="shared" si="367"/>
        <v/>
      </c>
      <c r="DB143" s="538" t="str">
        <f t="shared" si="368"/>
        <v/>
      </c>
      <c r="DC143" s="537" t="str">
        <f t="shared" si="369"/>
        <v/>
      </c>
      <c r="DD143" s="641">
        <f t="shared" si="370"/>
        <v>0</v>
      </c>
      <c r="DE143" s="95">
        <f t="shared" si="371"/>
        <v>0</v>
      </c>
      <c r="DF143" s="95">
        <f t="shared" si="372"/>
        <v>0</v>
      </c>
      <c r="DG143" s="95">
        <f t="shared" si="373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203</v>
      </c>
      <c r="B144" s="621" t="str">
        <f t="shared" ref="B144:K144" si="402">IF(B139="","",(SUM(B123)*4522-SUM(B124,B128)*(4522-3098*(B127=0))-SUM(B140,B141)*32930)/$G$1/365/B$46)</f>
        <v/>
      </c>
      <c r="C144" s="621" t="str">
        <f t="shared" si="402"/>
        <v/>
      </c>
      <c r="D144" s="621" t="str">
        <f t="shared" si="402"/>
        <v/>
      </c>
      <c r="E144" s="621" t="str">
        <f t="shared" si="402"/>
        <v/>
      </c>
      <c r="F144" s="621" t="str">
        <f t="shared" si="402"/>
        <v/>
      </c>
      <c r="G144" s="621" t="str">
        <f t="shared" si="402"/>
        <v/>
      </c>
      <c r="H144" s="621" t="str">
        <f t="shared" si="402"/>
        <v/>
      </c>
      <c r="I144" s="621" t="str">
        <f t="shared" si="402"/>
        <v/>
      </c>
      <c r="J144" s="621" t="str">
        <f t="shared" si="402"/>
        <v/>
      </c>
      <c r="K144" s="621" t="str">
        <f t="shared" si="402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3">IF(T139="","",(SUM(T123)*4522-SUM(T124,T128)*(4522-3098*(T127=0))-SUM(T140,T141)*32930)/$G$1/365/T$46)</f>
        <v/>
      </c>
      <c r="U144" s="621" t="str">
        <f t="shared" si="403"/>
        <v/>
      </c>
      <c r="V144" s="621" t="str">
        <f t="shared" si="403"/>
        <v/>
      </c>
      <c r="W144" s="621" t="str">
        <f t="shared" si="403"/>
        <v/>
      </c>
      <c r="X144" s="621" t="str">
        <f t="shared" si="403"/>
        <v/>
      </c>
      <c r="Y144" s="621" t="str">
        <f t="shared" si="403"/>
        <v/>
      </c>
      <c r="Z144" s="621" t="str">
        <f t="shared" si="403"/>
        <v/>
      </c>
      <c r="AA144" s="621" t="str">
        <f t="shared" si="403"/>
        <v/>
      </c>
      <c r="AB144" s="621" t="str">
        <f t="shared" si="403"/>
        <v/>
      </c>
      <c r="AC144" s="621" t="str">
        <f t="shared" si="403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4">IF(AL139="","",(SUM(AL123)*4522-SUM(AL124,AL128)*(4522-3098*(AL127=0))-SUM(AL140,AL141)*32930)/$G$1/365/AL$46)</f>
        <v/>
      </c>
      <c r="AM144" s="621" t="str">
        <f t="shared" si="404"/>
        <v/>
      </c>
      <c r="AN144" s="621" t="str">
        <f t="shared" si="404"/>
        <v/>
      </c>
      <c r="AO144" s="621" t="str">
        <f t="shared" si="404"/>
        <v/>
      </c>
      <c r="AP144" s="621" t="str">
        <f t="shared" si="404"/>
        <v/>
      </c>
      <c r="AQ144" s="621" t="str">
        <f t="shared" si="404"/>
        <v/>
      </c>
      <c r="AR144" s="621" t="str">
        <f t="shared" si="404"/>
        <v/>
      </c>
      <c r="AS144" s="621" t="str">
        <f t="shared" si="404"/>
        <v/>
      </c>
      <c r="AT144" s="621" t="str">
        <f t="shared" si="404"/>
        <v/>
      </c>
      <c r="AU144" s="621" t="str">
        <f t="shared" si="404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5">IF(BD139="","",(SUM(BD123)*4522-SUM(BD124,BD128)*(4522-3098*(BD127=0))-SUM(BD140,BD141)*32930)/$G$1/365/BD$46)</f>
        <v/>
      </c>
      <c r="BE144" s="621" t="str">
        <f t="shared" si="405"/>
        <v/>
      </c>
      <c r="BF144" s="621" t="str">
        <f t="shared" si="405"/>
        <v/>
      </c>
      <c r="BG144" s="621" t="str">
        <f t="shared" si="405"/>
        <v/>
      </c>
      <c r="BH144" s="621" t="str">
        <f t="shared" si="405"/>
        <v/>
      </c>
      <c r="BI144" s="621" t="str">
        <f t="shared" si="405"/>
        <v/>
      </c>
      <c r="BJ144" s="621" t="str">
        <f t="shared" si="405"/>
        <v/>
      </c>
      <c r="BK144" s="621" t="str">
        <f t="shared" si="405"/>
        <v/>
      </c>
      <c r="BL144" s="621" t="str">
        <f t="shared" si="405"/>
        <v/>
      </c>
      <c r="BM144" s="621" t="str">
        <f t="shared" si="405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5"/>
        <v/>
      </c>
      <c r="CA144" s="586" t="str">
        <f t="shared" si="296"/>
        <v/>
      </c>
      <c r="CB144" s="586" t="str">
        <f t="shared" si="297"/>
        <v/>
      </c>
      <c r="CC144" s="586" t="str">
        <f t="shared" si="298"/>
        <v/>
      </c>
      <c r="CD144" s="1325" t="str">
        <f t="shared" si="344"/>
        <v/>
      </c>
      <c r="CE144" s="1326" t="str">
        <f t="shared" si="345"/>
        <v/>
      </c>
      <c r="CF144" s="1326" t="str">
        <f t="shared" si="346"/>
        <v/>
      </c>
      <c r="CG144" s="1326" t="str">
        <f t="shared" si="347"/>
        <v/>
      </c>
      <c r="CH144" s="1327" t="str">
        <f t="shared" si="348"/>
        <v/>
      </c>
      <c r="CI144" s="1327" t="str">
        <f t="shared" si="349"/>
        <v/>
      </c>
      <c r="CJ144" s="1326" t="str">
        <f t="shared" si="350"/>
        <v/>
      </c>
      <c r="CK144" s="1326" t="str">
        <f t="shared" si="351"/>
        <v/>
      </c>
      <c r="CL144" s="1326" t="str">
        <f t="shared" si="352"/>
        <v/>
      </c>
      <c r="CM144" s="1325" t="str">
        <f t="shared" si="353"/>
        <v/>
      </c>
      <c r="CN144" s="526" t="str">
        <f t="shared" si="354"/>
        <v/>
      </c>
      <c r="CO144" s="527" t="str">
        <f t="shared" si="355"/>
        <v/>
      </c>
      <c r="CP144" s="527" t="str">
        <f t="shared" si="356"/>
        <v/>
      </c>
      <c r="CQ144" s="527" t="str">
        <f t="shared" si="357"/>
        <v/>
      </c>
      <c r="CR144" s="527" t="str">
        <f t="shared" si="358"/>
        <v/>
      </c>
      <c r="CS144" s="527" t="str">
        <f t="shared" si="359"/>
        <v/>
      </c>
      <c r="CT144" s="528" t="str">
        <f t="shared" si="360"/>
        <v/>
      </c>
      <c r="CU144" s="528" t="str">
        <f t="shared" si="361"/>
        <v/>
      </c>
      <c r="CV144" s="528" t="str">
        <f t="shared" si="362"/>
        <v/>
      </c>
      <c r="CW144" s="527" t="str">
        <f t="shared" si="363"/>
        <v/>
      </c>
      <c r="CX144" s="527" t="str">
        <f t="shared" si="364"/>
        <v/>
      </c>
      <c r="CY144" s="527" t="str">
        <f t="shared" si="365"/>
        <v/>
      </c>
      <c r="CZ144" s="527" t="str">
        <f t="shared" si="366"/>
        <v/>
      </c>
      <c r="DA144" s="527" t="str">
        <f t="shared" si="367"/>
        <v/>
      </c>
      <c r="DB144" s="526" t="str">
        <f t="shared" si="368"/>
        <v/>
      </c>
      <c r="DC144" s="525" t="str">
        <f t="shared" si="369"/>
        <v/>
      </c>
      <c r="DD144" s="641">
        <f t="shared" si="370"/>
        <v>0</v>
      </c>
      <c r="DE144" s="95">
        <f t="shared" si="371"/>
        <v>0</v>
      </c>
      <c r="DF144" s="95">
        <f t="shared" si="372"/>
        <v>0</v>
      </c>
      <c r="DG144" s="95">
        <f t="shared" si="373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205</v>
      </c>
      <c r="B145" s="621" t="str">
        <f t="shared" ref="B145:K145" si="406">IF(B139="","",(SUM(B132)*4522-SUM(B133,B137)*(4522-3098*(B136=0)))/$G$1/365/B$46)</f>
        <v/>
      </c>
      <c r="C145" s="621" t="str">
        <f t="shared" si="406"/>
        <v/>
      </c>
      <c r="D145" s="621" t="str">
        <f t="shared" si="406"/>
        <v/>
      </c>
      <c r="E145" s="621" t="str">
        <f t="shared" si="406"/>
        <v/>
      </c>
      <c r="F145" s="621" t="str">
        <f t="shared" si="406"/>
        <v/>
      </c>
      <c r="G145" s="621" t="str">
        <f t="shared" si="406"/>
        <v/>
      </c>
      <c r="H145" s="621" t="str">
        <f t="shared" si="406"/>
        <v/>
      </c>
      <c r="I145" s="621" t="str">
        <f t="shared" si="406"/>
        <v/>
      </c>
      <c r="J145" s="621" t="str">
        <f t="shared" si="406"/>
        <v/>
      </c>
      <c r="K145" s="621" t="str">
        <f t="shared" si="406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7">IF(T139="","",(SUM(T132)*4522-SUM(T133,T137)*(4522-3098*(T136=0)))/$G$1/365/T$46)</f>
        <v/>
      </c>
      <c r="U145" s="621" t="str">
        <f t="shared" si="407"/>
        <v/>
      </c>
      <c r="V145" s="621" t="str">
        <f t="shared" si="407"/>
        <v/>
      </c>
      <c r="W145" s="621" t="str">
        <f t="shared" si="407"/>
        <v/>
      </c>
      <c r="X145" s="621" t="str">
        <f t="shared" si="407"/>
        <v/>
      </c>
      <c r="Y145" s="621" t="str">
        <f t="shared" si="407"/>
        <v/>
      </c>
      <c r="Z145" s="621" t="str">
        <f t="shared" si="407"/>
        <v/>
      </c>
      <c r="AA145" s="621" t="str">
        <f t="shared" si="407"/>
        <v/>
      </c>
      <c r="AB145" s="621" t="str">
        <f t="shared" si="407"/>
        <v/>
      </c>
      <c r="AC145" s="621" t="str">
        <f t="shared" si="407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8">IF(AL139="","",(SUM(AL132)*4522-SUM(AL133,AL137)*(4522-3098*(AL136=0)))/$G$1/365/AL$46)</f>
        <v/>
      </c>
      <c r="AM145" s="621" t="str">
        <f t="shared" si="408"/>
        <v/>
      </c>
      <c r="AN145" s="621" t="str">
        <f t="shared" si="408"/>
        <v/>
      </c>
      <c r="AO145" s="621" t="str">
        <f t="shared" si="408"/>
        <v/>
      </c>
      <c r="AP145" s="621" t="str">
        <f t="shared" si="408"/>
        <v/>
      </c>
      <c r="AQ145" s="621" t="str">
        <f t="shared" si="408"/>
        <v/>
      </c>
      <c r="AR145" s="621" t="str">
        <f t="shared" si="408"/>
        <v/>
      </c>
      <c r="AS145" s="621" t="str">
        <f t="shared" si="408"/>
        <v/>
      </c>
      <c r="AT145" s="621" t="str">
        <f t="shared" si="408"/>
        <v/>
      </c>
      <c r="AU145" s="621" t="str">
        <f t="shared" si="408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9">IF(BD139="","",(SUM(BD132)*4522-SUM(BD133,BD137)*(4522-3098*(BD136=0)))/$G$1/365/BD$46)</f>
        <v/>
      </c>
      <c r="BE145" s="621" t="str">
        <f t="shared" si="409"/>
        <v/>
      </c>
      <c r="BF145" s="621" t="str">
        <f t="shared" si="409"/>
        <v/>
      </c>
      <c r="BG145" s="621" t="str">
        <f t="shared" si="409"/>
        <v/>
      </c>
      <c r="BH145" s="621" t="str">
        <f t="shared" si="409"/>
        <v/>
      </c>
      <c r="BI145" s="621" t="str">
        <f t="shared" si="409"/>
        <v/>
      </c>
      <c r="BJ145" s="621" t="str">
        <f t="shared" si="409"/>
        <v/>
      </c>
      <c r="BK145" s="621" t="str">
        <f t="shared" si="409"/>
        <v/>
      </c>
      <c r="BL145" s="621" t="str">
        <f t="shared" si="409"/>
        <v/>
      </c>
      <c r="BM145" s="621" t="str">
        <f t="shared" si="409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5"/>
        <v/>
      </c>
      <c r="CA145" s="586" t="str">
        <f t="shared" si="296"/>
        <v/>
      </c>
      <c r="CB145" s="586" t="str">
        <f t="shared" si="297"/>
        <v/>
      </c>
      <c r="CC145" s="586" t="str">
        <f t="shared" si="298"/>
        <v/>
      </c>
      <c r="CD145" s="1325" t="str">
        <f t="shared" si="344"/>
        <v/>
      </c>
      <c r="CE145" s="1326" t="str">
        <f t="shared" si="345"/>
        <v/>
      </c>
      <c r="CF145" s="1326" t="str">
        <f t="shared" si="346"/>
        <v/>
      </c>
      <c r="CG145" s="1326" t="str">
        <f t="shared" si="347"/>
        <v/>
      </c>
      <c r="CH145" s="1327" t="str">
        <f t="shared" si="348"/>
        <v/>
      </c>
      <c r="CI145" s="1327" t="str">
        <f t="shared" si="349"/>
        <v/>
      </c>
      <c r="CJ145" s="1326" t="str">
        <f t="shared" si="350"/>
        <v/>
      </c>
      <c r="CK145" s="1326" t="str">
        <f t="shared" si="351"/>
        <v/>
      </c>
      <c r="CL145" s="1326" t="str">
        <f t="shared" si="352"/>
        <v/>
      </c>
      <c r="CM145" s="1325" t="str">
        <f t="shared" si="353"/>
        <v/>
      </c>
      <c r="CN145" s="526" t="str">
        <f t="shared" si="354"/>
        <v/>
      </c>
      <c r="CO145" s="527" t="str">
        <f t="shared" si="355"/>
        <v/>
      </c>
      <c r="CP145" s="527" t="str">
        <f t="shared" si="356"/>
        <v/>
      </c>
      <c r="CQ145" s="527" t="str">
        <f t="shared" si="357"/>
        <v/>
      </c>
      <c r="CR145" s="527" t="str">
        <f t="shared" si="358"/>
        <v/>
      </c>
      <c r="CS145" s="527" t="str">
        <f t="shared" si="359"/>
        <v/>
      </c>
      <c r="CT145" s="528" t="str">
        <f t="shared" si="360"/>
        <v/>
      </c>
      <c r="CU145" s="528" t="str">
        <f t="shared" si="361"/>
        <v/>
      </c>
      <c r="CV145" s="528" t="str">
        <f t="shared" si="362"/>
        <v/>
      </c>
      <c r="CW145" s="527" t="str">
        <f t="shared" si="363"/>
        <v/>
      </c>
      <c r="CX145" s="527" t="str">
        <f t="shared" si="364"/>
        <v/>
      </c>
      <c r="CY145" s="527" t="str">
        <f t="shared" si="365"/>
        <v/>
      </c>
      <c r="CZ145" s="527" t="str">
        <f t="shared" si="366"/>
        <v/>
      </c>
      <c r="DA145" s="527" t="str">
        <f t="shared" si="367"/>
        <v/>
      </c>
      <c r="DB145" s="526" t="str">
        <f t="shared" si="368"/>
        <v/>
      </c>
      <c r="DC145" s="525" t="str">
        <f t="shared" si="369"/>
        <v/>
      </c>
      <c r="DD145" s="641">
        <f t="shared" si="370"/>
        <v>0</v>
      </c>
      <c r="DE145" s="95">
        <f t="shared" si="371"/>
        <v>0</v>
      </c>
      <c r="DF145" s="95">
        <f t="shared" si="372"/>
        <v>0</v>
      </c>
      <c r="DG145" s="95">
        <f t="shared" si="373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221</v>
      </c>
      <c r="B146" s="609" t="str">
        <f t="shared" ref="B146:K146" si="410">IF(SUM(B139)&gt;0,B141/B139,"")</f>
        <v/>
      </c>
      <c r="C146" s="609" t="str">
        <f t="shared" si="410"/>
        <v/>
      </c>
      <c r="D146" s="609" t="str">
        <f t="shared" si="410"/>
        <v/>
      </c>
      <c r="E146" s="609" t="str">
        <f t="shared" si="410"/>
        <v/>
      </c>
      <c r="F146" s="609" t="str">
        <f t="shared" si="410"/>
        <v/>
      </c>
      <c r="G146" s="609" t="str">
        <f t="shared" si="410"/>
        <v/>
      </c>
      <c r="H146" s="609" t="str">
        <f t="shared" si="410"/>
        <v/>
      </c>
      <c r="I146" s="609" t="str">
        <f t="shared" si="410"/>
        <v/>
      </c>
      <c r="J146" s="609" t="str">
        <f t="shared" si="410"/>
        <v/>
      </c>
      <c r="K146" s="609" t="str">
        <f t="shared" si="410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11">IF(SUM(T139)&gt;0,T141/T139,"")</f>
        <v/>
      </c>
      <c r="U146" s="609" t="str">
        <f t="shared" si="411"/>
        <v/>
      </c>
      <c r="V146" s="609" t="str">
        <f t="shared" si="411"/>
        <v/>
      </c>
      <c r="W146" s="609" t="str">
        <f t="shared" si="411"/>
        <v/>
      </c>
      <c r="X146" s="609" t="str">
        <f t="shared" si="411"/>
        <v/>
      </c>
      <c r="Y146" s="609" t="str">
        <f t="shared" si="411"/>
        <v/>
      </c>
      <c r="Z146" s="609" t="str">
        <f t="shared" si="411"/>
        <v/>
      </c>
      <c r="AA146" s="609" t="str">
        <f t="shared" si="411"/>
        <v/>
      </c>
      <c r="AB146" s="609" t="str">
        <f t="shared" si="411"/>
        <v/>
      </c>
      <c r="AC146" s="609" t="str">
        <f t="shared" si="411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2">IF(SUM(AL139)&gt;0,AL141/AL139,"")</f>
        <v/>
      </c>
      <c r="AM146" s="609" t="str">
        <f t="shared" si="412"/>
        <v/>
      </c>
      <c r="AN146" s="609" t="str">
        <f t="shared" si="412"/>
        <v/>
      </c>
      <c r="AO146" s="609" t="str">
        <f t="shared" si="412"/>
        <v/>
      </c>
      <c r="AP146" s="609" t="str">
        <f t="shared" si="412"/>
        <v/>
      </c>
      <c r="AQ146" s="609" t="str">
        <f t="shared" si="412"/>
        <v/>
      </c>
      <c r="AR146" s="609" t="str">
        <f t="shared" si="412"/>
        <v/>
      </c>
      <c r="AS146" s="609" t="str">
        <f t="shared" si="412"/>
        <v/>
      </c>
      <c r="AT146" s="609" t="str">
        <f t="shared" si="412"/>
        <v/>
      </c>
      <c r="AU146" s="609" t="str">
        <f t="shared" si="412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3">IF(SUM(BD139)&gt;0,BD141/BD139,"")</f>
        <v/>
      </c>
      <c r="BE146" s="609" t="str">
        <f t="shared" si="413"/>
        <v/>
      </c>
      <c r="BF146" s="609" t="str">
        <f t="shared" si="413"/>
        <v/>
      </c>
      <c r="BG146" s="609" t="str">
        <f t="shared" si="413"/>
        <v/>
      </c>
      <c r="BH146" s="609" t="str">
        <f t="shared" si="413"/>
        <v/>
      </c>
      <c r="BI146" s="609" t="str">
        <f t="shared" si="413"/>
        <v/>
      </c>
      <c r="BJ146" s="609" t="str">
        <f t="shared" si="413"/>
        <v/>
      </c>
      <c r="BK146" s="609" t="str">
        <f t="shared" si="413"/>
        <v/>
      </c>
      <c r="BL146" s="609" t="str">
        <f t="shared" si="413"/>
        <v/>
      </c>
      <c r="BM146" s="609" t="str">
        <f t="shared" si="413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5"/>
        <v/>
      </c>
      <c r="CA146" s="586" t="str">
        <f t="shared" si="296"/>
        <v/>
      </c>
      <c r="CB146" s="586" t="str">
        <f t="shared" si="297"/>
        <v/>
      </c>
      <c r="CC146" s="586" t="str">
        <f t="shared" si="298"/>
        <v/>
      </c>
      <c r="CD146" s="1325" t="str">
        <f t="shared" si="344"/>
        <v/>
      </c>
      <c r="CE146" s="1326" t="str">
        <f t="shared" si="345"/>
        <v/>
      </c>
      <c r="CF146" s="1326" t="str">
        <f t="shared" si="346"/>
        <v/>
      </c>
      <c r="CG146" s="1326" t="str">
        <f t="shared" si="347"/>
        <v/>
      </c>
      <c r="CH146" s="1327" t="str">
        <f t="shared" si="348"/>
        <v/>
      </c>
      <c r="CI146" s="1327" t="str">
        <f t="shared" si="349"/>
        <v/>
      </c>
      <c r="CJ146" s="1326" t="str">
        <f t="shared" si="350"/>
        <v/>
      </c>
      <c r="CK146" s="1326" t="str">
        <f t="shared" si="351"/>
        <v/>
      </c>
      <c r="CL146" s="1326" t="str">
        <f t="shared" si="352"/>
        <v/>
      </c>
      <c r="CM146" s="1325" t="str">
        <f t="shared" si="353"/>
        <v/>
      </c>
      <c r="CN146" s="526" t="str">
        <f t="shared" si="354"/>
        <v/>
      </c>
      <c r="CO146" s="527" t="str">
        <f t="shared" si="355"/>
        <v/>
      </c>
      <c r="CP146" s="527" t="str">
        <f t="shared" si="356"/>
        <v/>
      </c>
      <c r="CQ146" s="527" t="str">
        <f t="shared" si="357"/>
        <v/>
      </c>
      <c r="CR146" s="527" t="str">
        <f t="shared" si="358"/>
        <v/>
      </c>
      <c r="CS146" s="527" t="str">
        <f t="shared" si="359"/>
        <v/>
      </c>
      <c r="CT146" s="528" t="str">
        <f t="shared" si="360"/>
        <v/>
      </c>
      <c r="CU146" s="528" t="str">
        <f t="shared" si="361"/>
        <v/>
      </c>
      <c r="CV146" s="528" t="str">
        <f t="shared" si="362"/>
        <v/>
      </c>
      <c r="CW146" s="527" t="str">
        <f t="shared" si="363"/>
        <v/>
      </c>
      <c r="CX146" s="527" t="str">
        <f t="shared" si="364"/>
        <v/>
      </c>
      <c r="CY146" s="527" t="str">
        <f t="shared" si="365"/>
        <v/>
      </c>
      <c r="CZ146" s="527" t="str">
        <f t="shared" si="366"/>
        <v/>
      </c>
      <c r="DA146" s="527" t="str">
        <f t="shared" si="367"/>
        <v/>
      </c>
      <c r="DB146" s="526" t="str">
        <f t="shared" si="368"/>
        <v/>
      </c>
      <c r="DC146" s="525" t="str">
        <f t="shared" si="369"/>
        <v/>
      </c>
      <c r="DD146" s="641">
        <f t="shared" si="370"/>
        <v>0</v>
      </c>
      <c r="DE146" s="95">
        <f t="shared" si="371"/>
        <v>0</v>
      </c>
      <c r="DF146" s="95">
        <f t="shared" si="372"/>
        <v>0</v>
      </c>
      <c r="DG146" s="95">
        <f t="shared" si="373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222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5"/>
        <v/>
      </c>
      <c r="CA147" s="578" t="str">
        <f t="shared" si="296"/>
        <v/>
      </c>
      <c r="CB147" s="578" t="str">
        <f t="shared" si="297"/>
        <v/>
      </c>
      <c r="CC147" s="578" t="str">
        <f t="shared" si="298"/>
        <v/>
      </c>
      <c r="CD147" s="1334"/>
      <c r="CE147" s="1322"/>
      <c r="CF147" s="1322"/>
      <c r="CG147" s="1322"/>
      <c r="CH147" s="1322"/>
      <c r="CI147" s="1322"/>
      <c r="CJ147" s="1322"/>
      <c r="CK147" s="1322"/>
      <c r="CL147" s="1322"/>
      <c r="CM147" s="133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217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5"/>
        <v>0.75</v>
      </c>
      <c r="CA148" s="586">
        <f t="shared" si="296"/>
        <v>2.625</v>
      </c>
      <c r="CB148" s="586">
        <f t="shared" si="297"/>
        <v>5.375</v>
      </c>
      <c r="CC148" s="586">
        <f t="shared" si="298"/>
        <v>11.75</v>
      </c>
      <c r="CD148" s="1331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2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2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2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3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3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2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2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2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1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40">COUNT(B148:R148)</f>
        <v>10</v>
      </c>
      <c r="DE148" s="95">
        <f t="shared" ref="DE148:DE179" si="441">COUNT(T148:AJ148)</f>
        <v>10</v>
      </c>
      <c r="DF148" s="95">
        <f t="shared" ref="DF148:DF179" si="442">COUNT(AL148:BB148)</f>
        <v>10</v>
      </c>
      <c r="DG148" s="95">
        <f t="shared" ref="DG148:DG179" si="443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5"/>
        <v>45</v>
      </c>
      <c r="CA149" s="586">
        <f t="shared" si="296"/>
        <v>45</v>
      </c>
      <c r="CB149" s="586">
        <f t="shared" si="297"/>
        <v>45</v>
      </c>
      <c r="CC149" s="586">
        <f t="shared" si="298"/>
        <v>45.375</v>
      </c>
      <c r="CD149" s="1331">
        <f t="shared" si="414"/>
        <v>45</v>
      </c>
      <c r="CE149" s="1332">
        <f t="shared" si="415"/>
        <v>45</v>
      </c>
      <c r="CF149" s="1332">
        <f t="shared" si="416"/>
        <v>45</v>
      </c>
      <c r="CG149" s="1332">
        <f t="shared" si="417"/>
        <v>45</v>
      </c>
      <c r="CH149" s="1333">
        <f t="shared" si="418"/>
        <v>45</v>
      </c>
      <c r="CI149" s="1333">
        <f t="shared" si="419"/>
        <v>45</v>
      </c>
      <c r="CJ149" s="1332">
        <f t="shared" si="420"/>
        <v>45</v>
      </c>
      <c r="CK149" s="1332">
        <f t="shared" si="421"/>
        <v>45</v>
      </c>
      <c r="CL149" s="1332">
        <f t="shared" si="422"/>
        <v>45</v>
      </c>
      <c r="CM149" s="1331">
        <f t="shared" si="423"/>
        <v>45</v>
      </c>
      <c r="CN149" s="538" t="str">
        <f t="shared" si="424"/>
        <v/>
      </c>
      <c r="CO149" s="539" t="str">
        <f t="shared" si="425"/>
        <v/>
      </c>
      <c r="CP149" s="539" t="str">
        <f t="shared" si="426"/>
        <v/>
      </c>
      <c r="CQ149" s="539">
        <f t="shared" si="427"/>
        <v>45</v>
      </c>
      <c r="CR149" s="539">
        <f t="shared" si="428"/>
        <v>45</v>
      </c>
      <c r="CS149" s="539">
        <f t="shared" si="429"/>
        <v>45</v>
      </c>
      <c r="CT149" s="540">
        <f t="shared" si="430"/>
        <v>45</v>
      </c>
      <c r="CU149" s="540">
        <f t="shared" si="431"/>
        <v>45</v>
      </c>
      <c r="CV149" s="540">
        <f t="shared" si="432"/>
        <v>45</v>
      </c>
      <c r="CW149" s="539">
        <f t="shared" si="433"/>
        <v>45</v>
      </c>
      <c r="CX149" s="539">
        <f t="shared" si="434"/>
        <v>46</v>
      </c>
      <c r="CY149" s="539">
        <f t="shared" si="435"/>
        <v>47</v>
      </c>
      <c r="CZ149" s="539">
        <f t="shared" si="436"/>
        <v>48</v>
      </c>
      <c r="DA149" s="539" t="str">
        <f t="shared" si="437"/>
        <v/>
      </c>
      <c r="DB149" s="538" t="str">
        <f t="shared" si="438"/>
        <v/>
      </c>
      <c r="DC149" s="537" t="str">
        <f t="shared" si="439"/>
        <v/>
      </c>
      <c r="DD149" s="641">
        <f t="shared" si="440"/>
        <v>10</v>
      </c>
      <c r="DE149" s="95">
        <f t="shared" si="441"/>
        <v>10</v>
      </c>
      <c r="DF149" s="95">
        <f t="shared" si="442"/>
        <v>10</v>
      </c>
      <c r="DG149" s="95">
        <f t="shared" si="443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5"/>
        <v/>
      </c>
      <c r="CA150" s="586" t="str">
        <f t="shared" si="296"/>
        <v/>
      </c>
      <c r="CB150" s="586" t="str">
        <f t="shared" si="297"/>
        <v/>
      </c>
      <c r="CC150" s="586" t="str">
        <f t="shared" si="298"/>
        <v/>
      </c>
      <c r="CD150" s="1331" t="str">
        <f t="shared" si="414"/>
        <v/>
      </c>
      <c r="CE150" s="1332" t="str">
        <f t="shared" si="415"/>
        <v/>
      </c>
      <c r="CF150" s="1332" t="str">
        <f t="shared" si="416"/>
        <v/>
      </c>
      <c r="CG150" s="1332" t="str">
        <f t="shared" si="417"/>
        <v/>
      </c>
      <c r="CH150" s="1333" t="str">
        <f t="shared" si="418"/>
        <v/>
      </c>
      <c r="CI150" s="1333" t="str">
        <f t="shared" si="419"/>
        <v/>
      </c>
      <c r="CJ150" s="1332" t="str">
        <f t="shared" si="420"/>
        <v/>
      </c>
      <c r="CK150" s="1332" t="str">
        <f t="shared" si="421"/>
        <v/>
      </c>
      <c r="CL150" s="1332" t="str">
        <f t="shared" si="422"/>
        <v/>
      </c>
      <c r="CM150" s="1331" t="str">
        <f t="shared" si="423"/>
        <v/>
      </c>
      <c r="CN150" s="538" t="str">
        <f t="shared" si="424"/>
        <v/>
      </c>
      <c r="CO150" s="539" t="str">
        <f t="shared" si="425"/>
        <v/>
      </c>
      <c r="CP150" s="539" t="str">
        <f t="shared" si="426"/>
        <v/>
      </c>
      <c r="CQ150" s="539" t="str">
        <f t="shared" si="427"/>
        <v/>
      </c>
      <c r="CR150" s="539" t="str">
        <f t="shared" si="428"/>
        <v/>
      </c>
      <c r="CS150" s="539" t="str">
        <f t="shared" si="429"/>
        <v/>
      </c>
      <c r="CT150" s="540" t="str">
        <f t="shared" si="430"/>
        <v/>
      </c>
      <c r="CU150" s="540" t="str">
        <f t="shared" si="431"/>
        <v/>
      </c>
      <c r="CV150" s="540" t="str">
        <f t="shared" si="432"/>
        <v/>
      </c>
      <c r="CW150" s="539" t="str">
        <f t="shared" si="433"/>
        <v/>
      </c>
      <c r="CX150" s="539" t="str">
        <f t="shared" si="434"/>
        <v/>
      </c>
      <c r="CY150" s="539" t="str">
        <f t="shared" si="435"/>
        <v/>
      </c>
      <c r="CZ150" s="539" t="str">
        <f t="shared" si="436"/>
        <v/>
      </c>
      <c r="DA150" s="539" t="str">
        <f t="shared" si="437"/>
        <v/>
      </c>
      <c r="DB150" s="538" t="str">
        <f t="shared" si="438"/>
        <v/>
      </c>
      <c r="DC150" s="537" t="str">
        <f t="shared" si="439"/>
        <v/>
      </c>
      <c r="DD150" s="641">
        <f t="shared" si="440"/>
        <v>0</v>
      </c>
      <c r="DE150" s="95">
        <f t="shared" si="441"/>
        <v>0</v>
      </c>
      <c r="DF150" s="95">
        <f t="shared" si="442"/>
        <v>0</v>
      </c>
      <c r="DG150" s="95">
        <f t="shared" si="443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177</v>
      </c>
      <c r="B151" s="595" t="str">
        <f t="shared" ref="B151:K151" si="444">IF(B150="","",B148*B149*B150)</f>
        <v/>
      </c>
      <c r="C151" s="595" t="str">
        <f t="shared" si="444"/>
        <v/>
      </c>
      <c r="D151" s="595" t="str">
        <f t="shared" si="444"/>
        <v/>
      </c>
      <c r="E151" s="595" t="str">
        <f t="shared" si="444"/>
        <v/>
      </c>
      <c r="F151" s="595" t="str">
        <f t="shared" si="444"/>
        <v/>
      </c>
      <c r="G151" s="595" t="str">
        <f t="shared" si="444"/>
        <v/>
      </c>
      <c r="H151" s="595" t="str">
        <f t="shared" si="444"/>
        <v/>
      </c>
      <c r="I151" s="595" t="str">
        <f t="shared" si="444"/>
        <v/>
      </c>
      <c r="J151" s="595" t="str">
        <f t="shared" si="444"/>
        <v/>
      </c>
      <c r="K151" s="595" t="str">
        <f t="shared" si="444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5">IF(T150="","",T148*T149*T150)</f>
        <v/>
      </c>
      <c r="U151" s="595" t="str">
        <f t="shared" si="445"/>
        <v/>
      </c>
      <c r="V151" s="595" t="str">
        <f t="shared" si="445"/>
        <v/>
      </c>
      <c r="W151" s="595" t="str">
        <f t="shared" si="445"/>
        <v/>
      </c>
      <c r="X151" s="595" t="str">
        <f t="shared" si="445"/>
        <v/>
      </c>
      <c r="Y151" s="595" t="str">
        <f t="shared" si="445"/>
        <v/>
      </c>
      <c r="Z151" s="595" t="str">
        <f t="shared" si="445"/>
        <v/>
      </c>
      <c r="AA151" s="595" t="str">
        <f t="shared" si="445"/>
        <v/>
      </c>
      <c r="AB151" s="595" t="str">
        <f t="shared" si="445"/>
        <v/>
      </c>
      <c r="AC151" s="595" t="str">
        <f t="shared" si="445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6">IF(AL150="","",AL148*AL149*AL150)</f>
        <v/>
      </c>
      <c r="AM151" s="595" t="str">
        <f t="shared" si="446"/>
        <v/>
      </c>
      <c r="AN151" s="595" t="str">
        <f t="shared" si="446"/>
        <v/>
      </c>
      <c r="AO151" s="595" t="str">
        <f t="shared" si="446"/>
        <v/>
      </c>
      <c r="AP151" s="595" t="str">
        <f t="shared" si="446"/>
        <v/>
      </c>
      <c r="AQ151" s="595" t="str">
        <f t="shared" si="446"/>
        <v/>
      </c>
      <c r="AR151" s="595" t="str">
        <f t="shared" si="446"/>
        <v/>
      </c>
      <c r="AS151" s="595" t="str">
        <f t="shared" si="446"/>
        <v/>
      </c>
      <c r="AT151" s="595" t="str">
        <f t="shared" si="446"/>
        <v/>
      </c>
      <c r="AU151" s="595" t="str">
        <f t="shared" si="446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7">IF(BD150="","",BD148*BD149*BD150)</f>
        <v/>
      </c>
      <c r="BE151" s="595" t="str">
        <f t="shared" si="447"/>
        <v/>
      </c>
      <c r="BF151" s="595" t="str">
        <f t="shared" si="447"/>
        <v/>
      </c>
      <c r="BG151" s="595" t="str">
        <f t="shared" si="447"/>
        <v/>
      </c>
      <c r="BH151" s="595" t="str">
        <f t="shared" si="447"/>
        <v/>
      </c>
      <c r="BI151" s="595" t="str">
        <f t="shared" si="447"/>
        <v/>
      </c>
      <c r="BJ151" s="595" t="str">
        <f t="shared" si="447"/>
        <v/>
      </c>
      <c r="BK151" s="595" t="str">
        <f t="shared" si="447"/>
        <v/>
      </c>
      <c r="BL151" s="595" t="str">
        <f t="shared" si="447"/>
        <v/>
      </c>
      <c r="BM151" s="595" t="str">
        <f t="shared" si="447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5"/>
        <v/>
      </c>
      <c r="CA151" s="586" t="str">
        <f t="shared" si="296"/>
        <v/>
      </c>
      <c r="CB151" s="586" t="str">
        <f t="shared" si="297"/>
        <v/>
      </c>
      <c r="CC151" s="586" t="str">
        <f t="shared" si="298"/>
        <v/>
      </c>
      <c r="CD151" s="1331" t="str">
        <f t="shared" si="414"/>
        <v/>
      </c>
      <c r="CE151" s="1332" t="str">
        <f t="shared" si="415"/>
        <v/>
      </c>
      <c r="CF151" s="1332" t="str">
        <f t="shared" si="416"/>
        <v/>
      </c>
      <c r="CG151" s="1332" t="str">
        <f t="shared" si="417"/>
        <v/>
      </c>
      <c r="CH151" s="1333" t="str">
        <f t="shared" si="418"/>
        <v/>
      </c>
      <c r="CI151" s="1333" t="str">
        <f t="shared" si="419"/>
        <v/>
      </c>
      <c r="CJ151" s="1332" t="str">
        <f t="shared" si="420"/>
        <v/>
      </c>
      <c r="CK151" s="1332" t="str">
        <f t="shared" si="421"/>
        <v/>
      </c>
      <c r="CL151" s="1332" t="str">
        <f t="shared" si="422"/>
        <v/>
      </c>
      <c r="CM151" s="1331" t="str">
        <f t="shared" si="423"/>
        <v/>
      </c>
      <c r="CN151" s="538" t="str">
        <f t="shared" si="424"/>
        <v/>
      </c>
      <c r="CO151" s="539" t="str">
        <f t="shared" si="425"/>
        <v/>
      </c>
      <c r="CP151" s="539" t="str">
        <f t="shared" si="426"/>
        <v/>
      </c>
      <c r="CQ151" s="539" t="str">
        <f t="shared" si="427"/>
        <v/>
      </c>
      <c r="CR151" s="539" t="str">
        <f t="shared" si="428"/>
        <v/>
      </c>
      <c r="CS151" s="539" t="str">
        <f t="shared" si="429"/>
        <v/>
      </c>
      <c r="CT151" s="540" t="str">
        <f t="shared" si="430"/>
        <v/>
      </c>
      <c r="CU151" s="540" t="str">
        <f t="shared" si="431"/>
        <v/>
      </c>
      <c r="CV151" s="540" t="str">
        <f t="shared" si="432"/>
        <v/>
      </c>
      <c r="CW151" s="539" t="str">
        <f t="shared" si="433"/>
        <v/>
      </c>
      <c r="CX151" s="539" t="str">
        <f t="shared" si="434"/>
        <v/>
      </c>
      <c r="CY151" s="539" t="str">
        <f t="shared" si="435"/>
        <v/>
      </c>
      <c r="CZ151" s="539" t="str">
        <f t="shared" si="436"/>
        <v/>
      </c>
      <c r="DA151" s="539" t="str">
        <f t="shared" si="437"/>
        <v/>
      </c>
      <c r="DB151" s="538" t="str">
        <f t="shared" si="438"/>
        <v/>
      </c>
      <c r="DC151" s="537" t="str">
        <f t="shared" si="439"/>
        <v/>
      </c>
      <c r="DD151" s="641">
        <f t="shared" si="440"/>
        <v>0</v>
      </c>
      <c r="DE151" s="95">
        <f t="shared" si="441"/>
        <v>0</v>
      </c>
      <c r="DF151" s="95">
        <f t="shared" si="442"/>
        <v>0</v>
      </c>
      <c r="DG151" s="95">
        <f t="shared" si="443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5"/>
        <v/>
      </c>
      <c r="CA152" s="586" t="str">
        <f t="shared" si="296"/>
        <v/>
      </c>
      <c r="CB152" s="586" t="str">
        <f t="shared" si="297"/>
        <v/>
      </c>
      <c r="CC152" s="586" t="str">
        <f t="shared" si="298"/>
        <v/>
      </c>
      <c r="CD152" s="1331" t="str">
        <f t="shared" si="414"/>
        <v/>
      </c>
      <c r="CE152" s="1332" t="str">
        <f t="shared" si="415"/>
        <v/>
      </c>
      <c r="CF152" s="1332" t="str">
        <f t="shared" si="416"/>
        <v/>
      </c>
      <c r="CG152" s="1332" t="str">
        <f t="shared" si="417"/>
        <v/>
      </c>
      <c r="CH152" s="1333" t="str">
        <f t="shared" si="418"/>
        <v/>
      </c>
      <c r="CI152" s="1333" t="str">
        <f t="shared" si="419"/>
        <v/>
      </c>
      <c r="CJ152" s="1332" t="str">
        <f t="shared" si="420"/>
        <v/>
      </c>
      <c r="CK152" s="1332" t="str">
        <f t="shared" si="421"/>
        <v/>
      </c>
      <c r="CL152" s="1332" t="str">
        <f t="shared" si="422"/>
        <v/>
      </c>
      <c r="CM152" s="1331" t="str">
        <f t="shared" si="423"/>
        <v/>
      </c>
      <c r="CN152" s="538" t="str">
        <f t="shared" si="424"/>
        <v/>
      </c>
      <c r="CO152" s="539" t="str">
        <f t="shared" si="425"/>
        <v/>
      </c>
      <c r="CP152" s="539" t="str">
        <f t="shared" si="426"/>
        <v/>
      </c>
      <c r="CQ152" s="539" t="str">
        <f t="shared" si="427"/>
        <v/>
      </c>
      <c r="CR152" s="539" t="str">
        <f t="shared" si="428"/>
        <v/>
      </c>
      <c r="CS152" s="539" t="str">
        <f t="shared" si="429"/>
        <v/>
      </c>
      <c r="CT152" s="540" t="str">
        <f t="shared" si="430"/>
        <v/>
      </c>
      <c r="CU152" s="540" t="str">
        <f t="shared" si="431"/>
        <v/>
      </c>
      <c r="CV152" s="540" t="str">
        <f t="shared" si="432"/>
        <v/>
      </c>
      <c r="CW152" s="539" t="str">
        <f t="shared" si="433"/>
        <v/>
      </c>
      <c r="CX152" s="539" t="str">
        <f t="shared" si="434"/>
        <v/>
      </c>
      <c r="CY152" s="539" t="str">
        <f t="shared" si="435"/>
        <v/>
      </c>
      <c r="CZ152" s="539" t="str">
        <f t="shared" si="436"/>
        <v/>
      </c>
      <c r="DA152" s="539" t="str">
        <f t="shared" si="437"/>
        <v/>
      </c>
      <c r="DB152" s="538" t="str">
        <f t="shared" si="438"/>
        <v/>
      </c>
      <c r="DC152" s="537" t="str">
        <f t="shared" si="439"/>
        <v/>
      </c>
      <c r="DD152" s="641">
        <f t="shared" si="440"/>
        <v>0</v>
      </c>
      <c r="DE152" s="95">
        <f t="shared" si="441"/>
        <v>0</v>
      </c>
      <c r="DF152" s="95">
        <f t="shared" si="442"/>
        <v>0</v>
      </c>
      <c r="DG152" s="95">
        <f t="shared" si="443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5"/>
        <v/>
      </c>
      <c r="CA153" s="586" t="str">
        <f t="shared" si="296"/>
        <v/>
      </c>
      <c r="CB153" s="586" t="str">
        <f t="shared" si="297"/>
        <v/>
      </c>
      <c r="CC153" s="586" t="str">
        <f t="shared" si="298"/>
        <v/>
      </c>
      <c r="CD153" s="1331" t="str">
        <f t="shared" si="414"/>
        <v/>
      </c>
      <c r="CE153" s="1332" t="str">
        <f t="shared" si="415"/>
        <v/>
      </c>
      <c r="CF153" s="1332" t="str">
        <f t="shared" si="416"/>
        <v/>
      </c>
      <c r="CG153" s="1332" t="str">
        <f t="shared" si="417"/>
        <v/>
      </c>
      <c r="CH153" s="1333" t="str">
        <f t="shared" si="418"/>
        <v/>
      </c>
      <c r="CI153" s="1333" t="str">
        <f t="shared" si="419"/>
        <v/>
      </c>
      <c r="CJ153" s="1332" t="str">
        <f t="shared" si="420"/>
        <v/>
      </c>
      <c r="CK153" s="1332" t="str">
        <f t="shared" si="421"/>
        <v/>
      </c>
      <c r="CL153" s="1332" t="str">
        <f t="shared" si="422"/>
        <v/>
      </c>
      <c r="CM153" s="1331" t="str">
        <f t="shared" si="423"/>
        <v/>
      </c>
      <c r="CN153" s="538" t="str">
        <f t="shared" si="424"/>
        <v/>
      </c>
      <c r="CO153" s="539" t="str">
        <f t="shared" si="425"/>
        <v/>
      </c>
      <c r="CP153" s="539" t="str">
        <f t="shared" si="426"/>
        <v/>
      </c>
      <c r="CQ153" s="539" t="str">
        <f t="shared" si="427"/>
        <v/>
      </c>
      <c r="CR153" s="539" t="str">
        <f t="shared" si="428"/>
        <v/>
      </c>
      <c r="CS153" s="539" t="str">
        <f t="shared" si="429"/>
        <v/>
      </c>
      <c r="CT153" s="540" t="str">
        <f t="shared" si="430"/>
        <v/>
      </c>
      <c r="CU153" s="540" t="str">
        <f t="shared" si="431"/>
        <v/>
      </c>
      <c r="CV153" s="540" t="str">
        <f t="shared" si="432"/>
        <v/>
      </c>
      <c r="CW153" s="539" t="str">
        <f t="shared" si="433"/>
        <v/>
      </c>
      <c r="CX153" s="539" t="str">
        <f t="shared" si="434"/>
        <v/>
      </c>
      <c r="CY153" s="539" t="str">
        <f t="shared" si="435"/>
        <v/>
      </c>
      <c r="CZ153" s="539" t="str">
        <f t="shared" si="436"/>
        <v/>
      </c>
      <c r="DA153" s="539" t="str">
        <f t="shared" si="437"/>
        <v/>
      </c>
      <c r="DB153" s="538" t="str">
        <f t="shared" si="438"/>
        <v/>
      </c>
      <c r="DC153" s="537" t="str">
        <f t="shared" si="439"/>
        <v/>
      </c>
      <c r="DD153" s="641">
        <f t="shared" si="440"/>
        <v>0</v>
      </c>
      <c r="DE153" s="95">
        <f t="shared" si="441"/>
        <v>0</v>
      </c>
      <c r="DF153" s="95">
        <f t="shared" si="442"/>
        <v>0</v>
      </c>
      <c r="DG153" s="95">
        <f t="shared" si="443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183</v>
      </c>
      <c r="B154" s="596" t="str">
        <f t="shared" ref="B154:K154" si="448">IF(B152="","",B152*B153)</f>
        <v/>
      </c>
      <c r="C154" s="596" t="str">
        <f t="shared" si="448"/>
        <v/>
      </c>
      <c r="D154" s="596" t="str">
        <f t="shared" si="448"/>
        <v/>
      </c>
      <c r="E154" s="596" t="str">
        <f t="shared" si="448"/>
        <v/>
      </c>
      <c r="F154" s="596" t="str">
        <f t="shared" si="448"/>
        <v/>
      </c>
      <c r="G154" s="596" t="str">
        <f t="shared" si="448"/>
        <v/>
      </c>
      <c r="H154" s="596" t="str">
        <f t="shared" si="448"/>
        <v/>
      </c>
      <c r="I154" s="596" t="str">
        <f t="shared" si="448"/>
        <v/>
      </c>
      <c r="J154" s="596" t="str">
        <f t="shared" si="448"/>
        <v/>
      </c>
      <c r="K154" s="596" t="str">
        <f t="shared" si="448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9">IF(T152="","",T152*T153)</f>
        <v/>
      </c>
      <c r="U154" s="596" t="str">
        <f t="shared" si="449"/>
        <v/>
      </c>
      <c r="V154" s="596" t="str">
        <f t="shared" si="449"/>
        <v/>
      </c>
      <c r="W154" s="596" t="str">
        <f t="shared" si="449"/>
        <v/>
      </c>
      <c r="X154" s="596" t="str">
        <f t="shared" si="449"/>
        <v/>
      </c>
      <c r="Y154" s="596" t="str">
        <f t="shared" si="449"/>
        <v/>
      </c>
      <c r="Z154" s="596" t="str">
        <f t="shared" si="449"/>
        <v/>
      </c>
      <c r="AA154" s="596" t="str">
        <f t="shared" si="449"/>
        <v/>
      </c>
      <c r="AB154" s="596" t="str">
        <f t="shared" si="449"/>
        <v/>
      </c>
      <c r="AC154" s="596" t="str">
        <f t="shared" si="449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50">IF(AL152="","",AL152*AL153)</f>
        <v/>
      </c>
      <c r="AM154" s="596" t="str">
        <f t="shared" si="450"/>
        <v/>
      </c>
      <c r="AN154" s="596" t="str">
        <f t="shared" si="450"/>
        <v/>
      </c>
      <c r="AO154" s="596" t="str">
        <f t="shared" si="450"/>
        <v/>
      </c>
      <c r="AP154" s="596" t="str">
        <f t="shared" si="450"/>
        <v/>
      </c>
      <c r="AQ154" s="596" t="str">
        <f t="shared" si="450"/>
        <v/>
      </c>
      <c r="AR154" s="596" t="str">
        <f t="shared" si="450"/>
        <v/>
      </c>
      <c r="AS154" s="596" t="str">
        <f t="shared" si="450"/>
        <v/>
      </c>
      <c r="AT154" s="596" t="str">
        <f t="shared" si="450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51">IF(BD152="","",BD152*BD153)</f>
        <v/>
      </c>
      <c r="BE154" s="596" t="str">
        <f t="shared" si="451"/>
        <v/>
      </c>
      <c r="BF154" s="596" t="str">
        <f t="shared" si="451"/>
        <v/>
      </c>
      <c r="BG154" s="596" t="str">
        <f t="shared" si="451"/>
        <v/>
      </c>
      <c r="BH154" s="596" t="str">
        <f t="shared" si="451"/>
        <v/>
      </c>
      <c r="BI154" s="596" t="str">
        <f t="shared" si="451"/>
        <v/>
      </c>
      <c r="BJ154" s="596" t="str">
        <f t="shared" si="451"/>
        <v/>
      </c>
      <c r="BK154" s="596" t="str">
        <f t="shared" si="451"/>
        <v/>
      </c>
      <c r="BL154" s="596" t="str">
        <f t="shared" si="451"/>
        <v/>
      </c>
      <c r="BM154" s="596" t="str">
        <f t="shared" si="451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5"/>
        <v/>
      </c>
      <c r="CA154" s="586" t="str">
        <f t="shared" si="296"/>
        <v/>
      </c>
      <c r="CB154" s="586" t="str">
        <f t="shared" si="297"/>
        <v/>
      </c>
      <c r="CC154" s="586" t="str">
        <f t="shared" si="298"/>
        <v/>
      </c>
      <c r="CD154" s="1331" t="str">
        <f t="shared" si="414"/>
        <v/>
      </c>
      <c r="CE154" s="1332" t="str">
        <f t="shared" si="415"/>
        <v/>
      </c>
      <c r="CF154" s="1332" t="str">
        <f t="shared" si="416"/>
        <v/>
      </c>
      <c r="CG154" s="1332" t="str">
        <f t="shared" si="417"/>
        <v/>
      </c>
      <c r="CH154" s="1333" t="str">
        <f t="shared" si="418"/>
        <v/>
      </c>
      <c r="CI154" s="1333" t="str">
        <f t="shared" si="419"/>
        <v/>
      </c>
      <c r="CJ154" s="1332" t="str">
        <f t="shared" si="420"/>
        <v/>
      </c>
      <c r="CK154" s="1332" t="str">
        <f t="shared" si="421"/>
        <v/>
      </c>
      <c r="CL154" s="1332" t="str">
        <f t="shared" si="422"/>
        <v/>
      </c>
      <c r="CM154" s="1331" t="str">
        <f t="shared" si="423"/>
        <v/>
      </c>
      <c r="CN154" s="538" t="str">
        <f t="shared" si="424"/>
        <v/>
      </c>
      <c r="CO154" s="539" t="str">
        <f t="shared" si="425"/>
        <v/>
      </c>
      <c r="CP154" s="539" t="str">
        <f t="shared" si="426"/>
        <v/>
      </c>
      <c r="CQ154" s="539" t="str">
        <f t="shared" si="427"/>
        <v/>
      </c>
      <c r="CR154" s="539" t="str">
        <f t="shared" si="428"/>
        <v/>
      </c>
      <c r="CS154" s="539" t="str">
        <f t="shared" si="429"/>
        <v/>
      </c>
      <c r="CT154" s="540" t="str">
        <f t="shared" si="430"/>
        <v/>
      </c>
      <c r="CU154" s="540" t="str">
        <f t="shared" si="431"/>
        <v/>
      </c>
      <c r="CV154" s="540" t="str">
        <f t="shared" si="432"/>
        <v/>
      </c>
      <c r="CW154" s="539" t="str">
        <f t="shared" si="433"/>
        <v/>
      </c>
      <c r="CX154" s="539" t="str">
        <f t="shared" si="434"/>
        <v/>
      </c>
      <c r="CY154" s="539" t="str">
        <f t="shared" si="435"/>
        <v/>
      </c>
      <c r="CZ154" s="539" t="str">
        <f t="shared" si="436"/>
        <v/>
      </c>
      <c r="DA154" s="539" t="str">
        <f t="shared" si="437"/>
        <v/>
      </c>
      <c r="DB154" s="538" t="str">
        <f t="shared" si="438"/>
        <v/>
      </c>
      <c r="DC154" s="537" t="str">
        <f t="shared" si="439"/>
        <v/>
      </c>
      <c r="DD154" s="641">
        <f t="shared" si="440"/>
        <v>0</v>
      </c>
      <c r="DE154" s="95">
        <f t="shared" si="441"/>
        <v>0</v>
      </c>
      <c r="DF154" s="95">
        <f t="shared" si="442"/>
        <v>0</v>
      </c>
      <c r="DG154" s="95">
        <f t="shared" si="443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185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5"/>
        <v>1</v>
      </c>
      <c r="CA155" s="586">
        <f t="shared" si="296"/>
        <v>1</v>
      </c>
      <c r="CB155" s="586">
        <f t="shared" si="297"/>
        <v>1</v>
      </c>
      <c r="CC155" s="586">
        <f t="shared" si="298"/>
        <v>1</v>
      </c>
      <c r="CD155" s="1331">
        <f t="shared" si="414"/>
        <v>1</v>
      </c>
      <c r="CE155" s="1332">
        <f t="shared" si="415"/>
        <v>1</v>
      </c>
      <c r="CF155" s="1332">
        <f t="shared" si="416"/>
        <v>1</v>
      </c>
      <c r="CG155" s="1332">
        <f t="shared" si="417"/>
        <v>1</v>
      </c>
      <c r="CH155" s="1333">
        <f t="shared" si="418"/>
        <v>1</v>
      </c>
      <c r="CI155" s="1333">
        <f t="shared" si="419"/>
        <v>1</v>
      </c>
      <c r="CJ155" s="1332">
        <f t="shared" si="420"/>
        <v>1</v>
      </c>
      <c r="CK155" s="1332">
        <f t="shared" si="421"/>
        <v>1</v>
      </c>
      <c r="CL155" s="1332">
        <f t="shared" si="422"/>
        <v>1</v>
      </c>
      <c r="CM155" s="1331">
        <f t="shared" si="423"/>
        <v>1</v>
      </c>
      <c r="CN155" s="538" t="str">
        <f t="shared" si="424"/>
        <v/>
      </c>
      <c r="CO155" s="539" t="str">
        <f t="shared" si="425"/>
        <v/>
      </c>
      <c r="CP155" s="539" t="str">
        <f t="shared" si="426"/>
        <v/>
      </c>
      <c r="CQ155" s="539">
        <f t="shared" si="427"/>
        <v>1</v>
      </c>
      <c r="CR155" s="539">
        <f t="shared" si="428"/>
        <v>1</v>
      </c>
      <c r="CS155" s="539">
        <f t="shared" si="429"/>
        <v>1</v>
      </c>
      <c r="CT155" s="540">
        <f t="shared" si="430"/>
        <v>1</v>
      </c>
      <c r="CU155" s="540">
        <f t="shared" si="431"/>
        <v>1</v>
      </c>
      <c r="CV155" s="540">
        <f t="shared" si="432"/>
        <v>1</v>
      </c>
      <c r="CW155" s="539">
        <f t="shared" si="433"/>
        <v>1</v>
      </c>
      <c r="CX155" s="539">
        <f t="shared" si="434"/>
        <v>1</v>
      </c>
      <c r="CY155" s="539">
        <f t="shared" si="435"/>
        <v>1</v>
      </c>
      <c r="CZ155" s="539">
        <f t="shared" si="436"/>
        <v>1</v>
      </c>
      <c r="DA155" s="539" t="str">
        <f t="shared" si="437"/>
        <v/>
      </c>
      <c r="DB155" s="538" t="str">
        <f t="shared" si="438"/>
        <v/>
      </c>
      <c r="DC155" s="537" t="str">
        <f t="shared" si="439"/>
        <v/>
      </c>
      <c r="DD155" s="641">
        <f t="shared" si="440"/>
        <v>10</v>
      </c>
      <c r="DE155" s="95">
        <f t="shared" si="441"/>
        <v>10</v>
      </c>
      <c r="DF155" s="95">
        <f t="shared" si="442"/>
        <v>10</v>
      </c>
      <c r="DG155" s="95">
        <f t="shared" si="443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187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5"/>
        <v/>
      </c>
      <c r="CA156" s="586" t="str">
        <f t="shared" si="296"/>
        <v/>
      </c>
      <c r="CB156" s="586" t="str">
        <f t="shared" si="297"/>
        <v/>
      </c>
      <c r="CC156" s="586" t="str">
        <f t="shared" si="298"/>
        <v/>
      </c>
      <c r="CD156" s="1331" t="str">
        <f t="shared" si="414"/>
        <v/>
      </c>
      <c r="CE156" s="1332" t="str">
        <f t="shared" si="415"/>
        <v/>
      </c>
      <c r="CF156" s="1332" t="str">
        <f t="shared" si="416"/>
        <v/>
      </c>
      <c r="CG156" s="1332" t="str">
        <f t="shared" si="417"/>
        <v/>
      </c>
      <c r="CH156" s="1333" t="str">
        <f t="shared" si="418"/>
        <v/>
      </c>
      <c r="CI156" s="1333" t="str">
        <f t="shared" si="419"/>
        <v/>
      </c>
      <c r="CJ156" s="1332" t="str">
        <f t="shared" si="420"/>
        <v/>
      </c>
      <c r="CK156" s="1332" t="str">
        <f t="shared" si="421"/>
        <v/>
      </c>
      <c r="CL156" s="1332" t="str">
        <f t="shared" si="422"/>
        <v/>
      </c>
      <c r="CM156" s="1331" t="str">
        <f t="shared" si="423"/>
        <v/>
      </c>
      <c r="CN156" s="538" t="str">
        <f t="shared" si="424"/>
        <v/>
      </c>
      <c r="CO156" s="539" t="str">
        <f t="shared" si="425"/>
        <v/>
      </c>
      <c r="CP156" s="539" t="str">
        <f t="shared" si="426"/>
        <v/>
      </c>
      <c r="CQ156" s="539" t="str">
        <f t="shared" si="427"/>
        <v/>
      </c>
      <c r="CR156" s="539" t="str">
        <f t="shared" si="428"/>
        <v/>
      </c>
      <c r="CS156" s="539" t="str">
        <f t="shared" si="429"/>
        <v/>
      </c>
      <c r="CT156" s="540" t="str">
        <f t="shared" si="430"/>
        <v/>
      </c>
      <c r="CU156" s="540" t="str">
        <f t="shared" si="431"/>
        <v/>
      </c>
      <c r="CV156" s="540" t="str">
        <f t="shared" si="432"/>
        <v/>
      </c>
      <c r="CW156" s="539" t="str">
        <f t="shared" si="433"/>
        <v/>
      </c>
      <c r="CX156" s="539" t="str">
        <f t="shared" si="434"/>
        <v/>
      </c>
      <c r="CY156" s="539" t="str">
        <f t="shared" si="435"/>
        <v/>
      </c>
      <c r="CZ156" s="539" t="str">
        <f t="shared" si="436"/>
        <v/>
      </c>
      <c r="DA156" s="539" t="str">
        <f t="shared" si="437"/>
        <v/>
      </c>
      <c r="DB156" s="538" t="str">
        <f t="shared" si="438"/>
        <v/>
      </c>
      <c r="DC156" s="537" t="str">
        <f t="shared" si="439"/>
        <v/>
      </c>
      <c r="DD156" s="641">
        <f t="shared" si="440"/>
        <v>0</v>
      </c>
      <c r="DE156" s="95">
        <f t="shared" si="441"/>
        <v>0</v>
      </c>
      <c r="DF156" s="95">
        <f t="shared" si="442"/>
        <v>0</v>
      </c>
      <c r="DG156" s="95">
        <f t="shared" si="443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219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5"/>
        <v/>
      </c>
      <c r="CA157" s="586" t="str">
        <f t="shared" si="296"/>
        <v/>
      </c>
      <c r="CB157" s="586" t="str">
        <f t="shared" si="297"/>
        <v/>
      </c>
      <c r="CC157" s="586" t="str">
        <f t="shared" si="298"/>
        <v/>
      </c>
      <c r="CD157" s="1331" t="str">
        <f t="shared" si="414"/>
        <v/>
      </c>
      <c r="CE157" s="1332" t="str">
        <f t="shared" si="415"/>
        <v/>
      </c>
      <c r="CF157" s="1332" t="str">
        <f t="shared" si="416"/>
        <v/>
      </c>
      <c r="CG157" s="1332" t="str">
        <f t="shared" si="417"/>
        <v/>
      </c>
      <c r="CH157" s="1333" t="str">
        <f t="shared" si="418"/>
        <v/>
      </c>
      <c r="CI157" s="1333" t="str">
        <f t="shared" si="419"/>
        <v/>
      </c>
      <c r="CJ157" s="1332" t="str">
        <f t="shared" si="420"/>
        <v/>
      </c>
      <c r="CK157" s="1332" t="str">
        <f t="shared" si="421"/>
        <v/>
      </c>
      <c r="CL157" s="1332" t="str">
        <f t="shared" si="422"/>
        <v/>
      </c>
      <c r="CM157" s="1331" t="str">
        <f t="shared" si="423"/>
        <v/>
      </c>
      <c r="CN157" s="538" t="str">
        <f t="shared" si="424"/>
        <v/>
      </c>
      <c r="CO157" s="539" t="str">
        <f t="shared" si="425"/>
        <v/>
      </c>
      <c r="CP157" s="539" t="str">
        <f t="shared" si="426"/>
        <v/>
      </c>
      <c r="CQ157" s="539" t="str">
        <f t="shared" si="427"/>
        <v/>
      </c>
      <c r="CR157" s="539" t="str">
        <f t="shared" si="428"/>
        <v/>
      </c>
      <c r="CS157" s="539" t="str">
        <f t="shared" si="429"/>
        <v/>
      </c>
      <c r="CT157" s="540" t="str">
        <f t="shared" si="430"/>
        <v/>
      </c>
      <c r="CU157" s="540" t="str">
        <f t="shared" si="431"/>
        <v/>
      </c>
      <c r="CV157" s="540" t="str">
        <f t="shared" si="432"/>
        <v/>
      </c>
      <c r="CW157" s="539" t="str">
        <f t="shared" si="433"/>
        <v/>
      </c>
      <c r="CX157" s="539" t="str">
        <f t="shared" si="434"/>
        <v/>
      </c>
      <c r="CY157" s="539" t="str">
        <f t="shared" si="435"/>
        <v/>
      </c>
      <c r="CZ157" s="539" t="str">
        <f t="shared" si="436"/>
        <v/>
      </c>
      <c r="DA157" s="539" t="str">
        <f t="shared" si="437"/>
        <v/>
      </c>
      <c r="DB157" s="538" t="str">
        <f t="shared" si="438"/>
        <v/>
      </c>
      <c r="DC157" s="537" t="str">
        <f t="shared" si="439"/>
        <v/>
      </c>
      <c r="DD157" s="641">
        <f t="shared" si="440"/>
        <v>0</v>
      </c>
      <c r="DE157" s="95">
        <f t="shared" si="441"/>
        <v>0</v>
      </c>
      <c r="DF157" s="95">
        <f t="shared" si="442"/>
        <v>0</v>
      </c>
      <c r="DG157" s="95">
        <f t="shared" si="443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2">IF(DD158&lt;3,"",(SUM(B158:R158)-MIN(B158:R158)-MAX(B158:R158))/(DD158-2))</f>
        <v>45</v>
      </c>
      <c r="CA158" s="586">
        <f t="shared" ref="CA158:CA221" si="453">IF(DE158&lt;3,"",(SUM(T158:AJ158)-MIN(T158:AJ158)-MAX(T158:AJ158))/(DE158-2))</f>
        <v>45</v>
      </c>
      <c r="CB158" s="586">
        <f t="shared" ref="CB158:CB221" si="454">IF(DF158&lt;3,"",(SUM(AL158:BB158)-MIN(AL158:BB158)-MAX(AL158:BB158))/(DF158-2))</f>
        <v>45</v>
      </c>
      <c r="CC158" s="586">
        <f t="shared" ref="CC158:CC221" si="455">IF(DG158&lt;3,"",(SUM(BD158:BT158)-MIN(BD158:BT158)-MAX(BD158:BT158))/(DG158-2))</f>
        <v>45</v>
      </c>
      <c r="CD158" s="1331">
        <f t="shared" si="414"/>
        <v>45</v>
      </c>
      <c r="CE158" s="1332">
        <f t="shared" si="415"/>
        <v>45</v>
      </c>
      <c r="CF158" s="1332">
        <f t="shared" si="416"/>
        <v>45</v>
      </c>
      <c r="CG158" s="1332">
        <f t="shared" si="417"/>
        <v>45</v>
      </c>
      <c r="CH158" s="1333">
        <f t="shared" si="418"/>
        <v>45</v>
      </c>
      <c r="CI158" s="1333">
        <f t="shared" si="419"/>
        <v>45</v>
      </c>
      <c r="CJ158" s="1332">
        <f t="shared" si="420"/>
        <v>45</v>
      </c>
      <c r="CK158" s="1332">
        <f t="shared" si="421"/>
        <v>45</v>
      </c>
      <c r="CL158" s="1332">
        <f t="shared" si="422"/>
        <v>45</v>
      </c>
      <c r="CM158" s="1331">
        <f t="shared" si="423"/>
        <v>45</v>
      </c>
      <c r="CN158" s="538" t="str">
        <f t="shared" si="424"/>
        <v/>
      </c>
      <c r="CO158" s="539" t="str">
        <f t="shared" si="425"/>
        <v/>
      </c>
      <c r="CP158" s="539" t="str">
        <f t="shared" si="426"/>
        <v/>
      </c>
      <c r="CQ158" s="539">
        <f t="shared" si="427"/>
        <v>45</v>
      </c>
      <c r="CR158" s="539">
        <f t="shared" si="428"/>
        <v>45</v>
      </c>
      <c r="CS158" s="539">
        <f t="shared" si="429"/>
        <v>45</v>
      </c>
      <c r="CT158" s="540">
        <f t="shared" si="430"/>
        <v>45</v>
      </c>
      <c r="CU158" s="540">
        <f t="shared" si="431"/>
        <v>45</v>
      </c>
      <c r="CV158" s="540">
        <f t="shared" si="432"/>
        <v>45</v>
      </c>
      <c r="CW158" s="539">
        <f t="shared" si="433"/>
        <v>45</v>
      </c>
      <c r="CX158" s="539">
        <f t="shared" si="434"/>
        <v>45</v>
      </c>
      <c r="CY158" s="539">
        <f t="shared" si="435"/>
        <v>45</v>
      </c>
      <c r="CZ158" s="539">
        <f t="shared" si="436"/>
        <v>45</v>
      </c>
      <c r="DA158" s="539" t="str">
        <f t="shared" si="437"/>
        <v/>
      </c>
      <c r="DB158" s="538" t="str">
        <f t="shared" si="438"/>
        <v/>
      </c>
      <c r="DC158" s="537" t="str">
        <f t="shared" si="439"/>
        <v/>
      </c>
      <c r="DD158" s="641">
        <f t="shared" si="440"/>
        <v>10</v>
      </c>
      <c r="DE158" s="95">
        <f t="shared" si="441"/>
        <v>10</v>
      </c>
      <c r="DF158" s="95">
        <f t="shared" si="442"/>
        <v>10</v>
      </c>
      <c r="DG158" s="95">
        <f t="shared" si="443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2"/>
        <v/>
      </c>
      <c r="CA159" s="586" t="str">
        <f t="shared" si="453"/>
        <v/>
      </c>
      <c r="CB159" s="586" t="str">
        <f t="shared" si="454"/>
        <v/>
      </c>
      <c r="CC159" s="586" t="str">
        <f t="shared" si="455"/>
        <v/>
      </c>
      <c r="CD159" s="1331" t="str">
        <f t="shared" si="414"/>
        <v/>
      </c>
      <c r="CE159" s="1332" t="str">
        <f t="shared" si="415"/>
        <v/>
      </c>
      <c r="CF159" s="1332" t="str">
        <f t="shared" si="416"/>
        <v/>
      </c>
      <c r="CG159" s="1332" t="str">
        <f t="shared" si="417"/>
        <v/>
      </c>
      <c r="CH159" s="1333" t="str">
        <f t="shared" si="418"/>
        <v/>
      </c>
      <c r="CI159" s="1333" t="str">
        <f t="shared" si="419"/>
        <v/>
      </c>
      <c r="CJ159" s="1332" t="str">
        <f t="shared" si="420"/>
        <v/>
      </c>
      <c r="CK159" s="1332" t="str">
        <f t="shared" si="421"/>
        <v/>
      </c>
      <c r="CL159" s="1332" t="str">
        <f t="shared" si="422"/>
        <v/>
      </c>
      <c r="CM159" s="1331" t="str">
        <f t="shared" si="423"/>
        <v/>
      </c>
      <c r="CN159" s="538" t="str">
        <f t="shared" si="424"/>
        <v/>
      </c>
      <c r="CO159" s="539" t="str">
        <f t="shared" si="425"/>
        <v/>
      </c>
      <c r="CP159" s="539" t="str">
        <f t="shared" si="426"/>
        <v/>
      </c>
      <c r="CQ159" s="539" t="str">
        <f t="shared" si="427"/>
        <v/>
      </c>
      <c r="CR159" s="539" t="str">
        <f t="shared" si="428"/>
        <v/>
      </c>
      <c r="CS159" s="539" t="str">
        <f t="shared" si="429"/>
        <v/>
      </c>
      <c r="CT159" s="540" t="str">
        <f t="shared" si="430"/>
        <v/>
      </c>
      <c r="CU159" s="540" t="str">
        <f t="shared" si="431"/>
        <v/>
      </c>
      <c r="CV159" s="540" t="str">
        <f t="shared" si="432"/>
        <v/>
      </c>
      <c r="CW159" s="539" t="str">
        <f t="shared" si="433"/>
        <v/>
      </c>
      <c r="CX159" s="539" t="str">
        <f t="shared" si="434"/>
        <v/>
      </c>
      <c r="CY159" s="539" t="str">
        <f t="shared" si="435"/>
        <v/>
      </c>
      <c r="CZ159" s="539" t="str">
        <f t="shared" si="436"/>
        <v/>
      </c>
      <c r="DA159" s="539" t="str">
        <f t="shared" si="437"/>
        <v/>
      </c>
      <c r="DB159" s="538" t="str">
        <f t="shared" si="438"/>
        <v/>
      </c>
      <c r="DC159" s="537" t="str">
        <f t="shared" si="439"/>
        <v/>
      </c>
      <c r="DD159" s="641">
        <f t="shared" si="440"/>
        <v>0</v>
      </c>
      <c r="DE159" s="95">
        <f t="shared" si="441"/>
        <v>0</v>
      </c>
      <c r="DF159" s="95">
        <f t="shared" si="442"/>
        <v>0</v>
      </c>
      <c r="DG159" s="95">
        <f t="shared" si="443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177</v>
      </c>
      <c r="B160" s="595" t="str">
        <f t="shared" ref="B160:K160" si="456">IF(B159="","",IF(B157="",B148*B158*B159,B157*B158*B159))</f>
        <v/>
      </c>
      <c r="C160" s="595" t="str">
        <f t="shared" si="456"/>
        <v/>
      </c>
      <c r="D160" s="595" t="str">
        <f t="shared" si="456"/>
        <v/>
      </c>
      <c r="E160" s="595" t="str">
        <f t="shared" si="456"/>
        <v/>
      </c>
      <c r="F160" s="595" t="str">
        <f t="shared" si="456"/>
        <v/>
      </c>
      <c r="G160" s="595" t="str">
        <f t="shared" si="456"/>
        <v/>
      </c>
      <c r="H160" s="595" t="str">
        <f t="shared" si="456"/>
        <v/>
      </c>
      <c r="I160" s="595" t="str">
        <f t="shared" si="456"/>
        <v/>
      </c>
      <c r="J160" s="595" t="str">
        <f t="shared" si="456"/>
        <v/>
      </c>
      <c r="K160" s="595" t="str">
        <f t="shared" si="456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7">IF(T159="","",IF(T157="",T148*T158*T159,T157*T158*T159))</f>
        <v/>
      </c>
      <c r="U160" s="595" t="str">
        <f t="shared" si="457"/>
        <v/>
      </c>
      <c r="V160" s="595" t="str">
        <f t="shared" si="457"/>
        <v/>
      </c>
      <c r="W160" s="595" t="str">
        <f t="shared" si="457"/>
        <v/>
      </c>
      <c r="X160" s="595" t="str">
        <f t="shared" si="457"/>
        <v/>
      </c>
      <c r="Y160" s="595" t="str">
        <f t="shared" si="457"/>
        <v/>
      </c>
      <c r="Z160" s="595" t="str">
        <f t="shared" si="457"/>
        <v/>
      </c>
      <c r="AA160" s="595" t="str">
        <f t="shared" si="457"/>
        <v/>
      </c>
      <c r="AB160" s="595" t="str">
        <f t="shared" si="457"/>
        <v/>
      </c>
      <c r="AC160" s="595" t="str">
        <f t="shared" si="457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8">IF(AL159="","",IF(AL157="",AL148*AL158*AL159,AL157*AL158*AL159))</f>
        <v/>
      </c>
      <c r="AM160" s="595" t="str">
        <f t="shared" si="458"/>
        <v/>
      </c>
      <c r="AN160" s="595" t="str">
        <f t="shared" si="458"/>
        <v/>
      </c>
      <c r="AO160" s="595" t="str">
        <f t="shared" si="458"/>
        <v/>
      </c>
      <c r="AP160" s="595" t="str">
        <f t="shared" si="458"/>
        <v/>
      </c>
      <c r="AQ160" s="595" t="str">
        <f t="shared" si="458"/>
        <v/>
      </c>
      <c r="AR160" s="595" t="str">
        <f t="shared" si="458"/>
        <v/>
      </c>
      <c r="AS160" s="595" t="str">
        <f t="shared" si="458"/>
        <v/>
      </c>
      <c r="AT160" s="595" t="str">
        <f t="shared" si="458"/>
        <v/>
      </c>
      <c r="AU160" s="595" t="str">
        <f t="shared" si="458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9">IF(BD159="","",IF(BD157="",BD148*BD158*BD159,BD157*BD158*BD159))</f>
        <v/>
      </c>
      <c r="BE160" s="595" t="str">
        <f t="shared" si="459"/>
        <v/>
      </c>
      <c r="BF160" s="595" t="str">
        <f t="shared" si="459"/>
        <v/>
      </c>
      <c r="BG160" s="595" t="str">
        <f t="shared" si="459"/>
        <v/>
      </c>
      <c r="BH160" s="595" t="str">
        <f t="shared" si="459"/>
        <v/>
      </c>
      <c r="BI160" s="595" t="str">
        <f t="shared" si="459"/>
        <v/>
      </c>
      <c r="BJ160" s="595" t="str">
        <f t="shared" si="459"/>
        <v/>
      </c>
      <c r="BK160" s="595" t="str">
        <f t="shared" si="459"/>
        <v/>
      </c>
      <c r="BL160" s="595" t="str">
        <f t="shared" si="459"/>
        <v/>
      </c>
      <c r="BM160" s="595" t="str">
        <f t="shared" si="459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2"/>
        <v/>
      </c>
      <c r="CA160" s="586" t="str">
        <f t="shared" si="453"/>
        <v/>
      </c>
      <c r="CB160" s="586" t="str">
        <f t="shared" si="454"/>
        <v/>
      </c>
      <c r="CC160" s="586" t="str">
        <f t="shared" si="455"/>
        <v/>
      </c>
      <c r="CD160" s="1331" t="str">
        <f t="shared" si="414"/>
        <v/>
      </c>
      <c r="CE160" s="1332" t="str">
        <f t="shared" si="415"/>
        <v/>
      </c>
      <c r="CF160" s="1332" t="str">
        <f t="shared" si="416"/>
        <v/>
      </c>
      <c r="CG160" s="1332" t="str">
        <f t="shared" si="417"/>
        <v/>
      </c>
      <c r="CH160" s="1333" t="str">
        <f t="shared" si="418"/>
        <v/>
      </c>
      <c r="CI160" s="1333" t="str">
        <f t="shared" si="419"/>
        <v/>
      </c>
      <c r="CJ160" s="1332" t="str">
        <f t="shared" si="420"/>
        <v/>
      </c>
      <c r="CK160" s="1332" t="str">
        <f t="shared" si="421"/>
        <v/>
      </c>
      <c r="CL160" s="1332" t="str">
        <f t="shared" si="422"/>
        <v/>
      </c>
      <c r="CM160" s="1331" t="str">
        <f t="shared" si="423"/>
        <v/>
      </c>
      <c r="CN160" s="538" t="str">
        <f t="shared" si="424"/>
        <v/>
      </c>
      <c r="CO160" s="539" t="str">
        <f t="shared" si="425"/>
        <v/>
      </c>
      <c r="CP160" s="539" t="str">
        <f t="shared" si="426"/>
        <v/>
      </c>
      <c r="CQ160" s="539" t="str">
        <f t="shared" si="427"/>
        <v/>
      </c>
      <c r="CR160" s="539" t="str">
        <f t="shared" si="428"/>
        <v/>
      </c>
      <c r="CS160" s="539" t="str">
        <f t="shared" si="429"/>
        <v/>
      </c>
      <c r="CT160" s="540" t="str">
        <f t="shared" si="430"/>
        <v/>
      </c>
      <c r="CU160" s="540" t="str">
        <f t="shared" si="431"/>
        <v/>
      </c>
      <c r="CV160" s="540" t="str">
        <f t="shared" si="432"/>
        <v/>
      </c>
      <c r="CW160" s="539" t="str">
        <f t="shared" si="433"/>
        <v/>
      </c>
      <c r="CX160" s="539" t="str">
        <f t="shared" si="434"/>
        <v/>
      </c>
      <c r="CY160" s="539" t="str">
        <f t="shared" si="435"/>
        <v/>
      </c>
      <c r="CZ160" s="539" t="str">
        <f t="shared" si="436"/>
        <v/>
      </c>
      <c r="DA160" s="539" t="str">
        <f t="shared" si="437"/>
        <v/>
      </c>
      <c r="DB160" s="538" t="str">
        <f t="shared" si="438"/>
        <v/>
      </c>
      <c r="DC160" s="537" t="str">
        <f t="shared" si="439"/>
        <v/>
      </c>
      <c r="DD160" s="641">
        <f t="shared" si="440"/>
        <v>0</v>
      </c>
      <c r="DE160" s="95">
        <f t="shared" si="441"/>
        <v>0</v>
      </c>
      <c r="DF160" s="95">
        <f t="shared" si="442"/>
        <v>0</v>
      </c>
      <c r="DG160" s="95">
        <f t="shared" si="443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2"/>
        <v/>
      </c>
      <c r="CA161" s="586" t="str">
        <f t="shared" si="453"/>
        <v/>
      </c>
      <c r="CB161" s="586" t="str">
        <f t="shared" si="454"/>
        <v/>
      </c>
      <c r="CC161" s="586" t="str">
        <f t="shared" si="455"/>
        <v/>
      </c>
      <c r="CD161" s="1331" t="str">
        <f t="shared" si="414"/>
        <v/>
      </c>
      <c r="CE161" s="1332" t="str">
        <f t="shared" si="415"/>
        <v/>
      </c>
      <c r="CF161" s="1332" t="str">
        <f t="shared" si="416"/>
        <v/>
      </c>
      <c r="CG161" s="1332" t="str">
        <f t="shared" si="417"/>
        <v/>
      </c>
      <c r="CH161" s="1333" t="str">
        <f t="shared" si="418"/>
        <v/>
      </c>
      <c r="CI161" s="1333" t="str">
        <f t="shared" si="419"/>
        <v/>
      </c>
      <c r="CJ161" s="1332" t="str">
        <f t="shared" si="420"/>
        <v/>
      </c>
      <c r="CK161" s="1332" t="str">
        <f t="shared" si="421"/>
        <v/>
      </c>
      <c r="CL161" s="1332" t="str">
        <f t="shared" si="422"/>
        <v/>
      </c>
      <c r="CM161" s="1331" t="str">
        <f t="shared" si="423"/>
        <v/>
      </c>
      <c r="CN161" s="538" t="str">
        <f t="shared" si="424"/>
        <v/>
      </c>
      <c r="CO161" s="539" t="str">
        <f t="shared" si="425"/>
        <v/>
      </c>
      <c r="CP161" s="539" t="str">
        <f t="shared" si="426"/>
        <v/>
      </c>
      <c r="CQ161" s="539" t="str">
        <f t="shared" si="427"/>
        <v/>
      </c>
      <c r="CR161" s="539" t="str">
        <f t="shared" si="428"/>
        <v/>
      </c>
      <c r="CS161" s="539" t="str">
        <f t="shared" si="429"/>
        <v/>
      </c>
      <c r="CT161" s="540" t="str">
        <f t="shared" si="430"/>
        <v/>
      </c>
      <c r="CU161" s="540" t="str">
        <f t="shared" si="431"/>
        <v/>
      </c>
      <c r="CV161" s="540" t="str">
        <f t="shared" si="432"/>
        <v/>
      </c>
      <c r="CW161" s="539" t="str">
        <f t="shared" si="433"/>
        <v/>
      </c>
      <c r="CX161" s="539" t="str">
        <f t="shared" si="434"/>
        <v/>
      </c>
      <c r="CY161" s="539" t="str">
        <f t="shared" si="435"/>
        <v/>
      </c>
      <c r="CZ161" s="539" t="str">
        <f t="shared" si="436"/>
        <v/>
      </c>
      <c r="DA161" s="539" t="str">
        <f t="shared" si="437"/>
        <v/>
      </c>
      <c r="DB161" s="538" t="str">
        <f t="shared" si="438"/>
        <v/>
      </c>
      <c r="DC161" s="537" t="str">
        <f t="shared" si="439"/>
        <v/>
      </c>
      <c r="DD161" s="641">
        <f t="shared" si="440"/>
        <v>0</v>
      </c>
      <c r="DE161" s="95">
        <f t="shared" si="441"/>
        <v>0</v>
      </c>
      <c r="DF161" s="95">
        <f t="shared" si="442"/>
        <v>0</v>
      </c>
      <c r="DG161" s="95">
        <f t="shared" si="443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2"/>
        <v/>
      </c>
      <c r="CA162" s="586" t="str">
        <f t="shared" si="453"/>
        <v/>
      </c>
      <c r="CB162" s="586" t="str">
        <f t="shared" si="454"/>
        <v/>
      </c>
      <c r="CC162" s="586" t="str">
        <f t="shared" si="455"/>
        <v/>
      </c>
      <c r="CD162" s="1331" t="str">
        <f t="shared" si="414"/>
        <v/>
      </c>
      <c r="CE162" s="1332" t="str">
        <f t="shared" si="415"/>
        <v/>
      </c>
      <c r="CF162" s="1332" t="str">
        <f t="shared" si="416"/>
        <v/>
      </c>
      <c r="CG162" s="1332" t="str">
        <f t="shared" si="417"/>
        <v/>
      </c>
      <c r="CH162" s="1333" t="str">
        <f t="shared" si="418"/>
        <v/>
      </c>
      <c r="CI162" s="1333" t="str">
        <f t="shared" si="419"/>
        <v/>
      </c>
      <c r="CJ162" s="1332" t="str">
        <f t="shared" si="420"/>
        <v/>
      </c>
      <c r="CK162" s="1332" t="str">
        <f t="shared" si="421"/>
        <v/>
      </c>
      <c r="CL162" s="1332" t="str">
        <f t="shared" si="422"/>
        <v/>
      </c>
      <c r="CM162" s="1331" t="str">
        <f t="shared" si="423"/>
        <v/>
      </c>
      <c r="CN162" s="538" t="str">
        <f t="shared" si="424"/>
        <v/>
      </c>
      <c r="CO162" s="539" t="str">
        <f t="shared" si="425"/>
        <v/>
      </c>
      <c r="CP162" s="539" t="str">
        <f t="shared" si="426"/>
        <v/>
      </c>
      <c r="CQ162" s="539" t="str">
        <f t="shared" si="427"/>
        <v/>
      </c>
      <c r="CR162" s="539" t="str">
        <f t="shared" si="428"/>
        <v/>
      </c>
      <c r="CS162" s="539" t="str">
        <f t="shared" si="429"/>
        <v/>
      </c>
      <c r="CT162" s="540" t="str">
        <f t="shared" si="430"/>
        <v/>
      </c>
      <c r="CU162" s="540" t="str">
        <f t="shared" si="431"/>
        <v/>
      </c>
      <c r="CV162" s="540" t="str">
        <f t="shared" si="432"/>
        <v/>
      </c>
      <c r="CW162" s="539" t="str">
        <f t="shared" si="433"/>
        <v/>
      </c>
      <c r="CX162" s="539" t="str">
        <f t="shared" si="434"/>
        <v/>
      </c>
      <c r="CY162" s="539" t="str">
        <f t="shared" si="435"/>
        <v/>
      </c>
      <c r="CZ162" s="539" t="str">
        <f t="shared" si="436"/>
        <v/>
      </c>
      <c r="DA162" s="539" t="str">
        <f t="shared" si="437"/>
        <v/>
      </c>
      <c r="DB162" s="538" t="str">
        <f t="shared" si="438"/>
        <v/>
      </c>
      <c r="DC162" s="537" t="str">
        <f t="shared" si="439"/>
        <v/>
      </c>
      <c r="DD162" s="641">
        <f t="shared" si="440"/>
        <v>0</v>
      </c>
      <c r="DE162" s="95">
        <f t="shared" si="441"/>
        <v>0</v>
      </c>
      <c r="DF162" s="95">
        <f t="shared" si="442"/>
        <v>0</v>
      </c>
      <c r="DG162" s="95">
        <f t="shared" si="443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183</v>
      </c>
      <c r="B163" s="595" t="str">
        <f t="shared" ref="B163:K163" si="460">IF(B161="","",B161*B162)</f>
        <v/>
      </c>
      <c r="C163" s="595" t="str">
        <f t="shared" si="460"/>
        <v/>
      </c>
      <c r="D163" s="595" t="str">
        <f t="shared" si="460"/>
        <v/>
      </c>
      <c r="E163" s="595" t="str">
        <f t="shared" si="460"/>
        <v/>
      </c>
      <c r="F163" s="595" t="str">
        <f t="shared" si="460"/>
        <v/>
      </c>
      <c r="G163" s="595" t="str">
        <f t="shared" si="460"/>
        <v/>
      </c>
      <c r="H163" s="595" t="str">
        <f t="shared" si="460"/>
        <v/>
      </c>
      <c r="I163" s="595" t="str">
        <f t="shared" si="460"/>
        <v/>
      </c>
      <c r="J163" s="595" t="str">
        <f t="shared" si="460"/>
        <v/>
      </c>
      <c r="K163" s="595" t="str">
        <f t="shared" si="460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61">IF(T161="","",T161*T162)</f>
        <v/>
      </c>
      <c r="U163" s="595" t="str">
        <f t="shared" si="461"/>
        <v/>
      </c>
      <c r="V163" s="595" t="str">
        <f t="shared" si="461"/>
        <v/>
      </c>
      <c r="W163" s="595" t="str">
        <f t="shared" si="461"/>
        <v/>
      </c>
      <c r="X163" s="595" t="str">
        <f t="shared" si="461"/>
        <v/>
      </c>
      <c r="Y163" s="595" t="str">
        <f t="shared" si="461"/>
        <v/>
      </c>
      <c r="Z163" s="595" t="str">
        <f t="shared" si="461"/>
        <v/>
      </c>
      <c r="AA163" s="595" t="str">
        <f t="shared" si="461"/>
        <v/>
      </c>
      <c r="AB163" s="595" t="str">
        <f t="shared" si="461"/>
        <v/>
      </c>
      <c r="AC163" s="595" t="str">
        <f t="shared" si="461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2">IF(AL161="","",AL161*AL162)</f>
        <v/>
      </c>
      <c r="AM163" s="595" t="str">
        <f t="shared" si="462"/>
        <v/>
      </c>
      <c r="AN163" s="595" t="str">
        <f t="shared" si="462"/>
        <v/>
      </c>
      <c r="AO163" s="595" t="str">
        <f t="shared" si="462"/>
        <v/>
      </c>
      <c r="AP163" s="595" t="str">
        <f t="shared" si="462"/>
        <v/>
      </c>
      <c r="AQ163" s="595" t="str">
        <f t="shared" si="462"/>
        <v/>
      </c>
      <c r="AR163" s="595" t="str">
        <f t="shared" si="462"/>
        <v/>
      </c>
      <c r="AS163" s="595" t="str">
        <f t="shared" si="462"/>
        <v/>
      </c>
      <c r="AT163" s="595" t="str">
        <f t="shared" si="462"/>
        <v/>
      </c>
      <c r="AU163" s="595" t="str">
        <f t="shared" si="462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3">IF(BD161="","",BD161*BD162)</f>
        <v/>
      </c>
      <c r="BE163" s="595" t="str">
        <f t="shared" si="463"/>
        <v/>
      </c>
      <c r="BF163" s="595" t="str">
        <f t="shared" si="463"/>
        <v/>
      </c>
      <c r="BG163" s="595" t="str">
        <f t="shared" si="463"/>
        <v/>
      </c>
      <c r="BH163" s="595" t="str">
        <f t="shared" si="463"/>
        <v/>
      </c>
      <c r="BI163" s="595" t="str">
        <f t="shared" si="463"/>
        <v/>
      </c>
      <c r="BJ163" s="595" t="str">
        <f t="shared" si="463"/>
        <v/>
      </c>
      <c r="BK163" s="595" t="str">
        <f t="shared" si="463"/>
        <v/>
      </c>
      <c r="BL163" s="595" t="str">
        <f t="shared" si="463"/>
        <v/>
      </c>
      <c r="BM163" s="595" t="str">
        <f t="shared" si="463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2"/>
        <v/>
      </c>
      <c r="CA163" s="586" t="str">
        <f t="shared" si="453"/>
        <v/>
      </c>
      <c r="CB163" s="586" t="str">
        <f t="shared" si="454"/>
        <v/>
      </c>
      <c r="CC163" s="586" t="str">
        <f t="shared" si="455"/>
        <v/>
      </c>
      <c r="CD163" s="1331" t="str">
        <f t="shared" si="414"/>
        <v/>
      </c>
      <c r="CE163" s="1332" t="str">
        <f t="shared" si="415"/>
        <v/>
      </c>
      <c r="CF163" s="1332" t="str">
        <f t="shared" si="416"/>
        <v/>
      </c>
      <c r="CG163" s="1332" t="str">
        <f t="shared" si="417"/>
        <v/>
      </c>
      <c r="CH163" s="1333" t="str">
        <f t="shared" si="418"/>
        <v/>
      </c>
      <c r="CI163" s="1333" t="str">
        <f t="shared" si="419"/>
        <v/>
      </c>
      <c r="CJ163" s="1332" t="str">
        <f t="shared" si="420"/>
        <v/>
      </c>
      <c r="CK163" s="1332" t="str">
        <f t="shared" si="421"/>
        <v/>
      </c>
      <c r="CL163" s="1332" t="str">
        <f t="shared" si="422"/>
        <v/>
      </c>
      <c r="CM163" s="1331" t="str">
        <f t="shared" si="423"/>
        <v/>
      </c>
      <c r="CN163" s="538" t="str">
        <f t="shared" si="424"/>
        <v/>
      </c>
      <c r="CO163" s="539" t="str">
        <f t="shared" si="425"/>
        <v/>
      </c>
      <c r="CP163" s="539" t="str">
        <f t="shared" si="426"/>
        <v/>
      </c>
      <c r="CQ163" s="539" t="str">
        <f t="shared" si="427"/>
        <v/>
      </c>
      <c r="CR163" s="539" t="str">
        <f t="shared" si="428"/>
        <v/>
      </c>
      <c r="CS163" s="539" t="str">
        <f t="shared" si="429"/>
        <v/>
      </c>
      <c r="CT163" s="540" t="str">
        <f t="shared" si="430"/>
        <v/>
      </c>
      <c r="CU163" s="540" t="str">
        <f t="shared" si="431"/>
        <v/>
      </c>
      <c r="CV163" s="540" t="str">
        <f t="shared" si="432"/>
        <v/>
      </c>
      <c r="CW163" s="539" t="str">
        <f t="shared" si="433"/>
        <v/>
      </c>
      <c r="CX163" s="539" t="str">
        <f t="shared" si="434"/>
        <v/>
      </c>
      <c r="CY163" s="539" t="str">
        <f t="shared" si="435"/>
        <v/>
      </c>
      <c r="CZ163" s="539" t="str">
        <f t="shared" si="436"/>
        <v/>
      </c>
      <c r="DA163" s="539" t="str">
        <f t="shared" si="437"/>
        <v/>
      </c>
      <c r="DB163" s="538" t="str">
        <f t="shared" si="438"/>
        <v/>
      </c>
      <c r="DC163" s="537" t="str">
        <f t="shared" si="439"/>
        <v/>
      </c>
      <c r="DD163" s="641">
        <f t="shared" si="440"/>
        <v>0</v>
      </c>
      <c r="DE163" s="95">
        <f t="shared" si="441"/>
        <v>0</v>
      </c>
      <c r="DF163" s="95">
        <f t="shared" si="442"/>
        <v>0</v>
      </c>
      <c r="DG163" s="95">
        <f t="shared" si="443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185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2"/>
        <v>1</v>
      </c>
      <c r="CA164" s="586">
        <f t="shared" si="453"/>
        <v>1</v>
      </c>
      <c r="CB164" s="586">
        <f t="shared" si="454"/>
        <v>1</v>
      </c>
      <c r="CC164" s="586">
        <f t="shared" si="455"/>
        <v>1.375</v>
      </c>
      <c r="CD164" s="1331">
        <f t="shared" si="414"/>
        <v>1</v>
      </c>
      <c r="CE164" s="1332">
        <f t="shared" si="415"/>
        <v>1</v>
      </c>
      <c r="CF164" s="1332">
        <f t="shared" si="416"/>
        <v>1</v>
      </c>
      <c r="CG164" s="1332">
        <f t="shared" si="417"/>
        <v>1</v>
      </c>
      <c r="CH164" s="1333">
        <f t="shared" si="418"/>
        <v>1</v>
      </c>
      <c r="CI164" s="1333">
        <f t="shared" si="419"/>
        <v>1</v>
      </c>
      <c r="CJ164" s="1332">
        <f t="shared" si="420"/>
        <v>1</v>
      </c>
      <c r="CK164" s="1332">
        <f t="shared" si="421"/>
        <v>1</v>
      </c>
      <c r="CL164" s="1332">
        <f t="shared" si="422"/>
        <v>1</v>
      </c>
      <c r="CM164" s="1331">
        <f t="shared" si="423"/>
        <v>1</v>
      </c>
      <c r="CN164" s="538" t="str">
        <f t="shared" si="424"/>
        <v/>
      </c>
      <c r="CO164" s="539" t="str">
        <f t="shared" si="425"/>
        <v/>
      </c>
      <c r="CP164" s="539" t="str">
        <f t="shared" si="426"/>
        <v/>
      </c>
      <c r="CQ164" s="539">
        <f t="shared" si="427"/>
        <v>1</v>
      </c>
      <c r="CR164" s="539">
        <f t="shared" si="428"/>
        <v>1</v>
      </c>
      <c r="CS164" s="539">
        <f t="shared" si="429"/>
        <v>1</v>
      </c>
      <c r="CT164" s="540">
        <f t="shared" si="430"/>
        <v>1</v>
      </c>
      <c r="CU164" s="540">
        <f t="shared" si="431"/>
        <v>1</v>
      </c>
      <c r="CV164" s="540">
        <f t="shared" si="432"/>
        <v>1</v>
      </c>
      <c r="CW164" s="539">
        <f t="shared" si="433"/>
        <v>1</v>
      </c>
      <c r="CX164" s="539">
        <f t="shared" si="434"/>
        <v>2</v>
      </c>
      <c r="CY164" s="539">
        <f t="shared" si="435"/>
        <v>3</v>
      </c>
      <c r="CZ164" s="539">
        <f t="shared" si="436"/>
        <v>4</v>
      </c>
      <c r="DA164" s="539" t="str">
        <f t="shared" si="437"/>
        <v/>
      </c>
      <c r="DB164" s="538" t="str">
        <f t="shared" si="438"/>
        <v/>
      </c>
      <c r="DC164" s="537" t="str">
        <f t="shared" si="439"/>
        <v/>
      </c>
      <c r="DD164" s="641">
        <f t="shared" si="440"/>
        <v>10</v>
      </c>
      <c r="DE164" s="95">
        <f t="shared" si="441"/>
        <v>10</v>
      </c>
      <c r="DF164" s="95">
        <f t="shared" si="442"/>
        <v>10</v>
      </c>
      <c r="DG164" s="95">
        <f t="shared" si="443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187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2"/>
        <v/>
      </c>
      <c r="CA165" s="586" t="str">
        <f t="shared" si="453"/>
        <v/>
      </c>
      <c r="CB165" s="586" t="str">
        <f t="shared" si="454"/>
        <v/>
      </c>
      <c r="CC165" s="586" t="str">
        <f t="shared" si="455"/>
        <v/>
      </c>
      <c r="CD165" s="1331" t="str">
        <f t="shared" si="414"/>
        <v/>
      </c>
      <c r="CE165" s="1332" t="str">
        <f t="shared" si="415"/>
        <v/>
      </c>
      <c r="CF165" s="1332" t="str">
        <f t="shared" si="416"/>
        <v/>
      </c>
      <c r="CG165" s="1332" t="str">
        <f t="shared" si="417"/>
        <v/>
      </c>
      <c r="CH165" s="1333" t="str">
        <f t="shared" si="418"/>
        <v/>
      </c>
      <c r="CI165" s="1333" t="str">
        <f t="shared" si="419"/>
        <v/>
      </c>
      <c r="CJ165" s="1332" t="str">
        <f t="shared" si="420"/>
        <v/>
      </c>
      <c r="CK165" s="1332" t="str">
        <f t="shared" si="421"/>
        <v/>
      </c>
      <c r="CL165" s="1332" t="str">
        <f t="shared" si="422"/>
        <v/>
      </c>
      <c r="CM165" s="1331" t="str">
        <f t="shared" si="423"/>
        <v/>
      </c>
      <c r="CN165" s="538" t="str">
        <f t="shared" si="424"/>
        <v/>
      </c>
      <c r="CO165" s="539" t="str">
        <f t="shared" si="425"/>
        <v/>
      </c>
      <c r="CP165" s="539" t="str">
        <f t="shared" si="426"/>
        <v/>
      </c>
      <c r="CQ165" s="539" t="str">
        <f t="shared" si="427"/>
        <v/>
      </c>
      <c r="CR165" s="539" t="str">
        <f t="shared" si="428"/>
        <v/>
      </c>
      <c r="CS165" s="539" t="str">
        <f t="shared" si="429"/>
        <v/>
      </c>
      <c r="CT165" s="540" t="str">
        <f t="shared" si="430"/>
        <v/>
      </c>
      <c r="CU165" s="540" t="str">
        <f t="shared" si="431"/>
        <v/>
      </c>
      <c r="CV165" s="540" t="str">
        <f t="shared" si="432"/>
        <v/>
      </c>
      <c r="CW165" s="539" t="str">
        <f t="shared" si="433"/>
        <v/>
      </c>
      <c r="CX165" s="539" t="str">
        <f t="shared" si="434"/>
        <v/>
      </c>
      <c r="CY165" s="539" t="str">
        <f t="shared" si="435"/>
        <v/>
      </c>
      <c r="CZ165" s="539" t="str">
        <f t="shared" si="436"/>
        <v/>
      </c>
      <c r="DA165" s="539" t="str">
        <f t="shared" si="437"/>
        <v/>
      </c>
      <c r="DB165" s="538" t="str">
        <f t="shared" si="438"/>
        <v/>
      </c>
      <c r="DC165" s="537" t="str">
        <f t="shared" si="439"/>
        <v/>
      </c>
      <c r="DD165" s="641">
        <f t="shared" si="440"/>
        <v>0</v>
      </c>
      <c r="DE165" s="95">
        <f t="shared" si="441"/>
        <v>0</v>
      </c>
      <c r="DF165" s="95">
        <f t="shared" si="442"/>
        <v>0</v>
      </c>
      <c r="DG165" s="95">
        <f t="shared" si="443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223</v>
      </c>
      <c r="B166" s="609" t="str">
        <f t="shared" ref="B166:K166" si="464">IF(SUM(B151,B160)&gt;0,SUM(B152,B161)/SUM(B151,B160),"")</f>
        <v/>
      </c>
      <c r="C166" s="609" t="str">
        <f t="shared" si="464"/>
        <v/>
      </c>
      <c r="D166" s="609" t="str">
        <f t="shared" si="464"/>
        <v/>
      </c>
      <c r="E166" s="609" t="str">
        <f t="shared" si="464"/>
        <v/>
      </c>
      <c r="F166" s="609" t="str">
        <f t="shared" si="464"/>
        <v/>
      </c>
      <c r="G166" s="609" t="str">
        <f t="shared" si="464"/>
        <v/>
      </c>
      <c r="H166" s="609" t="str">
        <f t="shared" si="464"/>
        <v/>
      </c>
      <c r="I166" s="609" t="str">
        <f t="shared" si="464"/>
        <v/>
      </c>
      <c r="J166" s="609" t="str">
        <f t="shared" si="464"/>
        <v/>
      </c>
      <c r="K166" s="609" t="str">
        <f t="shared" si="464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5">IF(SUM(T151,T160)&gt;0,SUM(T152,T161)/SUM(T151,T160),"")</f>
        <v/>
      </c>
      <c r="U166" s="609" t="str">
        <f t="shared" si="465"/>
        <v/>
      </c>
      <c r="V166" s="609" t="str">
        <f t="shared" si="465"/>
        <v/>
      </c>
      <c r="W166" s="609" t="str">
        <f t="shared" si="465"/>
        <v/>
      </c>
      <c r="X166" s="609" t="str">
        <f t="shared" si="465"/>
        <v/>
      </c>
      <c r="Y166" s="609" t="str">
        <f t="shared" si="465"/>
        <v/>
      </c>
      <c r="Z166" s="609" t="str">
        <f t="shared" si="465"/>
        <v/>
      </c>
      <c r="AA166" s="609" t="str">
        <f t="shared" si="465"/>
        <v/>
      </c>
      <c r="AB166" s="609" t="str">
        <f t="shared" si="465"/>
        <v/>
      </c>
      <c r="AC166" s="609" t="str">
        <f t="shared" si="465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6">IF(SUM(AL151,AL160)&gt;0,SUM(AL152,AL161)/SUM(AL151,AL160),"")</f>
        <v/>
      </c>
      <c r="AM166" s="609" t="str">
        <f t="shared" si="466"/>
        <v/>
      </c>
      <c r="AN166" s="609" t="str">
        <f t="shared" si="466"/>
        <v/>
      </c>
      <c r="AO166" s="609" t="str">
        <f t="shared" si="466"/>
        <v/>
      </c>
      <c r="AP166" s="609" t="str">
        <f t="shared" si="466"/>
        <v/>
      </c>
      <c r="AQ166" s="609" t="str">
        <f t="shared" si="466"/>
        <v/>
      </c>
      <c r="AR166" s="609" t="str">
        <f t="shared" si="466"/>
        <v/>
      </c>
      <c r="AS166" s="609" t="str">
        <f t="shared" si="466"/>
        <v/>
      </c>
      <c r="AT166" s="609" t="str">
        <f t="shared" si="466"/>
        <v/>
      </c>
      <c r="AU166" s="609" t="str">
        <f t="shared" si="466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7">IF(SUM(BD151,BD160)&gt;0,SUM(BD152,BD161)/SUM(BD151,BD160),"")</f>
        <v/>
      </c>
      <c r="BE166" s="609" t="str">
        <f t="shared" si="467"/>
        <v/>
      </c>
      <c r="BF166" s="609" t="str">
        <f t="shared" si="467"/>
        <v/>
      </c>
      <c r="BG166" s="609" t="str">
        <f t="shared" si="467"/>
        <v/>
      </c>
      <c r="BH166" s="609" t="str">
        <f t="shared" si="467"/>
        <v/>
      </c>
      <c r="BI166" s="609" t="str">
        <f t="shared" si="467"/>
        <v/>
      </c>
      <c r="BJ166" s="609" t="str">
        <f t="shared" si="467"/>
        <v/>
      </c>
      <c r="BK166" s="609" t="str">
        <f t="shared" si="467"/>
        <v/>
      </c>
      <c r="BL166" s="609" t="str">
        <f t="shared" si="467"/>
        <v/>
      </c>
      <c r="BM166" s="609" t="str">
        <f t="shared" si="467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2"/>
        <v/>
      </c>
      <c r="CA166" s="611" t="str">
        <f t="shared" si="453"/>
        <v/>
      </c>
      <c r="CB166" s="611" t="str">
        <f t="shared" si="454"/>
        <v/>
      </c>
      <c r="CC166" s="611" t="str">
        <f t="shared" si="455"/>
        <v/>
      </c>
      <c r="CD166" s="1325" t="str">
        <f t="shared" si="414"/>
        <v/>
      </c>
      <c r="CE166" s="1326" t="str">
        <f t="shared" si="415"/>
        <v/>
      </c>
      <c r="CF166" s="1326" t="str">
        <f t="shared" si="416"/>
        <v/>
      </c>
      <c r="CG166" s="1326" t="str">
        <f t="shared" si="417"/>
        <v/>
      </c>
      <c r="CH166" s="1327" t="str">
        <f t="shared" si="418"/>
        <v/>
      </c>
      <c r="CI166" s="1327" t="str">
        <f t="shared" si="419"/>
        <v/>
      </c>
      <c r="CJ166" s="1326" t="str">
        <f t="shared" si="420"/>
        <v/>
      </c>
      <c r="CK166" s="1326" t="str">
        <f t="shared" si="421"/>
        <v/>
      </c>
      <c r="CL166" s="1326" t="str">
        <f t="shared" si="422"/>
        <v/>
      </c>
      <c r="CM166" s="1325" t="str">
        <f t="shared" si="423"/>
        <v/>
      </c>
      <c r="CN166" s="526" t="str">
        <f t="shared" si="424"/>
        <v/>
      </c>
      <c r="CO166" s="527" t="str">
        <f t="shared" si="425"/>
        <v/>
      </c>
      <c r="CP166" s="527" t="str">
        <f t="shared" si="426"/>
        <v/>
      </c>
      <c r="CQ166" s="527" t="str">
        <f t="shared" si="427"/>
        <v/>
      </c>
      <c r="CR166" s="527" t="str">
        <f t="shared" si="428"/>
        <v/>
      </c>
      <c r="CS166" s="527" t="str">
        <f t="shared" si="429"/>
        <v/>
      </c>
      <c r="CT166" s="528" t="str">
        <f t="shared" si="430"/>
        <v/>
      </c>
      <c r="CU166" s="528" t="str">
        <f t="shared" si="431"/>
        <v/>
      </c>
      <c r="CV166" s="528" t="str">
        <f t="shared" si="432"/>
        <v/>
      </c>
      <c r="CW166" s="527" t="str">
        <f t="shared" si="433"/>
        <v/>
      </c>
      <c r="CX166" s="527" t="str">
        <f t="shared" si="434"/>
        <v/>
      </c>
      <c r="CY166" s="527" t="str">
        <f t="shared" si="435"/>
        <v/>
      </c>
      <c r="CZ166" s="527" t="str">
        <f t="shared" si="436"/>
        <v/>
      </c>
      <c r="DA166" s="527" t="str">
        <f t="shared" si="437"/>
        <v/>
      </c>
      <c r="DB166" s="526" t="str">
        <f t="shared" si="438"/>
        <v/>
      </c>
      <c r="DC166" s="525" t="str">
        <f t="shared" si="439"/>
        <v/>
      </c>
      <c r="DD166" s="641">
        <f t="shared" si="440"/>
        <v>0</v>
      </c>
      <c r="DE166" s="95">
        <f t="shared" si="441"/>
        <v>0</v>
      </c>
      <c r="DF166" s="95">
        <f t="shared" si="442"/>
        <v>0</v>
      </c>
      <c r="DG166" s="95">
        <f t="shared" si="443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196</v>
      </c>
      <c r="B167" s="614" t="str">
        <f t="shared" ref="B167:K167" si="468">IF(SUM(B151,B160)=0,"",SUM(B151,-B152*B155,-B156*B155,B160,-B161*B164,-B165*B164)*0.049)</f>
        <v/>
      </c>
      <c r="C167" s="614" t="str">
        <f t="shared" si="468"/>
        <v/>
      </c>
      <c r="D167" s="614" t="str">
        <f t="shared" si="468"/>
        <v/>
      </c>
      <c r="E167" s="614" t="str">
        <f t="shared" si="468"/>
        <v/>
      </c>
      <c r="F167" s="614" t="str">
        <f t="shared" si="468"/>
        <v/>
      </c>
      <c r="G167" s="614" t="str">
        <f t="shared" si="468"/>
        <v/>
      </c>
      <c r="H167" s="614" t="str">
        <f t="shared" si="468"/>
        <v/>
      </c>
      <c r="I167" s="614" t="str">
        <f t="shared" si="468"/>
        <v/>
      </c>
      <c r="J167" s="614" t="str">
        <f t="shared" si="468"/>
        <v/>
      </c>
      <c r="K167" s="614" t="str">
        <f t="shared" si="468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9">IF(SUM(T151,T160)=0,"",SUM(T151,-T152*T155,-T156*T155,T160,-T161*T164,-T165*T164)*0.049)</f>
        <v/>
      </c>
      <c r="U167" s="614" t="str">
        <f t="shared" si="469"/>
        <v/>
      </c>
      <c r="V167" s="614" t="str">
        <f t="shared" si="469"/>
        <v/>
      </c>
      <c r="W167" s="614" t="str">
        <f t="shared" si="469"/>
        <v/>
      </c>
      <c r="X167" s="614" t="str">
        <f t="shared" si="469"/>
        <v/>
      </c>
      <c r="Y167" s="614" t="str">
        <f t="shared" si="469"/>
        <v/>
      </c>
      <c r="Z167" s="614" t="str">
        <f t="shared" si="469"/>
        <v/>
      </c>
      <c r="AA167" s="614" t="str">
        <f t="shared" si="469"/>
        <v/>
      </c>
      <c r="AB167" s="614" t="str">
        <f t="shared" si="469"/>
        <v/>
      </c>
      <c r="AC167" s="614" t="str">
        <f t="shared" si="469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70">IF(SUM(AL151,AL160)=0,"",SUM(AL151,-AL152*AL155,-AL156*AL155,AL160,-AL161*AL164,-AL165*AL164)*0.049)</f>
        <v/>
      </c>
      <c r="AM167" s="614" t="str">
        <f t="shared" si="470"/>
        <v/>
      </c>
      <c r="AN167" s="614" t="str">
        <f t="shared" si="470"/>
        <v/>
      </c>
      <c r="AO167" s="614" t="str">
        <f t="shared" si="470"/>
        <v/>
      </c>
      <c r="AP167" s="614" t="str">
        <f t="shared" si="470"/>
        <v/>
      </c>
      <c r="AQ167" s="614" t="str">
        <f t="shared" si="470"/>
        <v/>
      </c>
      <c r="AR167" s="614" t="str">
        <f t="shared" si="470"/>
        <v/>
      </c>
      <c r="AS167" s="614" t="str">
        <f t="shared" si="470"/>
        <v/>
      </c>
      <c r="AT167" s="614" t="str">
        <f t="shared" si="470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71">IF(SUM(BD151,BD160)=0,"",SUM(BD151,-BD152*BD155,-BD156*BD155,BD160,-BD161*BD164,-BD165*BD164)*0.049)</f>
        <v/>
      </c>
      <c r="BE167" s="614" t="str">
        <f t="shared" si="471"/>
        <v/>
      </c>
      <c r="BF167" s="614" t="str">
        <f t="shared" si="471"/>
        <v/>
      </c>
      <c r="BG167" s="614" t="str">
        <f t="shared" si="471"/>
        <v/>
      </c>
      <c r="BH167" s="614" t="str">
        <f t="shared" si="471"/>
        <v/>
      </c>
      <c r="BI167" s="614" t="str">
        <f t="shared" si="471"/>
        <v/>
      </c>
      <c r="BJ167" s="614" t="str">
        <f t="shared" si="471"/>
        <v/>
      </c>
      <c r="BK167" s="614" t="str">
        <f t="shared" si="471"/>
        <v/>
      </c>
      <c r="BL167" s="614" t="str">
        <f t="shared" si="471"/>
        <v/>
      </c>
      <c r="BM167" s="614" t="str">
        <f t="shared" si="471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2"/>
        <v/>
      </c>
      <c r="CA167" s="586" t="str">
        <f t="shared" si="453"/>
        <v/>
      </c>
      <c r="CB167" s="586" t="str">
        <f t="shared" si="454"/>
        <v/>
      </c>
      <c r="CC167" s="586" t="str">
        <f t="shared" si="455"/>
        <v/>
      </c>
      <c r="CD167" s="1331" t="str">
        <f t="shared" si="414"/>
        <v/>
      </c>
      <c r="CE167" s="1332" t="str">
        <f t="shared" si="415"/>
        <v/>
      </c>
      <c r="CF167" s="1332" t="str">
        <f t="shared" si="416"/>
        <v/>
      </c>
      <c r="CG167" s="1332" t="str">
        <f t="shared" si="417"/>
        <v/>
      </c>
      <c r="CH167" s="1333" t="str">
        <f t="shared" si="418"/>
        <v/>
      </c>
      <c r="CI167" s="1333" t="str">
        <f t="shared" si="419"/>
        <v/>
      </c>
      <c r="CJ167" s="1332" t="str">
        <f t="shared" si="420"/>
        <v/>
      </c>
      <c r="CK167" s="1332" t="str">
        <f t="shared" si="421"/>
        <v/>
      </c>
      <c r="CL167" s="1332" t="str">
        <f t="shared" si="422"/>
        <v/>
      </c>
      <c r="CM167" s="1331" t="str">
        <f t="shared" si="423"/>
        <v/>
      </c>
      <c r="CN167" s="538" t="str">
        <f t="shared" si="424"/>
        <v/>
      </c>
      <c r="CO167" s="539" t="str">
        <f t="shared" si="425"/>
        <v/>
      </c>
      <c r="CP167" s="539" t="str">
        <f t="shared" si="426"/>
        <v/>
      </c>
      <c r="CQ167" s="539" t="str">
        <f t="shared" si="427"/>
        <v/>
      </c>
      <c r="CR167" s="539" t="str">
        <f t="shared" si="428"/>
        <v/>
      </c>
      <c r="CS167" s="539" t="str">
        <f t="shared" si="429"/>
        <v/>
      </c>
      <c r="CT167" s="540" t="str">
        <f t="shared" si="430"/>
        <v/>
      </c>
      <c r="CU167" s="540" t="str">
        <f t="shared" si="431"/>
        <v/>
      </c>
      <c r="CV167" s="540" t="str">
        <f t="shared" si="432"/>
        <v/>
      </c>
      <c r="CW167" s="539" t="str">
        <f t="shared" si="433"/>
        <v/>
      </c>
      <c r="CX167" s="539" t="str">
        <f t="shared" si="434"/>
        <v/>
      </c>
      <c r="CY167" s="539" t="str">
        <f t="shared" si="435"/>
        <v/>
      </c>
      <c r="CZ167" s="539" t="str">
        <f t="shared" si="436"/>
        <v/>
      </c>
      <c r="DA167" s="539" t="str">
        <f t="shared" si="437"/>
        <v/>
      </c>
      <c r="DB167" s="538" t="str">
        <f t="shared" si="438"/>
        <v/>
      </c>
      <c r="DC167" s="537" t="str">
        <f t="shared" si="439"/>
        <v/>
      </c>
      <c r="DD167" s="641">
        <f t="shared" si="440"/>
        <v>0</v>
      </c>
      <c r="DE167" s="95">
        <f t="shared" si="441"/>
        <v>0</v>
      </c>
      <c r="DF167" s="95">
        <f t="shared" si="442"/>
        <v>0</v>
      </c>
      <c r="DG167" s="95">
        <f t="shared" si="443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2"/>
        <v/>
      </c>
      <c r="CA168" s="586" t="str">
        <f t="shared" si="453"/>
        <v/>
      </c>
      <c r="CB168" s="586" t="str">
        <f t="shared" si="454"/>
        <v/>
      </c>
      <c r="CC168" s="586" t="str">
        <f t="shared" si="455"/>
        <v/>
      </c>
      <c r="CD168" s="1331" t="str">
        <f t="shared" si="414"/>
        <v/>
      </c>
      <c r="CE168" s="1332" t="str">
        <f t="shared" si="415"/>
        <v/>
      </c>
      <c r="CF168" s="1332" t="str">
        <f t="shared" si="416"/>
        <v/>
      </c>
      <c r="CG168" s="1332" t="str">
        <f t="shared" si="417"/>
        <v/>
      </c>
      <c r="CH168" s="1333" t="str">
        <f t="shared" si="418"/>
        <v/>
      </c>
      <c r="CI168" s="1333" t="str">
        <f t="shared" si="419"/>
        <v/>
      </c>
      <c r="CJ168" s="1332" t="str">
        <f t="shared" si="420"/>
        <v/>
      </c>
      <c r="CK168" s="1332" t="str">
        <f t="shared" si="421"/>
        <v/>
      </c>
      <c r="CL168" s="1332" t="str">
        <f t="shared" si="422"/>
        <v/>
      </c>
      <c r="CM168" s="1331" t="str">
        <f t="shared" si="423"/>
        <v/>
      </c>
      <c r="CN168" s="538" t="str">
        <f t="shared" si="424"/>
        <v/>
      </c>
      <c r="CO168" s="539" t="str">
        <f t="shared" si="425"/>
        <v/>
      </c>
      <c r="CP168" s="539" t="str">
        <f t="shared" si="426"/>
        <v/>
      </c>
      <c r="CQ168" s="539" t="str">
        <f t="shared" si="427"/>
        <v/>
      </c>
      <c r="CR168" s="539" t="str">
        <f t="shared" si="428"/>
        <v/>
      </c>
      <c r="CS168" s="539" t="str">
        <f t="shared" si="429"/>
        <v/>
      </c>
      <c r="CT168" s="540" t="str">
        <f t="shared" si="430"/>
        <v/>
      </c>
      <c r="CU168" s="540" t="str">
        <f t="shared" si="431"/>
        <v/>
      </c>
      <c r="CV168" s="540" t="str">
        <f t="shared" si="432"/>
        <v/>
      </c>
      <c r="CW168" s="539" t="str">
        <f t="shared" si="433"/>
        <v/>
      </c>
      <c r="CX168" s="539" t="str">
        <f t="shared" si="434"/>
        <v/>
      </c>
      <c r="CY168" s="539" t="str">
        <f t="shared" si="435"/>
        <v/>
      </c>
      <c r="CZ168" s="539" t="str">
        <f t="shared" si="436"/>
        <v/>
      </c>
      <c r="DA168" s="539" t="str">
        <f t="shared" si="437"/>
        <v/>
      </c>
      <c r="DB168" s="538" t="str">
        <f t="shared" si="438"/>
        <v/>
      </c>
      <c r="DC168" s="537" t="str">
        <f t="shared" si="439"/>
        <v/>
      </c>
      <c r="DD168" s="641">
        <f t="shared" si="440"/>
        <v>0</v>
      </c>
      <c r="DE168" s="95">
        <f t="shared" si="441"/>
        <v>0</v>
      </c>
      <c r="DF168" s="95">
        <f t="shared" si="442"/>
        <v>0</v>
      </c>
      <c r="DG168" s="95">
        <f t="shared" si="443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2"/>
        <v/>
      </c>
      <c r="CA169" s="586" t="str">
        <f t="shared" si="453"/>
        <v/>
      </c>
      <c r="CB169" s="586" t="str">
        <f t="shared" si="454"/>
        <v/>
      </c>
      <c r="CC169" s="586" t="str">
        <f t="shared" si="455"/>
        <v/>
      </c>
      <c r="CD169" s="1331" t="str">
        <f t="shared" si="414"/>
        <v/>
      </c>
      <c r="CE169" s="1332" t="str">
        <f t="shared" si="415"/>
        <v/>
      </c>
      <c r="CF169" s="1332" t="str">
        <f t="shared" si="416"/>
        <v/>
      </c>
      <c r="CG169" s="1332" t="str">
        <f t="shared" si="417"/>
        <v/>
      </c>
      <c r="CH169" s="1333" t="str">
        <f t="shared" si="418"/>
        <v/>
      </c>
      <c r="CI169" s="1333" t="str">
        <f t="shared" si="419"/>
        <v/>
      </c>
      <c r="CJ169" s="1332" t="str">
        <f t="shared" si="420"/>
        <v/>
      </c>
      <c r="CK169" s="1332" t="str">
        <f t="shared" si="421"/>
        <v/>
      </c>
      <c r="CL169" s="1332" t="str">
        <f t="shared" si="422"/>
        <v/>
      </c>
      <c r="CM169" s="1331" t="str">
        <f t="shared" si="423"/>
        <v/>
      </c>
      <c r="CN169" s="538" t="str">
        <f t="shared" si="424"/>
        <v/>
      </c>
      <c r="CO169" s="539" t="str">
        <f t="shared" si="425"/>
        <v/>
      </c>
      <c r="CP169" s="539" t="str">
        <f t="shared" si="426"/>
        <v/>
      </c>
      <c r="CQ169" s="539" t="str">
        <f t="shared" si="427"/>
        <v/>
      </c>
      <c r="CR169" s="539" t="str">
        <f t="shared" si="428"/>
        <v/>
      </c>
      <c r="CS169" s="539" t="str">
        <f t="shared" si="429"/>
        <v/>
      </c>
      <c r="CT169" s="540" t="str">
        <f t="shared" si="430"/>
        <v/>
      </c>
      <c r="CU169" s="540" t="str">
        <f t="shared" si="431"/>
        <v/>
      </c>
      <c r="CV169" s="540" t="str">
        <f t="shared" si="432"/>
        <v/>
      </c>
      <c r="CW169" s="539" t="str">
        <f t="shared" si="433"/>
        <v/>
      </c>
      <c r="CX169" s="539" t="str">
        <f t="shared" si="434"/>
        <v/>
      </c>
      <c r="CY169" s="539" t="str">
        <f t="shared" si="435"/>
        <v/>
      </c>
      <c r="CZ169" s="539" t="str">
        <f t="shared" si="436"/>
        <v/>
      </c>
      <c r="DA169" s="539" t="str">
        <f t="shared" si="437"/>
        <v/>
      </c>
      <c r="DB169" s="538" t="str">
        <f t="shared" si="438"/>
        <v/>
      </c>
      <c r="DC169" s="537" t="str">
        <f t="shared" si="439"/>
        <v/>
      </c>
      <c r="DD169" s="641">
        <f t="shared" si="440"/>
        <v>0</v>
      </c>
      <c r="DE169" s="95">
        <f t="shared" si="441"/>
        <v>0</v>
      </c>
      <c r="DF169" s="95">
        <f t="shared" si="442"/>
        <v>0</v>
      </c>
      <c r="DG169" s="95">
        <f t="shared" si="443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2"/>
        <v/>
      </c>
      <c r="CA170" s="586" t="str">
        <f t="shared" si="453"/>
        <v/>
      </c>
      <c r="CB170" s="586" t="str">
        <f t="shared" si="454"/>
        <v/>
      </c>
      <c r="CC170" s="586" t="str">
        <f t="shared" si="455"/>
        <v/>
      </c>
      <c r="CD170" s="1331" t="str">
        <f t="shared" si="414"/>
        <v/>
      </c>
      <c r="CE170" s="1332" t="str">
        <f t="shared" si="415"/>
        <v/>
      </c>
      <c r="CF170" s="1332" t="str">
        <f t="shared" si="416"/>
        <v/>
      </c>
      <c r="CG170" s="1332" t="str">
        <f t="shared" si="417"/>
        <v/>
      </c>
      <c r="CH170" s="1333" t="str">
        <f t="shared" si="418"/>
        <v/>
      </c>
      <c r="CI170" s="1333" t="str">
        <f t="shared" si="419"/>
        <v/>
      </c>
      <c r="CJ170" s="1332" t="str">
        <f t="shared" si="420"/>
        <v/>
      </c>
      <c r="CK170" s="1332" t="str">
        <f t="shared" si="421"/>
        <v/>
      </c>
      <c r="CL170" s="1332" t="str">
        <f t="shared" si="422"/>
        <v/>
      </c>
      <c r="CM170" s="1331" t="str">
        <f t="shared" si="423"/>
        <v/>
      </c>
      <c r="CN170" s="538" t="str">
        <f t="shared" si="424"/>
        <v/>
      </c>
      <c r="CO170" s="539" t="str">
        <f t="shared" si="425"/>
        <v/>
      </c>
      <c r="CP170" s="539" t="str">
        <f t="shared" si="426"/>
        <v/>
      </c>
      <c r="CQ170" s="539" t="str">
        <f t="shared" si="427"/>
        <v/>
      </c>
      <c r="CR170" s="539" t="str">
        <f t="shared" si="428"/>
        <v/>
      </c>
      <c r="CS170" s="539" t="str">
        <f t="shared" si="429"/>
        <v/>
      </c>
      <c r="CT170" s="540" t="str">
        <f t="shared" si="430"/>
        <v/>
      </c>
      <c r="CU170" s="540" t="str">
        <f t="shared" si="431"/>
        <v/>
      </c>
      <c r="CV170" s="540" t="str">
        <f t="shared" si="432"/>
        <v/>
      </c>
      <c r="CW170" s="539" t="str">
        <f t="shared" si="433"/>
        <v/>
      </c>
      <c r="CX170" s="539" t="str">
        <f t="shared" si="434"/>
        <v/>
      </c>
      <c r="CY170" s="539" t="str">
        <f t="shared" si="435"/>
        <v/>
      </c>
      <c r="CZ170" s="539" t="str">
        <f t="shared" si="436"/>
        <v/>
      </c>
      <c r="DA170" s="539" t="str">
        <f t="shared" si="437"/>
        <v/>
      </c>
      <c r="DB170" s="538" t="str">
        <f t="shared" si="438"/>
        <v/>
      </c>
      <c r="DC170" s="537" t="str">
        <f t="shared" si="439"/>
        <v/>
      </c>
      <c r="DD170" s="641">
        <f t="shared" si="440"/>
        <v>0</v>
      </c>
      <c r="DE170" s="95">
        <f t="shared" si="441"/>
        <v>0</v>
      </c>
      <c r="DF170" s="95">
        <f t="shared" si="442"/>
        <v>0</v>
      </c>
      <c r="DG170" s="95">
        <f t="shared" si="443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202</v>
      </c>
      <c r="B171" s="618" t="str">
        <f t="shared" ref="B171:K171" si="472">IF(B169="","",B169*B170)</f>
        <v/>
      </c>
      <c r="C171" s="618" t="str">
        <f t="shared" si="472"/>
        <v/>
      </c>
      <c r="D171" s="618" t="str">
        <f t="shared" si="472"/>
        <v/>
      </c>
      <c r="E171" s="618" t="str">
        <f t="shared" si="472"/>
        <v/>
      </c>
      <c r="F171" s="618" t="str">
        <f t="shared" si="472"/>
        <v/>
      </c>
      <c r="G171" s="618" t="str">
        <f t="shared" si="472"/>
        <v/>
      </c>
      <c r="H171" s="618" t="str">
        <f t="shared" si="472"/>
        <v/>
      </c>
      <c r="I171" s="618" t="str">
        <f t="shared" si="472"/>
        <v/>
      </c>
      <c r="J171" s="618" t="str">
        <f t="shared" si="472"/>
        <v/>
      </c>
      <c r="K171" s="618" t="str">
        <f t="shared" si="472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3">IF(T169="","",T169*T170)</f>
        <v/>
      </c>
      <c r="U171" s="618" t="str">
        <f t="shared" si="473"/>
        <v/>
      </c>
      <c r="V171" s="618" t="str">
        <f t="shared" si="473"/>
        <v/>
      </c>
      <c r="W171" s="618" t="str">
        <f t="shared" si="473"/>
        <v/>
      </c>
      <c r="X171" s="618" t="str">
        <f t="shared" si="473"/>
        <v/>
      </c>
      <c r="Y171" s="618" t="str">
        <f t="shared" si="473"/>
        <v/>
      </c>
      <c r="Z171" s="618" t="str">
        <f t="shared" si="473"/>
        <v/>
      </c>
      <c r="AA171" s="618" t="str">
        <f t="shared" si="473"/>
        <v/>
      </c>
      <c r="AB171" s="618" t="str">
        <f t="shared" si="473"/>
        <v/>
      </c>
      <c r="AC171" s="618" t="str">
        <f t="shared" si="473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4">IF(AL169="","",AL169*AL170)</f>
        <v/>
      </c>
      <c r="AM171" s="618" t="str">
        <f t="shared" si="474"/>
        <v/>
      </c>
      <c r="AN171" s="618" t="str">
        <f t="shared" si="474"/>
        <v/>
      </c>
      <c r="AO171" s="618" t="str">
        <f t="shared" si="474"/>
        <v/>
      </c>
      <c r="AP171" s="618" t="str">
        <f t="shared" si="474"/>
        <v/>
      </c>
      <c r="AQ171" s="618" t="str">
        <f t="shared" si="474"/>
        <v/>
      </c>
      <c r="AR171" s="618" t="str">
        <f t="shared" si="474"/>
        <v/>
      </c>
      <c r="AS171" s="618" t="str">
        <f t="shared" si="474"/>
        <v/>
      </c>
      <c r="AT171" s="618" t="str">
        <f t="shared" si="474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5">IF(BD169="","",BD169*BD170)</f>
        <v/>
      </c>
      <c r="BE171" s="618" t="str">
        <f t="shared" si="475"/>
        <v/>
      </c>
      <c r="BF171" s="618" t="str">
        <f t="shared" si="475"/>
        <v/>
      </c>
      <c r="BG171" s="618" t="str">
        <f t="shared" si="475"/>
        <v/>
      </c>
      <c r="BH171" s="618" t="str">
        <f t="shared" si="475"/>
        <v/>
      </c>
      <c r="BI171" s="618" t="str">
        <f t="shared" si="475"/>
        <v/>
      </c>
      <c r="BJ171" s="618" t="str">
        <f t="shared" si="475"/>
        <v/>
      </c>
      <c r="BK171" s="618" t="str">
        <f t="shared" si="475"/>
        <v/>
      </c>
      <c r="BL171" s="618" t="str">
        <f t="shared" si="475"/>
        <v/>
      </c>
      <c r="BM171" s="618" t="str">
        <f t="shared" si="475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2"/>
        <v/>
      </c>
      <c r="CA171" s="586" t="str">
        <f t="shared" si="453"/>
        <v/>
      </c>
      <c r="CB171" s="586" t="str">
        <f t="shared" si="454"/>
        <v/>
      </c>
      <c r="CC171" s="586" t="str">
        <f t="shared" si="455"/>
        <v/>
      </c>
      <c r="CD171" s="1331" t="str">
        <f t="shared" si="414"/>
        <v/>
      </c>
      <c r="CE171" s="1332" t="str">
        <f t="shared" si="415"/>
        <v/>
      </c>
      <c r="CF171" s="1332" t="str">
        <f t="shared" si="416"/>
        <v/>
      </c>
      <c r="CG171" s="1332" t="str">
        <f t="shared" si="417"/>
        <v/>
      </c>
      <c r="CH171" s="1333" t="str">
        <f t="shared" si="418"/>
        <v/>
      </c>
      <c r="CI171" s="1333" t="str">
        <f t="shared" si="419"/>
        <v/>
      </c>
      <c r="CJ171" s="1332" t="str">
        <f t="shared" si="420"/>
        <v/>
      </c>
      <c r="CK171" s="1332" t="str">
        <f t="shared" si="421"/>
        <v/>
      </c>
      <c r="CL171" s="1332" t="str">
        <f t="shared" si="422"/>
        <v/>
      </c>
      <c r="CM171" s="1331" t="str">
        <f t="shared" si="423"/>
        <v/>
      </c>
      <c r="CN171" s="538" t="str">
        <f t="shared" si="424"/>
        <v/>
      </c>
      <c r="CO171" s="539" t="str">
        <f t="shared" si="425"/>
        <v/>
      </c>
      <c r="CP171" s="539" t="str">
        <f t="shared" si="426"/>
        <v/>
      </c>
      <c r="CQ171" s="539" t="str">
        <f t="shared" si="427"/>
        <v/>
      </c>
      <c r="CR171" s="539" t="str">
        <f t="shared" si="428"/>
        <v/>
      </c>
      <c r="CS171" s="539" t="str">
        <f t="shared" si="429"/>
        <v/>
      </c>
      <c r="CT171" s="540" t="str">
        <f t="shared" si="430"/>
        <v/>
      </c>
      <c r="CU171" s="540" t="str">
        <f t="shared" si="431"/>
        <v/>
      </c>
      <c r="CV171" s="540" t="str">
        <f t="shared" si="432"/>
        <v/>
      </c>
      <c r="CW171" s="539" t="str">
        <f t="shared" si="433"/>
        <v/>
      </c>
      <c r="CX171" s="539" t="str">
        <f t="shared" si="434"/>
        <v/>
      </c>
      <c r="CY171" s="539" t="str">
        <f t="shared" si="435"/>
        <v/>
      </c>
      <c r="CZ171" s="539" t="str">
        <f t="shared" si="436"/>
        <v/>
      </c>
      <c r="DA171" s="539" t="str">
        <f t="shared" si="437"/>
        <v/>
      </c>
      <c r="DB171" s="538" t="str">
        <f t="shared" si="438"/>
        <v/>
      </c>
      <c r="DC171" s="537" t="str">
        <f t="shared" si="439"/>
        <v/>
      </c>
      <c r="DD171" s="641">
        <f t="shared" si="440"/>
        <v>0</v>
      </c>
      <c r="DE171" s="95">
        <f t="shared" si="441"/>
        <v>0</v>
      </c>
      <c r="DF171" s="95">
        <f t="shared" si="442"/>
        <v>0</v>
      </c>
      <c r="DG171" s="95">
        <f t="shared" si="443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203</v>
      </c>
      <c r="B172" s="621" t="str">
        <f t="shared" ref="B172:K172" si="476">IF(B167="","",(SUM(B151)*2973-SUM(B152,B156)*(2973-1549*(B155=0))-SUM(B168,B169)*32930)/$G$1/365/B$46)</f>
        <v/>
      </c>
      <c r="C172" s="621" t="str">
        <f t="shared" si="476"/>
        <v/>
      </c>
      <c r="D172" s="621" t="str">
        <f t="shared" si="476"/>
        <v/>
      </c>
      <c r="E172" s="621" t="str">
        <f t="shared" si="476"/>
        <v/>
      </c>
      <c r="F172" s="621" t="str">
        <f t="shared" si="476"/>
        <v/>
      </c>
      <c r="G172" s="621" t="str">
        <f t="shared" si="476"/>
        <v/>
      </c>
      <c r="H172" s="621" t="str">
        <f t="shared" si="476"/>
        <v/>
      </c>
      <c r="I172" s="621" t="str">
        <f t="shared" si="476"/>
        <v/>
      </c>
      <c r="J172" s="621" t="str">
        <f t="shared" si="476"/>
        <v/>
      </c>
      <c r="K172" s="621" t="str">
        <f t="shared" si="476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7">IF(T167="","",(SUM(T151)*2973-SUM(T152,T156)*(2973-1549*(T155=0))-SUM(T168,T169)*32930)/$G$1/365/T$46)</f>
        <v/>
      </c>
      <c r="U172" s="621" t="str">
        <f t="shared" si="477"/>
        <v/>
      </c>
      <c r="V172" s="621" t="str">
        <f t="shared" si="477"/>
        <v/>
      </c>
      <c r="W172" s="621" t="str">
        <f t="shared" si="477"/>
        <v/>
      </c>
      <c r="X172" s="621" t="str">
        <f t="shared" si="477"/>
        <v/>
      </c>
      <c r="Y172" s="621" t="str">
        <f t="shared" si="477"/>
        <v/>
      </c>
      <c r="Z172" s="621" t="str">
        <f t="shared" si="477"/>
        <v/>
      </c>
      <c r="AA172" s="621" t="str">
        <f t="shared" si="477"/>
        <v/>
      </c>
      <c r="AB172" s="621" t="str">
        <f t="shared" si="477"/>
        <v/>
      </c>
      <c r="AC172" s="621" t="str">
        <f t="shared" si="477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8">IF(AL167="","",(SUM(AL151)*2973-SUM(AL152,AL156)*(2973-1549*(AL155=0))-SUM(AL168,AL169)*32930)/$G$1/365/AL$46)</f>
        <v/>
      </c>
      <c r="AM172" s="621" t="str">
        <f t="shared" si="478"/>
        <v/>
      </c>
      <c r="AN172" s="621" t="str">
        <f t="shared" si="478"/>
        <v/>
      </c>
      <c r="AO172" s="621" t="str">
        <f t="shared" si="478"/>
        <v/>
      </c>
      <c r="AP172" s="621" t="str">
        <f t="shared" si="478"/>
        <v/>
      </c>
      <c r="AQ172" s="621" t="str">
        <f t="shared" si="478"/>
        <v/>
      </c>
      <c r="AR172" s="621" t="str">
        <f t="shared" si="478"/>
        <v/>
      </c>
      <c r="AS172" s="621" t="str">
        <f t="shared" si="478"/>
        <v/>
      </c>
      <c r="AT172" s="621" t="str">
        <f t="shared" si="478"/>
        <v/>
      </c>
      <c r="AU172" s="621" t="str">
        <f t="shared" si="478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9">IF(BD167="","",(SUM(BD151)*2973-SUM(BD152,BD156)*(2973-1549*(BD155=0))-SUM(BD168,BD169)*32930)/$G$1/365/BD$46)</f>
        <v/>
      </c>
      <c r="BE172" s="621" t="str">
        <f t="shared" si="479"/>
        <v/>
      </c>
      <c r="BF172" s="621" t="str">
        <f t="shared" si="479"/>
        <v/>
      </c>
      <c r="BG172" s="621" t="str">
        <f t="shared" si="479"/>
        <v/>
      </c>
      <c r="BH172" s="621" t="str">
        <f t="shared" si="479"/>
        <v/>
      </c>
      <c r="BI172" s="621" t="str">
        <f t="shared" si="479"/>
        <v/>
      </c>
      <c r="BJ172" s="621" t="str">
        <f t="shared" si="479"/>
        <v/>
      </c>
      <c r="BK172" s="621" t="str">
        <f t="shared" si="479"/>
        <v/>
      </c>
      <c r="BL172" s="621" t="str">
        <f t="shared" si="479"/>
        <v/>
      </c>
      <c r="BM172" s="621" t="str">
        <f t="shared" si="479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2"/>
        <v/>
      </c>
      <c r="CA172" s="611" t="str">
        <f t="shared" si="453"/>
        <v/>
      </c>
      <c r="CB172" s="611" t="str">
        <f t="shared" si="454"/>
        <v/>
      </c>
      <c r="CC172" s="611" t="str">
        <f t="shared" si="455"/>
        <v/>
      </c>
      <c r="CD172" s="1325" t="str">
        <f t="shared" si="414"/>
        <v/>
      </c>
      <c r="CE172" s="1326" t="str">
        <f t="shared" si="415"/>
        <v/>
      </c>
      <c r="CF172" s="1326" t="str">
        <f t="shared" si="416"/>
        <v/>
      </c>
      <c r="CG172" s="1326" t="str">
        <f t="shared" si="417"/>
        <v/>
      </c>
      <c r="CH172" s="1327" t="str">
        <f t="shared" si="418"/>
        <v/>
      </c>
      <c r="CI172" s="1327" t="str">
        <f t="shared" si="419"/>
        <v/>
      </c>
      <c r="CJ172" s="1326" t="str">
        <f t="shared" si="420"/>
        <v/>
      </c>
      <c r="CK172" s="1326" t="str">
        <f t="shared" si="421"/>
        <v/>
      </c>
      <c r="CL172" s="1326" t="str">
        <f t="shared" si="422"/>
        <v/>
      </c>
      <c r="CM172" s="1325" t="str">
        <f t="shared" si="423"/>
        <v/>
      </c>
      <c r="CN172" s="526" t="str">
        <f t="shared" si="424"/>
        <v/>
      </c>
      <c r="CO172" s="527" t="str">
        <f t="shared" si="425"/>
        <v/>
      </c>
      <c r="CP172" s="527" t="str">
        <f t="shared" si="426"/>
        <v/>
      </c>
      <c r="CQ172" s="527" t="str">
        <f t="shared" si="427"/>
        <v/>
      </c>
      <c r="CR172" s="527" t="str">
        <f t="shared" si="428"/>
        <v/>
      </c>
      <c r="CS172" s="527" t="str">
        <f t="shared" si="429"/>
        <v/>
      </c>
      <c r="CT172" s="528" t="str">
        <f t="shared" si="430"/>
        <v/>
      </c>
      <c r="CU172" s="528" t="str">
        <f t="shared" si="431"/>
        <v/>
      </c>
      <c r="CV172" s="528" t="str">
        <f t="shared" si="432"/>
        <v/>
      </c>
      <c r="CW172" s="527" t="str">
        <f t="shared" si="433"/>
        <v/>
      </c>
      <c r="CX172" s="527" t="str">
        <f t="shared" si="434"/>
        <v/>
      </c>
      <c r="CY172" s="527" t="str">
        <f t="shared" si="435"/>
        <v/>
      </c>
      <c r="CZ172" s="527" t="str">
        <f t="shared" si="436"/>
        <v/>
      </c>
      <c r="DA172" s="527" t="str">
        <f t="shared" si="437"/>
        <v/>
      </c>
      <c r="DB172" s="526" t="str">
        <f t="shared" si="438"/>
        <v/>
      </c>
      <c r="DC172" s="525" t="str">
        <f t="shared" si="439"/>
        <v/>
      </c>
      <c r="DD172" s="641">
        <f t="shared" si="440"/>
        <v>0</v>
      </c>
      <c r="DE172" s="95">
        <f t="shared" si="441"/>
        <v>0</v>
      </c>
      <c r="DF172" s="95">
        <f t="shared" si="442"/>
        <v>0</v>
      </c>
      <c r="DG172" s="95">
        <f t="shared" si="443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205</v>
      </c>
      <c r="B173" s="621" t="str">
        <f t="shared" ref="B173:K173" si="480">IF(B167="","",(SUM(B160)*2973-SUM(B161,B165)*(2973-1549*(B164=0)))/$G$1/365/B$46)</f>
        <v/>
      </c>
      <c r="C173" s="621" t="str">
        <f t="shared" si="480"/>
        <v/>
      </c>
      <c r="D173" s="621" t="str">
        <f t="shared" si="480"/>
        <v/>
      </c>
      <c r="E173" s="621" t="str">
        <f t="shared" si="480"/>
        <v/>
      </c>
      <c r="F173" s="621" t="str">
        <f t="shared" si="480"/>
        <v/>
      </c>
      <c r="G173" s="621" t="str">
        <f t="shared" si="480"/>
        <v/>
      </c>
      <c r="H173" s="621" t="str">
        <f t="shared" si="480"/>
        <v/>
      </c>
      <c r="I173" s="621" t="str">
        <f t="shared" si="480"/>
        <v/>
      </c>
      <c r="J173" s="621" t="str">
        <f t="shared" si="480"/>
        <v/>
      </c>
      <c r="K173" s="621" t="str">
        <f t="shared" si="480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81">IF(T167="","",(SUM(T160)*2973-SUM(T161,T165)*(2973-1549*(T164=0)))/$G$1/365/T$46)</f>
        <v/>
      </c>
      <c r="U173" s="621" t="str">
        <f t="shared" si="481"/>
        <v/>
      </c>
      <c r="V173" s="621" t="str">
        <f t="shared" si="481"/>
        <v/>
      </c>
      <c r="W173" s="621" t="str">
        <f t="shared" si="481"/>
        <v/>
      </c>
      <c r="X173" s="621" t="str">
        <f t="shared" si="481"/>
        <v/>
      </c>
      <c r="Y173" s="621" t="str">
        <f t="shared" si="481"/>
        <v/>
      </c>
      <c r="Z173" s="621" t="str">
        <f t="shared" si="481"/>
        <v/>
      </c>
      <c r="AA173" s="621" t="str">
        <f t="shared" si="481"/>
        <v/>
      </c>
      <c r="AB173" s="621" t="str">
        <f t="shared" si="481"/>
        <v/>
      </c>
      <c r="AC173" s="621" t="str">
        <f t="shared" si="481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2">IF(AL167="","",(SUM(AL160)*2973-SUM(AL161,AL165)*(2973-1549*(AL164=0)))/$G$1/365/AL$46)</f>
        <v/>
      </c>
      <c r="AM173" s="621" t="str">
        <f t="shared" si="482"/>
        <v/>
      </c>
      <c r="AN173" s="621" t="str">
        <f t="shared" si="482"/>
        <v/>
      </c>
      <c r="AO173" s="621" t="str">
        <f t="shared" si="482"/>
        <v/>
      </c>
      <c r="AP173" s="621" t="str">
        <f t="shared" si="482"/>
        <v/>
      </c>
      <c r="AQ173" s="621" t="str">
        <f t="shared" si="482"/>
        <v/>
      </c>
      <c r="AR173" s="621" t="str">
        <f t="shared" si="482"/>
        <v/>
      </c>
      <c r="AS173" s="621" t="str">
        <f t="shared" si="482"/>
        <v/>
      </c>
      <c r="AT173" s="621" t="str">
        <f t="shared" si="482"/>
        <v/>
      </c>
      <c r="AU173" s="621" t="str">
        <f t="shared" si="482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3">IF(BD167="","",(SUM(BD160)*2973-SUM(BD161,BD165)*(2973-1549*(BD164=0)))/$G$1/365/BD$46)</f>
        <v/>
      </c>
      <c r="BE173" s="621" t="str">
        <f t="shared" si="483"/>
        <v/>
      </c>
      <c r="BF173" s="621" t="str">
        <f t="shared" si="483"/>
        <v/>
      </c>
      <c r="BG173" s="621" t="str">
        <f t="shared" si="483"/>
        <v/>
      </c>
      <c r="BH173" s="621" t="str">
        <f t="shared" si="483"/>
        <v/>
      </c>
      <c r="BI173" s="621" t="str">
        <f t="shared" si="483"/>
        <v/>
      </c>
      <c r="BJ173" s="621" t="str">
        <f t="shared" si="483"/>
        <v/>
      </c>
      <c r="BK173" s="621" t="str">
        <f t="shared" si="483"/>
        <v/>
      </c>
      <c r="BL173" s="621" t="str">
        <f t="shared" si="483"/>
        <v/>
      </c>
      <c r="BM173" s="621" t="str">
        <f t="shared" si="483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2"/>
        <v/>
      </c>
      <c r="CA173" s="611" t="str">
        <f t="shared" si="453"/>
        <v/>
      </c>
      <c r="CB173" s="611" t="str">
        <f t="shared" si="454"/>
        <v/>
      </c>
      <c r="CC173" s="611" t="str">
        <f t="shared" si="455"/>
        <v/>
      </c>
      <c r="CD173" s="1325" t="str">
        <f t="shared" si="414"/>
        <v/>
      </c>
      <c r="CE173" s="1326" t="str">
        <f t="shared" si="415"/>
        <v/>
      </c>
      <c r="CF173" s="1326" t="str">
        <f t="shared" si="416"/>
        <v/>
      </c>
      <c r="CG173" s="1326" t="str">
        <f t="shared" si="417"/>
        <v/>
      </c>
      <c r="CH173" s="1327" t="str">
        <f t="shared" si="418"/>
        <v/>
      </c>
      <c r="CI173" s="1327" t="str">
        <f t="shared" si="419"/>
        <v/>
      </c>
      <c r="CJ173" s="1326" t="str">
        <f t="shared" si="420"/>
        <v/>
      </c>
      <c r="CK173" s="1326" t="str">
        <f t="shared" si="421"/>
        <v/>
      </c>
      <c r="CL173" s="1326" t="str">
        <f t="shared" si="422"/>
        <v/>
      </c>
      <c r="CM173" s="1325" t="str">
        <f t="shared" si="423"/>
        <v/>
      </c>
      <c r="CN173" s="526" t="str">
        <f t="shared" si="424"/>
        <v/>
      </c>
      <c r="CO173" s="527" t="str">
        <f t="shared" si="425"/>
        <v/>
      </c>
      <c r="CP173" s="527" t="str">
        <f t="shared" si="426"/>
        <v/>
      </c>
      <c r="CQ173" s="527" t="str">
        <f t="shared" si="427"/>
        <v/>
      </c>
      <c r="CR173" s="527" t="str">
        <f t="shared" si="428"/>
        <v/>
      </c>
      <c r="CS173" s="527" t="str">
        <f t="shared" si="429"/>
        <v/>
      </c>
      <c r="CT173" s="528" t="str">
        <f t="shared" si="430"/>
        <v/>
      </c>
      <c r="CU173" s="528" t="str">
        <f t="shared" si="431"/>
        <v/>
      </c>
      <c r="CV173" s="528" t="str">
        <f t="shared" si="432"/>
        <v/>
      </c>
      <c r="CW173" s="527" t="str">
        <f t="shared" si="433"/>
        <v/>
      </c>
      <c r="CX173" s="527" t="str">
        <f t="shared" si="434"/>
        <v/>
      </c>
      <c r="CY173" s="527" t="str">
        <f t="shared" si="435"/>
        <v/>
      </c>
      <c r="CZ173" s="527" t="str">
        <f t="shared" si="436"/>
        <v/>
      </c>
      <c r="DA173" s="527" t="str">
        <f t="shared" si="437"/>
        <v/>
      </c>
      <c r="DB173" s="526" t="str">
        <f t="shared" si="438"/>
        <v/>
      </c>
      <c r="DC173" s="525" t="str">
        <f t="shared" si="439"/>
        <v/>
      </c>
      <c r="DD173" s="641">
        <f t="shared" si="440"/>
        <v>0</v>
      </c>
      <c r="DE173" s="95">
        <f t="shared" si="441"/>
        <v>0</v>
      </c>
      <c r="DF173" s="95">
        <f t="shared" si="442"/>
        <v>0</v>
      </c>
      <c r="DG173" s="95">
        <f t="shared" si="443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224</v>
      </c>
      <c r="B174" s="609" t="str">
        <f t="shared" ref="B174:K174" si="484">IF(SUM(B167)&gt;0,B169/B167,"")</f>
        <v/>
      </c>
      <c r="C174" s="609" t="str">
        <f t="shared" si="484"/>
        <v/>
      </c>
      <c r="D174" s="609" t="str">
        <f t="shared" si="484"/>
        <v/>
      </c>
      <c r="E174" s="609" t="str">
        <f t="shared" si="484"/>
        <v/>
      </c>
      <c r="F174" s="609" t="str">
        <f t="shared" si="484"/>
        <v/>
      </c>
      <c r="G174" s="609" t="str">
        <f t="shared" si="484"/>
        <v/>
      </c>
      <c r="H174" s="609" t="str">
        <f t="shared" si="484"/>
        <v/>
      </c>
      <c r="I174" s="609" t="str">
        <f t="shared" si="484"/>
        <v/>
      </c>
      <c r="J174" s="609" t="str">
        <f t="shared" si="484"/>
        <v/>
      </c>
      <c r="K174" s="609" t="str">
        <f t="shared" si="484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5">IF(SUM(T167)&gt;0,T169/T167,"")</f>
        <v/>
      </c>
      <c r="U174" s="609" t="str">
        <f t="shared" si="485"/>
        <v/>
      </c>
      <c r="V174" s="609" t="str">
        <f t="shared" si="485"/>
        <v/>
      </c>
      <c r="W174" s="609" t="str">
        <f t="shared" si="485"/>
        <v/>
      </c>
      <c r="X174" s="609" t="str">
        <f t="shared" si="485"/>
        <v/>
      </c>
      <c r="Y174" s="609" t="str">
        <f t="shared" si="485"/>
        <v/>
      </c>
      <c r="Z174" s="609" t="str">
        <f t="shared" si="485"/>
        <v/>
      </c>
      <c r="AA174" s="609" t="str">
        <f t="shared" si="485"/>
        <v/>
      </c>
      <c r="AB174" s="609" t="str">
        <f t="shared" si="485"/>
        <v/>
      </c>
      <c r="AC174" s="609" t="str">
        <f t="shared" si="485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6">IF(SUM(AL167)&gt;0,AL169/AL167,"")</f>
        <v/>
      </c>
      <c r="AM174" s="609" t="str">
        <f t="shared" si="486"/>
        <v/>
      </c>
      <c r="AN174" s="609" t="str">
        <f t="shared" si="486"/>
        <v/>
      </c>
      <c r="AO174" s="609" t="str">
        <f t="shared" si="486"/>
        <v/>
      </c>
      <c r="AP174" s="609" t="str">
        <f t="shared" si="486"/>
        <v/>
      </c>
      <c r="AQ174" s="609" t="str">
        <f t="shared" si="486"/>
        <v/>
      </c>
      <c r="AR174" s="609" t="str">
        <f t="shared" si="486"/>
        <v/>
      </c>
      <c r="AS174" s="609" t="str">
        <f t="shared" si="486"/>
        <v/>
      </c>
      <c r="AT174" s="609" t="str">
        <f t="shared" si="486"/>
        <v/>
      </c>
      <c r="AU174" s="609" t="str">
        <f t="shared" si="486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7">IF(SUM(BD167)&gt;0,BD169/BD167,"")</f>
        <v/>
      </c>
      <c r="BE174" s="609" t="str">
        <f t="shared" si="487"/>
        <v/>
      </c>
      <c r="BF174" s="609" t="str">
        <f t="shared" si="487"/>
        <v/>
      </c>
      <c r="BG174" s="609" t="str">
        <f t="shared" si="487"/>
        <v/>
      </c>
      <c r="BH174" s="609" t="str">
        <f t="shared" si="487"/>
        <v/>
      </c>
      <c r="BI174" s="609" t="str">
        <f t="shared" si="487"/>
        <v/>
      </c>
      <c r="BJ174" s="609" t="str">
        <f t="shared" si="487"/>
        <v/>
      </c>
      <c r="BK174" s="609" t="str">
        <f t="shared" si="487"/>
        <v/>
      </c>
      <c r="BL174" s="609" t="str">
        <f t="shared" si="487"/>
        <v/>
      </c>
      <c r="BM174" s="609" t="str">
        <f t="shared" si="487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2"/>
        <v/>
      </c>
      <c r="CA174" s="611" t="str">
        <f t="shared" si="453"/>
        <v/>
      </c>
      <c r="CB174" s="611" t="str">
        <f t="shared" si="454"/>
        <v/>
      </c>
      <c r="CC174" s="611" t="str">
        <f t="shared" si="455"/>
        <v/>
      </c>
      <c r="CD174" s="1325" t="str">
        <f t="shared" si="414"/>
        <v/>
      </c>
      <c r="CE174" s="1326" t="str">
        <f t="shared" si="415"/>
        <v/>
      </c>
      <c r="CF174" s="1326" t="str">
        <f t="shared" si="416"/>
        <v/>
      </c>
      <c r="CG174" s="1326" t="str">
        <f t="shared" si="417"/>
        <v/>
      </c>
      <c r="CH174" s="1327" t="str">
        <f t="shared" si="418"/>
        <v/>
      </c>
      <c r="CI174" s="1327" t="str">
        <f t="shared" si="419"/>
        <v/>
      </c>
      <c r="CJ174" s="1326" t="str">
        <f t="shared" si="420"/>
        <v/>
      </c>
      <c r="CK174" s="1326" t="str">
        <f t="shared" si="421"/>
        <v/>
      </c>
      <c r="CL174" s="1326" t="str">
        <f t="shared" si="422"/>
        <v/>
      </c>
      <c r="CM174" s="1325" t="str">
        <f t="shared" si="423"/>
        <v/>
      </c>
      <c r="CN174" s="526" t="str">
        <f t="shared" si="424"/>
        <v/>
      </c>
      <c r="CO174" s="527" t="str">
        <f t="shared" si="425"/>
        <v/>
      </c>
      <c r="CP174" s="527" t="str">
        <f t="shared" si="426"/>
        <v/>
      </c>
      <c r="CQ174" s="527" t="str">
        <f t="shared" si="427"/>
        <v/>
      </c>
      <c r="CR174" s="527" t="str">
        <f t="shared" si="428"/>
        <v/>
      </c>
      <c r="CS174" s="527" t="str">
        <f t="shared" si="429"/>
        <v/>
      </c>
      <c r="CT174" s="528" t="str">
        <f t="shared" si="430"/>
        <v/>
      </c>
      <c r="CU174" s="528" t="str">
        <f t="shared" si="431"/>
        <v/>
      </c>
      <c r="CV174" s="528" t="str">
        <f t="shared" si="432"/>
        <v/>
      </c>
      <c r="CW174" s="527" t="str">
        <f t="shared" si="433"/>
        <v/>
      </c>
      <c r="CX174" s="527" t="str">
        <f t="shared" si="434"/>
        <v/>
      </c>
      <c r="CY174" s="527" t="str">
        <f t="shared" si="435"/>
        <v/>
      </c>
      <c r="CZ174" s="527" t="str">
        <f t="shared" si="436"/>
        <v/>
      </c>
      <c r="DA174" s="527" t="str">
        <f t="shared" si="437"/>
        <v/>
      </c>
      <c r="DB174" s="526" t="str">
        <f t="shared" si="438"/>
        <v/>
      </c>
      <c r="DC174" s="525" t="str">
        <f t="shared" si="439"/>
        <v/>
      </c>
      <c r="DD174" s="641">
        <f t="shared" si="440"/>
        <v>0</v>
      </c>
      <c r="DE174" s="95">
        <f t="shared" si="441"/>
        <v>0</v>
      </c>
      <c r="DF174" s="95">
        <f t="shared" si="442"/>
        <v>0</v>
      </c>
      <c r="DG174" s="95">
        <f t="shared" si="443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2"/>
        <v/>
      </c>
      <c r="CA175" s="586" t="str">
        <f t="shared" si="453"/>
        <v/>
      </c>
      <c r="CB175" s="586" t="str">
        <f t="shared" si="454"/>
        <v/>
      </c>
      <c r="CC175" s="586" t="str">
        <f t="shared" si="455"/>
        <v/>
      </c>
      <c r="CD175" s="1331" t="str">
        <f t="shared" si="414"/>
        <v/>
      </c>
      <c r="CE175" s="1332" t="str">
        <f t="shared" si="415"/>
        <v/>
      </c>
      <c r="CF175" s="1332" t="str">
        <f t="shared" si="416"/>
        <v/>
      </c>
      <c r="CG175" s="1332" t="str">
        <f t="shared" si="417"/>
        <v/>
      </c>
      <c r="CH175" s="1333" t="str">
        <f t="shared" si="418"/>
        <v/>
      </c>
      <c r="CI175" s="1333" t="str">
        <f t="shared" si="419"/>
        <v/>
      </c>
      <c r="CJ175" s="1332" t="str">
        <f t="shared" si="420"/>
        <v/>
      </c>
      <c r="CK175" s="1332" t="str">
        <f t="shared" si="421"/>
        <v/>
      </c>
      <c r="CL175" s="1332" t="str">
        <f t="shared" si="422"/>
        <v/>
      </c>
      <c r="CM175" s="1331" t="str">
        <f t="shared" si="423"/>
        <v/>
      </c>
      <c r="CN175" s="538" t="str">
        <f t="shared" si="424"/>
        <v/>
      </c>
      <c r="CO175" s="539" t="str">
        <f t="shared" si="425"/>
        <v/>
      </c>
      <c r="CP175" s="539" t="str">
        <f t="shared" si="426"/>
        <v/>
      </c>
      <c r="CQ175" s="539" t="str">
        <f t="shared" si="427"/>
        <v/>
      </c>
      <c r="CR175" s="539" t="str">
        <f t="shared" si="428"/>
        <v/>
      </c>
      <c r="CS175" s="539" t="str">
        <f t="shared" si="429"/>
        <v/>
      </c>
      <c r="CT175" s="540" t="str">
        <f t="shared" si="430"/>
        <v/>
      </c>
      <c r="CU175" s="540" t="str">
        <f t="shared" si="431"/>
        <v/>
      </c>
      <c r="CV175" s="540" t="str">
        <f t="shared" si="432"/>
        <v/>
      </c>
      <c r="CW175" s="539" t="str">
        <f t="shared" si="433"/>
        <v/>
      </c>
      <c r="CX175" s="539" t="str">
        <f t="shared" si="434"/>
        <v/>
      </c>
      <c r="CY175" s="539" t="str">
        <f t="shared" si="435"/>
        <v/>
      </c>
      <c r="CZ175" s="539" t="str">
        <f t="shared" si="436"/>
        <v/>
      </c>
      <c r="DA175" s="539" t="str">
        <f t="shared" si="437"/>
        <v/>
      </c>
      <c r="DB175" s="538" t="str">
        <f t="shared" si="438"/>
        <v/>
      </c>
      <c r="DC175" s="537" t="str">
        <f t="shared" si="439"/>
        <v/>
      </c>
      <c r="DD175" s="641">
        <f t="shared" si="440"/>
        <v>0</v>
      </c>
      <c r="DE175" s="95">
        <f t="shared" si="441"/>
        <v>0</v>
      </c>
      <c r="DF175" s="95">
        <f t="shared" si="442"/>
        <v>0</v>
      </c>
      <c r="DG175" s="95">
        <f t="shared" si="443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2"/>
        <v/>
      </c>
      <c r="CA176" s="586" t="str">
        <f t="shared" si="453"/>
        <v/>
      </c>
      <c r="CB176" s="586" t="str">
        <f t="shared" si="454"/>
        <v/>
      </c>
      <c r="CC176" s="586" t="str">
        <f t="shared" si="455"/>
        <v/>
      </c>
      <c r="CD176" s="1331" t="str">
        <f t="shared" si="414"/>
        <v/>
      </c>
      <c r="CE176" s="1332" t="str">
        <f t="shared" si="415"/>
        <v/>
      </c>
      <c r="CF176" s="1332" t="str">
        <f t="shared" si="416"/>
        <v/>
      </c>
      <c r="CG176" s="1332" t="str">
        <f t="shared" si="417"/>
        <v/>
      </c>
      <c r="CH176" s="1333" t="str">
        <f t="shared" si="418"/>
        <v/>
      </c>
      <c r="CI176" s="1333" t="str">
        <f t="shared" si="419"/>
        <v/>
      </c>
      <c r="CJ176" s="1332" t="str">
        <f t="shared" si="420"/>
        <v/>
      </c>
      <c r="CK176" s="1332" t="str">
        <f t="shared" si="421"/>
        <v/>
      </c>
      <c r="CL176" s="1332" t="str">
        <f t="shared" si="422"/>
        <v/>
      </c>
      <c r="CM176" s="1331" t="str">
        <f t="shared" si="423"/>
        <v/>
      </c>
      <c r="CN176" s="538" t="str">
        <f t="shared" si="424"/>
        <v/>
      </c>
      <c r="CO176" s="539" t="str">
        <f t="shared" si="425"/>
        <v/>
      </c>
      <c r="CP176" s="539" t="str">
        <f t="shared" si="426"/>
        <v/>
      </c>
      <c r="CQ176" s="539" t="str">
        <f t="shared" si="427"/>
        <v/>
      </c>
      <c r="CR176" s="539" t="str">
        <f t="shared" si="428"/>
        <v/>
      </c>
      <c r="CS176" s="539" t="str">
        <f t="shared" si="429"/>
        <v/>
      </c>
      <c r="CT176" s="540" t="str">
        <f t="shared" si="430"/>
        <v/>
      </c>
      <c r="CU176" s="540" t="str">
        <f t="shared" si="431"/>
        <v/>
      </c>
      <c r="CV176" s="540" t="str">
        <f t="shared" si="432"/>
        <v/>
      </c>
      <c r="CW176" s="539" t="str">
        <f t="shared" si="433"/>
        <v/>
      </c>
      <c r="CX176" s="539" t="str">
        <f t="shared" si="434"/>
        <v/>
      </c>
      <c r="CY176" s="539" t="str">
        <f t="shared" si="435"/>
        <v/>
      </c>
      <c r="CZ176" s="539" t="str">
        <f t="shared" si="436"/>
        <v/>
      </c>
      <c r="DA176" s="539" t="str">
        <f t="shared" si="437"/>
        <v/>
      </c>
      <c r="DB176" s="538" t="str">
        <f t="shared" si="438"/>
        <v/>
      </c>
      <c r="DC176" s="537" t="str">
        <f t="shared" si="439"/>
        <v/>
      </c>
      <c r="DD176" s="641">
        <f t="shared" si="440"/>
        <v>0</v>
      </c>
      <c r="DE176" s="95">
        <f t="shared" si="441"/>
        <v>0</v>
      </c>
      <c r="DF176" s="95">
        <f t="shared" si="442"/>
        <v>0</v>
      </c>
      <c r="DG176" s="95">
        <f t="shared" si="443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227</v>
      </c>
      <c r="B177" s="621" t="str">
        <f t="shared" ref="B177:K177" si="488">IF(B176="","",B175*B176*9839/$G$1/365/B$46)</f>
        <v/>
      </c>
      <c r="C177" s="621" t="str">
        <f t="shared" si="488"/>
        <v/>
      </c>
      <c r="D177" s="621" t="str">
        <f t="shared" si="488"/>
        <v/>
      </c>
      <c r="E177" s="621" t="str">
        <f t="shared" si="488"/>
        <v/>
      </c>
      <c r="F177" s="621" t="str">
        <f t="shared" si="488"/>
        <v/>
      </c>
      <c r="G177" s="621" t="str">
        <f t="shared" si="488"/>
        <v/>
      </c>
      <c r="H177" s="621" t="str">
        <f t="shared" si="488"/>
        <v/>
      </c>
      <c r="I177" s="621" t="str">
        <f t="shared" si="488"/>
        <v/>
      </c>
      <c r="J177" s="621" t="str">
        <f t="shared" si="488"/>
        <v/>
      </c>
      <c r="K177" s="621" t="str">
        <f t="shared" si="488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9">IF(T176="","",T175*T176*9839/$G$1/365/T$46)</f>
        <v/>
      </c>
      <c r="U177" s="621" t="str">
        <f t="shared" si="489"/>
        <v/>
      </c>
      <c r="V177" s="621" t="str">
        <f t="shared" si="489"/>
        <v/>
      </c>
      <c r="W177" s="621" t="str">
        <f t="shared" si="489"/>
        <v/>
      </c>
      <c r="X177" s="621" t="str">
        <f t="shared" si="489"/>
        <v/>
      </c>
      <c r="Y177" s="621" t="str">
        <f t="shared" si="489"/>
        <v/>
      </c>
      <c r="Z177" s="621" t="str">
        <f t="shared" si="489"/>
        <v/>
      </c>
      <c r="AA177" s="621" t="str">
        <f t="shared" si="489"/>
        <v/>
      </c>
      <c r="AB177" s="621" t="str">
        <f t="shared" si="489"/>
        <v/>
      </c>
      <c r="AC177" s="621" t="str">
        <f t="shared" si="489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90">IF(AL176="","",AL175*AL176*9839/$G$1/365/AL$46)</f>
        <v/>
      </c>
      <c r="AM177" s="621" t="str">
        <f t="shared" si="490"/>
        <v/>
      </c>
      <c r="AN177" s="621" t="str">
        <f t="shared" si="490"/>
        <v/>
      </c>
      <c r="AO177" s="621" t="str">
        <f t="shared" si="490"/>
        <v/>
      </c>
      <c r="AP177" s="621" t="str">
        <f t="shared" si="490"/>
        <v/>
      </c>
      <c r="AQ177" s="621" t="str">
        <f t="shared" si="490"/>
        <v/>
      </c>
      <c r="AR177" s="621" t="str">
        <f t="shared" si="490"/>
        <v/>
      </c>
      <c r="AS177" s="621" t="str">
        <f t="shared" si="490"/>
        <v/>
      </c>
      <c r="AT177" s="621" t="str">
        <f t="shared" si="490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91">IF(BD176="","",BD175*BD176*9839/$G$1/365/BD$46)</f>
        <v/>
      </c>
      <c r="BE177" s="621" t="str">
        <f t="shared" si="491"/>
        <v/>
      </c>
      <c r="BF177" s="621" t="str">
        <f t="shared" si="491"/>
        <v/>
      </c>
      <c r="BG177" s="621" t="str">
        <f t="shared" si="491"/>
        <v/>
      </c>
      <c r="BH177" s="621" t="str">
        <f t="shared" si="491"/>
        <v/>
      </c>
      <c r="BI177" s="621" t="str">
        <f t="shared" si="491"/>
        <v/>
      </c>
      <c r="BJ177" s="621" t="str">
        <f t="shared" si="491"/>
        <v/>
      </c>
      <c r="BK177" s="621" t="str">
        <f t="shared" si="491"/>
        <v/>
      </c>
      <c r="BL177" s="621" t="str">
        <f t="shared" si="491"/>
        <v/>
      </c>
      <c r="BM177" s="621" t="str">
        <f t="shared" si="491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2"/>
        <v/>
      </c>
      <c r="CA177" s="586" t="str">
        <f t="shared" si="453"/>
        <v/>
      </c>
      <c r="CB177" s="586" t="str">
        <f t="shared" si="454"/>
        <v/>
      </c>
      <c r="CC177" s="586" t="str">
        <f t="shared" si="455"/>
        <v/>
      </c>
      <c r="CD177" s="1325" t="str">
        <f t="shared" si="414"/>
        <v/>
      </c>
      <c r="CE177" s="1326" t="str">
        <f t="shared" si="415"/>
        <v/>
      </c>
      <c r="CF177" s="1326" t="str">
        <f t="shared" si="416"/>
        <v/>
      </c>
      <c r="CG177" s="1326" t="str">
        <f t="shared" si="417"/>
        <v/>
      </c>
      <c r="CH177" s="1327" t="str">
        <f t="shared" si="418"/>
        <v/>
      </c>
      <c r="CI177" s="1327" t="str">
        <f t="shared" si="419"/>
        <v/>
      </c>
      <c r="CJ177" s="1326" t="str">
        <f t="shared" si="420"/>
        <v/>
      </c>
      <c r="CK177" s="1326" t="str">
        <f t="shared" si="421"/>
        <v/>
      </c>
      <c r="CL177" s="1326" t="str">
        <f t="shared" si="422"/>
        <v/>
      </c>
      <c r="CM177" s="1325" t="str">
        <f t="shared" si="423"/>
        <v/>
      </c>
      <c r="CN177" s="526" t="str">
        <f t="shared" si="424"/>
        <v/>
      </c>
      <c r="CO177" s="527" t="str">
        <f t="shared" si="425"/>
        <v/>
      </c>
      <c r="CP177" s="527" t="str">
        <f t="shared" si="426"/>
        <v/>
      </c>
      <c r="CQ177" s="527" t="str">
        <f t="shared" si="427"/>
        <v/>
      </c>
      <c r="CR177" s="527" t="str">
        <f t="shared" si="428"/>
        <v/>
      </c>
      <c r="CS177" s="527" t="str">
        <f t="shared" si="429"/>
        <v/>
      </c>
      <c r="CT177" s="528" t="str">
        <f t="shared" si="430"/>
        <v/>
      </c>
      <c r="CU177" s="528" t="str">
        <f t="shared" si="431"/>
        <v/>
      </c>
      <c r="CV177" s="528" t="str">
        <f t="shared" si="432"/>
        <v/>
      </c>
      <c r="CW177" s="527" t="str">
        <f t="shared" si="433"/>
        <v/>
      </c>
      <c r="CX177" s="527" t="str">
        <f t="shared" si="434"/>
        <v/>
      </c>
      <c r="CY177" s="527" t="str">
        <f t="shared" si="435"/>
        <v/>
      </c>
      <c r="CZ177" s="527" t="str">
        <f t="shared" si="436"/>
        <v/>
      </c>
      <c r="DA177" s="527" t="str">
        <f t="shared" si="437"/>
        <v/>
      </c>
      <c r="DB177" s="526" t="str">
        <f t="shared" si="438"/>
        <v/>
      </c>
      <c r="DC177" s="525" t="str">
        <f t="shared" si="439"/>
        <v/>
      </c>
      <c r="DD177" s="641">
        <f t="shared" si="440"/>
        <v>0</v>
      </c>
      <c r="DE177" s="95">
        <f t="shared" si="441"/>
        <v>0</v>
      </c>
      <c r="DF177" s="95">
        <f t="shared" si="442"/>
        <v>0</v>
      </c>
      <c r="DG177" s="95">
        <f t="shared" si="443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228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2"/>
        <v>0</v>
      </c>
      <c r="CA178" s="586">
        <f t="shared" si="453"/>
        <v>0</v>
      </c>
      <c r="CB178" s="586">
        <f t="shared" si="454"/>
        <v>1</v>
      </c>
      <c r="CC178" s="586">
        <f t="shared" si="455"/>
        <v>1.75</v>
      </c>
      <c r="CD178" s="1316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7">
        <f t="shared" si="492"/>
        <v>0</v>
      </c>
      <c r="CF178" s="1317">
        <f t="shared" si="492"/>
        <v>0</v>
      </c>
      <c r="CG178" s="1317">
        <f t="shared" si="492"/>
        <v>1</v>
      </c>
      <c r="CH178" s="1318">
        <f t="shared" si="492"/>
        <v>1</v>
      </c>
      <c r="CI178" s="1318">
        <f t="shared" si="492"/>
        <v>1</v>
      </c>
      <c r="CJ178" s="1317">
        <f t="shared" si="492"/>
        <v>1</v>
      </c>
      <c r="CK178" s="1317">
        <f t="shared" si="492"/>
        <v>2</v>
      </c>
      <c r="CL178" s="1317">
        <f t="shared" si="492"/>
        <v>2</v>
      </c>
      <c r="CM178" s="1316">
        <f t="shared" si="492"/>
        <v>3</v>
      </c>
      <c r="CN178" s="538" t="str">
        <f t="shared" si="424"/>
        <v/>
      </c>
      <c r="CO178" s="539" t="str">
        <f t="shared" si="425"/>
        <v/>
      </c>
      <c r="CP178" s="539" t="str">
        <f t="shared" si="426"/>
        <v/>
      </c>
      <c r="CQ178" s="539">
        <f t="shared" si="427"/>
        <v>1</v>
      </c>
      <c r="CR178" s="539">
        <f t="shared" si="428"/>
        <v>1</v>
      </c>
      <c r="CS178" s="539">
        <f t="shared" si="429"/>
        <v>1</v>
      </c>
      <c r="CT178" s="540">
        <f t="shared" si="430"/>
        <v>1</v>
      </c>
      <c r="CU178" s="540">
        <f t="shared" si="431"/>
        <v>2</v>
      </c>
      <c r="CV178" s="540">
        <f t="shared" si="432"/>
        <v>2</v>
      </c>
      <c r="CW178" s="539">
        <f t="shared" si="433"/>
        <v>2</v>
      </c>
      <c r="CX178" s="539">
        <f t="shared" si="434"/>
        <v>2</v>
      </c>
      <c r="CY178" s="539">
        <f t="shared" si="435"/>
        <v>3</v>
      </c>
      <c r="CZ178" s="539">
        <f t="shared" si="436"/>
        <v>3</v>
      </c>
      <c r="DA178" s="539" t="str">
        <f t="shared" si="437"/>
        <v/>
      </c>
      <c r="DB178" s="538" t="str">
        <f t="shared" si="438"/>
        <v/>
      </c>
      <c r="DC178" s="537" t="str">
        <f t="shared" si="439"/>
        <v/>
      </c>
      <c r="DD178" s="641">
        <f t="shared" si="440"/>
        <v>10</v>
      </c>
      <c r="DE178" s="95">
        <f t="shared" si="441"/>
        <v>10</v>
      </c>
      <c r="DF178" s="95">
        <f t="shared" si="442"/>
        <v>10</v>
      </c>
      <c r="DG178" s="95">
        <f t="shared" si="443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2"/>
        <v>150</v>
      </c>
      <c r="CA179" s="586">
        <f t="shared" si="453"/>
        <v>150</v>
      </c>
      <c r="CB179" s="586">
        <f t="shared" si="454"/>
        <v>150</v>
      </c>
      <c r="CC179" s="586">
        <f t="shared" si="455"/>
        <v>150</v>
      </c>
      <c r="CD179" s="1316">
        <f t="shared" si="492"/>
        <v>150</v>
      </c>
      <c r="CE179" s="1317">
        <f t="shared" si="492"/>
        <v>150</v>
      </c>
      <c r="CF179" s="1317">
        <f t="shared" si="492"/>
        <v>150</v>
      </c>
      <c r="CG179" s="1317">
        <f t="shared" si="492"/>
        <v>150</v>
      </c>
      <c r="CH179" s="1318">
        <f t="shared" si="492"/>
        <v>150</v>
      </c>
      <c r="CI179" s="1318">
        <f t="shared" si="492"/>
        <v>150</v>
      </c>
      <c r="CJ179" s="1317">
        <f t="shared" si="492"/>
        <v>150</v>
      </c>
      <c r="CK179" s="1317">
        <f t="shared" si="492"/>
        <v>150</v>
      </c>
      <c r="CL179" s="1317">
        <f t="shared" si="492"/>
        <v>150</v>
      </c>
      <c r="CM179" s="1316">
        <f t="shared" si="492"/>
        <v>150</v>
      </c>
      <c r="CN179" s="538" t="str">
        <f t="shared" si="424"/>
        <v/>
      </c>
      <c r="CO179" s="539" t="str">
        <f t="shared" si="425"/>
        <v/>
      </c>
      <c r="CP179" s="539" t="str">
        <f t="shared" si="426"/>
        <v/>
      </c>
      <c r="CQ179" s="539">
        <f t="shared" si="427"/>
        <v>150</v>
      </c>
      <c r="CR179" s="539">
        <f t="shared" si="428"/>
        <v>150</v>
      </c>
      <c r="CS179" s="539">
        <f t="shared" si="429"/>
        <v>150</v>
      </c>
      <c r="CT179" s="540">
        <f t="shared" si="430"/>
        <v>150</v>
      </c>
      <c r="CU179" s="540">
        <f t="shared" si="431"/>
        <v>150</v>
      </c>
      <c r="CV179" s="540">
        <f t="shared" si="432"/>
        <v>150</v>
      </c>
      <c r="CW179" s="539">
        <f t="shared" si="433"/>
        <v>150</v>
      </c>
      <c r="CX179" s="539">
        <f t="shared" si="434"/>
        <v>150</v>
      </c>
      <c r="CY179" s="539">
        <f t="shared" si="435"/>
        <v>150</v>
      </c>
      <c r="CZ179" s="539">
        <f t="shared" si="436"/>
        <v>150</v>
      </c>
      <c r="DA179" s="539" t="str">
        <f t="shared" si="437"/>
        <v/>
      </c>
      <c r="DB179" s="538" t="str">
        <f t="shared" si="438"/>
        <v/>
      </c>
      <c r="DC179" s="537" t="str">
        <f t="shared" si="439"/>
        <v/>
      </c>
      <c r="DD179" s="641">
        <f t="shared" si="440"/>
        <v>10</v>
      </c>
      <c r="DE179" s="95">
        <f t="shared" si="441"/>
        <v>10</v>
      </c>
      <c r="DF179" s="95">
        <f t="shared" si="442"/>
        <v>10</v>
      </c>
      <c r="DG179" s="95">
        <f t="shared" si="443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227</v>
      </c>
      <c r="B180" s="1423">
        <f>IF(SUM(B$46)=0,"",B178*B179*$K$1*2350/365/B$46/$G$1)</f>
        <v>0</v>
      </c>
      <c r="C180" s="1423">
        <f t="shared" ref="C180" si="493">IF(SUM(C$46)=0,"",C178*C179*$K$1*2350/365/C$46/$G$1)</f>
        <v>0</v>
      </c>
      <c r="D180" s="1423">
        <f t="shared" ref="D180" si="494">IF(SUM(D$46)=0,"",D178*D179*$K$1*2350/365/D$46/$G$1)</f>
        <v>0</v>
      </c>
      <c r="E180" s="1423">
        <f t="shared" ref="E180:F180" si="495">IF(SUM(E$46)=0,"",E178*E179*$K$1*2350/365/E$46/$G$1)</f>
        <v>0</v>
      </c>
      <c r="F180" s="1423">
        <f t="shared" si="495"/>
        <v>0</v>
      </c>
      <c r="G180" s="1423">
        <f t="shared" ref="G180" si="496">IF(SUM(G$46)=0,"",G178*G179*$K$1*2350/365/G$46/$G$1)</f>
        <v>0</v>
      </c>
      <c r="H180" s="1423">
        <f t="shared" ref="H180" si="497">IF(SUM(H$46)=0,"",H178*H179*$K$1*2350/365/H$46/$G$1)</f>
        <v>0</v>
      </c>
      <c r="I180" s="1423">
        <f t="shared" ref="I180:J180" si="498">IF(SUM(I$46)=0,"",I178*I179*$K$1*2350/365/I$46/$G$1)</f>
        <v>0</v>
      </c>
      <c r="J180" s="1423">
        <f t="shared" si="498"/>
        <v>0</v>
      </c>
      <c r="K180" s="1423">
        <f t="shared" ref="K180" si="499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3">
        <f>IF(SUM(T$46)=0,"",T178*T179*$K$1*2350/365/T$46/$G$1)</f>
        <v>0</v>
      </c>
      <c r="U180" s="1423">
        <f t="shared" ref="U180" si="500">IF(SUM(U$46)=0,"",U178*U179*$K$1*2350/365/U$46/$G$1)</f>
        <v>0</v>
      </c>
      <c r="V180" s="1423">
        <f t="shared" ref="V180" si="501">IF(SUM(V$46)=0,"",V178*V179*$K$1*2350/365/V$46/$G$1)</f>
        <v>0</v>
      </c>
      <c r="W180" s="1423">
        <f t="shared" ref="W180" si="502">IF(SUM(W$46)=0,"",W178*W179*$K$1*2350/365/W$46/$G$1)</f>
        <v>0</v>
      </c>
      <c r="X180" s="1423">
        <f t="shared" ref="X180" si="503">IF(SUM(X$46)=0,"",X178*X179*$K$1*2350/365/X$46/$G$1)</f>
        <v>0</v>
      </c>
      <c r="Y180" s="1423">
        <f t="shared" ref="Y180" si="504">IF(SUM(Y$46)=0,"",Y178*Y179*$K$1*2350/365/Y$46/$G$1)</f>
        <v>0</v>
      </c>
      <c r="Z180" s="1423">
        <f t="shared" ref="Z180" si="505">IF(SUM(Z$46)=0,"",Z178*Z179*$K$1*2350/365/Z$46/$G$1)</f>
        <v>0</v>
      </c>
      <c r="AA180" s="1423">
        <f t="shared" ref="AA180" si="506">IF(SUM(AA$46)=0,"",AA178*AA179*$K$1*2350/365/AA$46/$G$1)</f>
        <v>0</v>
      </c>
      <c r="AB180" s="1423">
        <f t="shared" ref="AB180" si="507">IF(SUM(AB$46)=0,"",AB178*AB179*$K$1*2350/365/AB$46/$G$1)</f>
        <v>0</v>
      </c>
      <c r="AC180" s="1423">
        <f t="shared" ref="AC180" si="508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3">
        <f>IF(SUM(AL$46)=0,"",AL178*AL179*$K$1*2350/365/AL$46/$G$1)</f>
        <v>0</v>
      </c>
      <c r="AM180" s="1423">
        <f t="shared" ref="AM180" si="509">IF(SUM(AM$46)=0,"",AM178*AM179*$K$1*2350/365/AM$46/$G$1)</f>
        <v>0</v>
      </c>
      <c r="AN180" s="1423">
        <f t="shared" ref="AN180" si="510">IF(SUM(AN$46)=0,"",AN178*AN179*$K$1*2350/365/AN$46/$G$1)</f>
        <v>0.18379165628891656</v>
      </c>
      <c r="AO180" s="1423">
        <f t="shared" ref="AO180" si="511">IF(SUM(AO$46)=0,"",AO178*AO179*$K$1*2350/365/AO$46/$G$1)</f>
        <v>0</v>
      </c>
      <c r="AP180" s="1423">
        <f t="shared" ref="AP180" si="512">IF(SUM(AP$46)=0,"",AP178*AP179*$K$1*2350/365/AP$46/$G$1)</f>
        <v>9.1895828144458278E-2</v>
      </c>
      <c r="AQ180" s="1423">
        <f t="shared" ref="AQ180" si="513">IF(SUM(AQ$46)=0,"",AQ178*AQ179*$K$1*2350/365/AQ$46/$G$1)</f>
        <v>9.1895828144458278E-2</v>
      </c>
      <c r="AR180" s="1423">
        <f t="shared" ref="AR180" si="514">IF(SUM(AR$46)=0,"",AR178*AR179*$K$1*2350/365/AR$46/$G$1)</f>
        <v>6.5639877246041631E-2</v>
      </c>
      <c r="AS180" s="1423">
        <f t="shared" ref="AS180" si="515">IF(SUM(AS$46)=0,"",AS178*AS179*$K$1*2350/365/AS$46/$G$1)</f>
        <v>4.5947914072229139E-2</v>
      </c>
      <c r="AT180" s="1423">
        <f t="shared" ref="AT180" si="516">IF(SUM(AT$46)=0,"",AT178*AT179*$K$1*2350/365/AT$46/$G$1)</f>
        <v>9.1895828144458278E-2</v>
      </c>
      <c r="AU180" s="1423">
        <f t="shared" ref="AU180" si="517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3">
        <f>IF(SUM(BD$46)=0,"",BD178*BD179*$K$1*2350/365/BD$46/$G$1)</f>
        <v>7.6579856787048567E-2</v>
      </c>
      <c r="BE180" s="1423">
        <f t="shared" ref="BE180" si="518">IF(SUM(BE$46)=0,"",BE178*BE179*$K$1*2350/365/BE$46/$G$1)</f>
        <v>5.7434892590286425E-2</v>
      </c>
      <c r="BF180" s="1423">
        <f t="shared" ref="BF180" si="519">IF(SUM(BF$46)=0,"",BF178*BF179*$K$1*2350/365/BF$46/$G$1)</f>
        <v>0.11486978518057285</v>
      </c>
      <c r="BG180" s="1423">
        <f t="shared" ref="BG180" si="520">IF(SUM(BG$46)=0,"",BG178*BG179*$K$1*2350/365/BG$46/$G$1)</f>
        <v>0.13127975449208326</v>
      </c>
      <c r="BH180" s="1423">
        <f t="shared" ref="BH180" si="521">IF(SUM(BH$46)=0,"",BH178*BH179*$K$1*2350/365/BH$46/$G$1)</f>
        <v>8.3541661949507531E-2</v>
      </c>
      <c r="BI180" s="1423">
        <f t="shared" ref="BI180" si="522">IF(SUM(BI$46)=0,"",BI178*BI179*$K$1*2350/365/BI$46/$G$1)</f>
        <v>4.5947914072229139E-2</v>
      </c>
      <c r="BJ180" s="1423">
        <f t="shared" ref="BJ180" si="523">IF(SUM(BJ$46)=0,"",BJ178*BJ179*$K$1*2350/365/BJ$46/$G$1)</f>
        <v>0.11486978518057285</v>
      </c>
      <c r="BK180" s="1423">
        <f t="shared" ref="BK180" si="524">IF(SUM(BK$46)=0,"",BK178*BK179*$K$1*2350/365/BK$46/$G$1)</f>
        <v>6.5639877246041631E-2</v>
      </c>
      <c r="BL180" s="1423">
        <f t="shared" ref="BL180" si="525">IF(SUM(BL$46)=0,"",BL178*BL179*$K$1*2350/365/BL$46/$G$1)</f>
        <v>0.12531249292426128</v>
      </c>
      <c r="BM180" s="1423">
        <f t="shared" ref="BM180" si="526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3">
        <f>IF(SUM(BV$46)=0,"",BV178*BV179*$K$1*2350/365/BV$46/$G$1)</f>
        <v>0</v>
      </c>
      <c r="BW180" s="1423">
        <f t="shared" ref="BW180:BY180" si="527">IF(SUM(BW$46)=0,"",BW178*BW179*$K$1*2350/365/BW$46/$G$1)</f>
        <v>1.4358723147571606E-2</v>
      </c>
      <c r="BX180" s="1423">
        <f t="shared" si="527"/>
        <v>2.8717446295143213E-2</v>
      </c>
      <c r="BY180" s="1423">
        <f t="shared" si="527"/>
        <v>5.1053237858032376E-2</v>
      </c>
      <c r="BZ180" s="586">
        <f t="shared" si="452"/>
        <v>0</v>
      </c>
      <c r="CA180" s="611">
        <f t="shared" si="453"/>
        <v>0</v>
      </c>
      <c r="CB180" s="611">
        <f t="shared" si="454"/>
        <v>6.5639877246041617E-2</v>
      </c>
      <c r="CC180" s="611">
        <f t="shared" si="455"/>
        <v>8.7986028638041586E-2</v>
      </c>
      <c r="CD180" s="1319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0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0">
        <f t="shared" si="528"/>
        <v>0</v>
      </c>
      <c r="CG180" s="1320">
        <f t="shared" si="528"/>
        <v>4.5947914072229139E-2</v>
      </c>
      <c r="CH180" s="1321">
        <f t="shared" si="528"/>
        <v>6.5639877246041631E-2</v>
      </c>
      <c r="CI180" s="1321">
        <f t="shared" si="528"/>
        <v>9.1895828144458278E-2</v>
      </c>
      <c r="CJ180" s="1320">
        <f t="shared" si="528"/>
        <v>9.1895828144458278E-2</v>
      </c>
      <c r="CK180" s="1320">
        <f t="shared" si="528"/>
        <v>9.1895828144458278E-2</v>
      </c>
      <c r="CL180" s="1320">
        <f t="shared" si="528"/>
        <v>0.13784374221668741</v>
      </c>
      <c r="CM180" s="1319">
        <f t="shared" si="528"/>
        <v>0.18379165628891656</v>
      </c>
      <c r="CN180" s="526" t="str">
        <f t="shared" si="424"/>
        <v/>
      </c>
      <c r="CO180" s="527" t="str">
        <f t="shared" si="425"/>
        <v/>
      </c>
      <c r="CP180" s="527" t="str">
        <f t="shared" si="426"/>
        <v/>
      </c>
      <c r="CQ180" s="527">
        <f t="shared" si="427"/>
        <v>4.5947914072229139E-2</v>
      </c>
      <c r="CR180" s="527">
        <f t="shared" si="428"/>
        <v>5.7434892590286425E-2</v>
      </c>
      <c r="CS180" s="527">
        <f t="shared" si="429"/>
        <v>6.5639877246041631E-2</v>
      </c>
      <c r="CT180" s="528">
        <f t="shared" si="430"/>
        <v>6.5639877246041631E-2</v>
      </c>
      <c r="CU180" s="528">
        <f t="shared" si="431"/>
        <v>7.6579856787048567E-2</v>
      </c>
      <c r="CV180" s="528">
        <f t="shared" si="432"/>
        <v>8.3541661949507531E-2</v>
      </c>
      <c r="CW180" s="527">
        <f t="shared" si="433"/>
        <v>0.11486978518057285</v>
      </c>
      <c r="CX180" s="527">
        <f t="shared" si="434"/>
        <v>0.11486978518057285</v>
      </c>
      <c r="CY180" s="527">
        <f t="shared" si="435"/>
        <v>0.12531249292426128</v>
      </c>
      <c r="CZ180" s="527">
        <f t="shared" si="436"/>
        <v>0.13127975449208326</v>
      </c>
      <c r="DA180" s="527" t="str">
        <f t="shared" si="437"/>
        <v/>
      </c>
      <c r="DB180" s="526" t="str">
        <f t="shared" si="438"/>
        <v/>
      </c>
      <c r="DC180" s="525" t="str">
        <f t="shared" si="439"/>
        <v/>
      </c>
      <c r="DD180" s="641">
        <f t="shared" ref="DD180:DD211" si="529">COUNT(B180:R180)</f>
        <v>10</v>
      </c>
      <c r="DE180" s="95">
        <f t="shared" ref="DE180:DE211" si="530">COUNT(T180:AJ180)</f>
        <v>10</v>
      </c>
      <c r="DF180" s="95">
        <f t="shared" ref="DF180:DF211" si="531">COUNT(AL180:BB180)</f>
        <v>10</v>
      </c>
      <c r="DG180" s="95">
        <f t="shared" ref="DG180:DG211" si="532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229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2"/>
        <v>0.125</v>
      </c>
      <c r="CA181" s="586">
        <f t="shared" si="453"/>
        <v>1.5</v>
      </c>
      <c r="CB181" s="586">
        <f t="shared" si="454"/>
        <v>1.625</v>
      </c>
      <c r="CC181" s="586">
        <f t="shared" si="455"/>
        <v>3.5</v>
      </c>
      <c r="CD181" s="131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7">
        <f t="shared" si="528"/>
        <v>0</v>
      </c>
      <c r="CF181" s="1317">
        <f t="shared" si="528"/>
        <v>0</v>
      </c>
      <c r="CG181" s="1317">
        <f t="shared" si="528"/>
        <v>1</v>
      </c>
      <c r="CH181" s="1318">
        <f t="shared" si="528"/>
        <v>2</v>
      </c>
      <c r="CI181" s="1318">
        <f t="shared" si="528"/>
        <v>2</v>
      </c>
      <c r="CJ181" s="1317">
        <f t="shared" si="528"/>
        <v>2</v>
      </c>
      <c r="CK181" s="1317">
        <f t="shared" si="528"/>
        <v>3</v>
      </c>
      <c r="CL181" s="1317">
        <f t="shared" si="528"/>
        <v>3</v>
      </c>
      <c r="CM181" s="1316">
        <f t="shared" si="528"/>
        <v>4</v>
      </c>
      <c r="CN181" s="538" t="str">
        <f t="shared" si="424"/>
        <v/>
      </c>
      <c r="CO181" s="539" t="str">
        <f t="shared" si="425"/>
        <v/>
      </c>
      <c r="CP181" s="539" t="str">
        <f t="shared" si="426"/>
        <v/>
      </c>
      <c r="CQ181" s="539">
        <f t="shared" si="427"/>
        <v>2</v>
      </c>
      <c r="CR181" s="539">
        <f t="shared" si="428"/>
        <v>2</v>
      </c>
      <c r="CS181" s="539">
        <f t="shared" si="429"/>
        <v>3</v>
      </c>
      <c r="CT181" s="540">
        <f t="shared" si="430"/>
        <v>3</v>
      </c>
      <c r="CU181" s="540">
        <f t="shared" si="431"/>
        <v>3</v>
      </c>
      <c r="CV181" s="540">
        <f t="shared" si="432"/>
        <v>4</v>
      </c>
      <c r="CW181" s="539">
        <f t="shared" si="433"/>
        <v>4</v>
      </c>
      <c r="CX181" s="539">
        <f t="shared" si="434"/>
        <v>4</v>
      </c>
      <c r="CY181" s="539">
        <f t="shared" si="435"/>
        <v>5</v>
      </c>
      <c r="CZ181" s="539">
        <f t="shared" si="436"/>
        <v>6</v>
      </c>
      <c r="DA181" s="539" t="str">
        <f t="shared" si="437"/>
        <v/>
      </c>
      <c r="DB181" s="538" t="str">
        <f t="shared" si="438"/>
        <v/>
      </c>
      <c r="DC181" s="537" t="str">
        <f t="shared" si="439"/>
        <v/>
      </c>
      <c r="DD181" s="641">
        <f t="shared" si="529"/>
        <v>10</v>
      </c>
      <c r="DE181" s="95">
        <f t="shared" si="530"/>
        <v>10</v>
      </c>
      <c r="DF181" s="95">
        <f t="shared" si="531"/>
        <v>10</v>
      </c>
      <c r="DG181" s="95">
        <f t="shared" si="532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226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2"/>
        <v>25</v>
      </c>
      <c r="CA182" s="586">
        <f t="shared" si="453"/>
        <v>25</v>
      </c>
      <c r="CB182" s="586">
        <f t="shared" si="454"/>
        <v>25</v>
      </c>
      <c r="CC182" s="586">
        <f t="shared" si="455"/>
        <v>25</v>
      </c>
      <c r="CD182" s="131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7">
        <f t="shared" si="528"/>
        <v>25</v>
      </c>
      <c r="CF182" s="1317">
        <f t="shared" si="528"/>
        <v>25</v>
      </c>
      <c r="CG182" s="1317">
        <f t="shared" si="528"/>
        <v>25</v>
      </c>
      <c r="CH182" s="1318">
        <f t="shared" si="528"/>
        <v>25</v>
      </c>
      <c r="CI182" s="1318">
        <f t="shared" si="528"/>
        <v>25</v>
      </c>
      <c r="CJ182" s="1317">
        <f t="shared" si="528"/>
        <v>25</v>
      </c>
      <c r="CK182" s="1317">
        <f t="shared" si="528"/>
        <v>25</v>
      </c>
      <c r="CL182" s="1317">
        <f t="shared" si="528"/>
        <v>25</v>
      </c>
      <c r="CM182" s="1316">
        <f t="shared" si="528"/>
        <v>25</v>
      </c>
      <c r="CN182" s="538" t="str">
        <f t="shared" si="424"/>
        <v/>
      </c>
      <c r="CO182" s="539" t="str">
        <f t="shared" si="425"/>
        <v/>
      </c>
      <c r="CP182" s="539" t="str">
        <f t="shared" si="426"/>
        <v/>
      </c>
      <c r="CQ182" s="539">
        <f t="shared" si="427"/>
        <v>25</v>
      </c>
      <c r="CR182" s="539">
        <f t="shared" si="428"/>
        <v>25</v>
      </c>
      <c r="CS182" s="539">
        <f t="shared" si="429"/>
        <v>25</v>
      </c>
      <c r="CT182" s="540">
        <f t="shared" si="430"/>
        <v>25</v>
      </c>
      <c r="CU182" s="540">
        <f t="shared" si="431"/>
        <v>25</v>
      </c>
      <c r="CV182" s="540">
        <f t="shared" si="432"/>
        <v>25</v>
      </c>
      <c r="CW182" s="539">
        <f t="shared" si="433"/>
        <v>25</v>
      </c>
      <c r="CX182" s="539">
        <f t="shared" si="434"/>
        <v>25</v>
      </c>
      <c r="CY182" s="539">
        <f t="shared" si="435"/>
        <v>25</v>
      </c>
      <c r="CZ182" s="539">
        <f t="shared" si="436"/>
        <v>25</v>
      </c>
      <c r="DA182" s="539" t="str">
        <f t="shared" si="437"/>
        <v/>
      </c>
      <c r="DB182" s="538" t="str">
        <f t="shared" si="438"/>
        <v/>
      </c>
      <c r="DC182" s="537" t="str">
        <f t="shared" si="439"/>
        <v/>
      </c>
      <c r="DD182" s="641">
        <f t="shared" si="529"/>
        <v>10</v>
      </c>
      <c r="DE182" s="95">
        <f t="shared" si="530"/>
        <v>10</v>
      </c>
      <c r="DF182" s="95">
        <f t="shared" si="531"/>
        <v>10</v>
      </c>
      <c r="DG182" s="95">
        <f t="shared" si="532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227</v>
      </c>
      <c r="B183" s="621">
        <f t="shared" ref="B183:K183" si="533">IF(OR(B182="",B$46=0,B$46=""),"",B181*B182*4.1868*1450/$G$1/365/B$46)</f>
        <v>0</v>
      </c>
      <c r="C183" s="621">
        <f t="shared" si="533"/>
        <v>0</v>
      </c>
      <c r="D183" s="621">
        <f t="shared" si="533"/>
        <v>0</v>
      </c>
      <c r="E183" s="621">
        <f t="shared" si="533"/>
        <v>9.4502801992528019E-3</v>
      </c>
      <c r="F183" s="621">
        <f t="shared" si="533"/>
        <v>0</v>
      </c>
      <c r="G183" s="621">
        <f t="shared" si="533"/>
        <v>5.906425124533001E-3</v>
      </c>
      <c r="H183" s="621">
        <f t="shared" si="533"/>
        <v>0</v>
      </c>
      <c r="I183" s="621">
        <f t="shared" si="533"/>
        <v>0</v>
      </c>
      <c r="J183" s="621">
        <f t="shared" si="533"/>
        <v>0</v>
      </c>
      <c r="K183" s="621">
        <f t="shared" si="533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4">IF(OR(T182="",T$46=0,T$46=""),"",T181*T182*4.1868*1450/$G$1/365/T$46)</f>
        <v>2.3625700498132004E-2</v>
      </c>
      <c r="U183" s="621">
        <f t="shared" si="534"/>
        <v>0</v>
      </c>
      <c r="V183" s="621">
        <f t="shared" si="534"/>
        <v>0</v>
      </c>
      <c r="W183" s="621">
        <f t="shared" si="534"/>
        <v>9.4502801992528019E-3</v>
      </c>
      <c r="X183" s="621">
        <f t="shared" si="534"/>
        <v>1.1812850249066002E-2</v>
      </c>
      <c r="Y183" s="621">
        <f t="shared" si="534"/>
        <v>0</v>
      </c>
      <c r="Z183" s="621">
        <f t="shared" si="534"/>
        <v>1.575046699875467E-2</v>
      </c>
      <c r="AA183" s="621">
        <f t="shared" si="534"/>
        <v>9.4502801992528019E-3</v>
      </c>
      <c r="AB183" s="621">
        <f t="shared" si="534"/>
        <v>1.7719275373599006E-2</v>
      </c>
      <c r="AC183" s="621">
        <f t="shared" si="534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5">IF(OR(AL182="",AL$46=0,AL$46=""),"",AL181*AL182*4.1868*1450/$G$1/365/AL$46)</f>
        <v>1.3500400284646859E-2</v>
      </c>
      <c r="AM183" s="621">
        <f t="shared" si="535"/>
        <v>0</v>
      </c>
      <c r="AN183" s="621">
        <f t="shared" si="535"/>
        <v>9.4502801992528019E-3</v>
      </c>
      <c r="AO183" s="621">
        <f t="shared" si="535"/>
        <v>0</v>
      </c>
      <c r="AP183" s="621">
        <f t="shared" si="535"/>
        <v>1.4175420298879204E-2</v>
      </c>
      <c r="AQ183" s="621">
        <f t="shared" si="535"/>
        <v>0</v>
      </c>
      <c r="AR183" s="621">
        <f t="shared" si="535"/>
        <v>1.3500400284646859E-2</v>
      </c>
      <c r="AS183" s="621">
        <f t="shared" si="535"/>
        <v>1.4175420298879204E-2</v>
      </c>
      <c r="AT183" s="621">
        <f t="shared" si="535"/>
        <v>3.7801120797011208E-2</v>
      </c>
      <c r="AU183" s="621">
        <f t="shared" si="535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6">IF(OR(BD182="",BD$46=0,BD$46=""),"",BD181*BD182*4.1868*1450/$G$1/365/BD$46)</f>
        <v>1.1812850249066004E-2</v>
      </c>
      <c r="BE183" s="621">
        <f t="shared" si="536"/>
        <v>1.1812850249066002E-2</v>
      </c>
      <c r="BF183" s="621">
        <f t="shared" si="536"/>
        <v>1.1812850249066004E-2</v>
      </c>
      <c r="BG183" s="621">
        <f t="shared" si="536"/>
        <v>3.375100071161715E-2</v>
      </c>
      <c r="BH183" s="621">
        <f t="shared" si="536"/>
        <v>1.7182327635005094E-2</v>
      </c>
      <c r="BI183" s="621">
        <f t="shared" si="536"/>
        <v>9.4502801992528019E-3</v>
      </c>
      <c r="BJ183" s="621">
        <f t="shared" si="536"/>
        <v>3.5438550747198011E-2</v>
      </c>
      <c r="BK183" s="621">
        <f t="shared" si="536"/>
        <v>2.7000800569293718E-2</v>
      </c>
      <c r="BL183" s="621">
        <f t="shared" si="536"/>
        <v>1.2886745726253823E-2</v>
      </c>
      <c r="BM183" s="621">
        <f t="shared" si="536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2"/>
        <v>7.3830314056662501E-4</v>
      </c>
      <c r="CA183" s="611">
        <f t="shared" si="453"/>
        <v>8.0228941274906596E-3</v>
      </c>
      <c r="CB183" s="611">
        <f t="shared" si="454"/>
        <v>9.2815251956947162E-3</v>
      </c>
      <c r="CC183" s="611">
        <f t="shared" si="455"/>
        <v>1.9157528244832685E-2</v>
      </c>
      <c r="CD183" s="1319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0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0">
        <f t="shared" si="537"/>
        <v>0</v>
      </c>
      <c r="CG183" s="1320">
        <f t="shared" si="537"/>
        <v>9.4502801992528019E-3</v>
      </c>
      <c r="CH183" s="1321">
        <f t="shared" si="537"/>
        <v>9.4502801992528019E-3</v>
      </c>
      <c r="CI183" s="1321">
        <f t="shared" si="537"/>
        <v>1.3500400284646859E-2</v>
      </c>
      <c r="CJ183" s="1320">
        <f t="shared" si="537"/>
        <v>1.3500400284646859E-2</v>
      </c>
      <c r="CK183" s="1320">
        <f t="shared" si="537"/>
        <v>1.4175420298879204E-2</v>
      </c>
      <c r="CL183" s="1320">
        <f t="shared" si="537"/>
        <v>1.4175420298879204E-2</v>
      </c>
      <c r="CM183" s="1319">
        <f t="shared" si="537"/>
        <v>3.7801120797011208E-2</v>
      </c>
      <c r="CN183" s="526" t="str">
        <f t="shared" si="424"/>
        <v/>
      </c>
      <c r="CO183" s="527" t="str">
        <f t="shared" si="425"/>
        <v/>
      </c>
      <c r="CP183" s="527" t="str">
        <f t="shared" si="426"/>
        <v/>
      </c>
      <c r="CQ183" s="527">
        <f t="shared" si="427"/>
        <v>9.4502801992528019E-3</v>
      </c>
      <c r="CR183" s="527">
        <f t="shared" si="428"/>
        <v>1.1812850249066002E-2</v>
      </c>
      <c r="CS183" s="527">
        <f t="shared" si="429"/>
        <v>1.1812850249066004E-2</v>
      </c>
      <c r="CT183" s="528">
        <f t="shared" si="430"/>
        <v>1.1812850249066004E-2</v>
      </c>
      <c r="CU183" s="528">
        <f t="shared" si="431"/>
        <v>1.2886745726253823E-2</v>
      </c>
      <c r="CV183" s="528">
        <f t="shared" si="432"/>
        <v>1.7182327635005094E-2</v>
      </c>
      <c r="CW183" s="527">
        <f t="shared" si="433"/>
        <v>2.7000800569293718E-2</v>
      </c>
      <c r="CX183" s="527">
        <f t="shared" si="434"/>
        <v>2.7000800569293718E-2</v>
      </c>
      <c r="CY183" s="527">
        <f t="shared" si="435"/>
        <v>3.375100071161715E-2</v>
      </c>
      <c r="CZ183" s="527">
        <f t="shared" si="436"/>
        <v>3.5438550747198011E-2</v>
      </c>
      <c r="DA183" s="527" t="str">
        <f t="shared" si="437"/>
        <v/>
      </c>
      <c r="DB183" s="526" t="str">
        <f t="shared" si="438"/>
        <v/>
      </c>
      <c r="DC183" s="525" t="str">
        <f t="shared" si="439"/>
        <v/>
      </c>
      <c r="DD183" s="641">
        <f t="shared" si="529"/>
        <v>10</v>
      </c>
      <c r="DE183" s="95">
        <f t="shared" si="530"/>
        <v>10</v>
      </c>
      <c r="DF183" s="95">
        <f t="shared" si="531"/>
        <v>10</v>
      </c>
      <c r="DG183" s="95">
        <f t="shared" si="532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2"/>
        <v/>
      </c>
      <c r="CA184" s="586" t="str">
        <f t="shared" si="453"/>
        <v/>
      </c>
      <c r="CB184" s="586" t="str">
        <f t="shared" si="454"/>
        <v/>
      </c>
      <c r="CC184" s="586" t="str">
        <f t="shared" si="455"/>
        <v/>
      </c>
      <c r="CD184" s="1316" t="str">
        <f t="shared" si="414"/>
        <v/>
      </c>
      <c r="CE184" s="1317" t="str">
        <f t="shared" si="415"/>
        <v/>
      </c>
      <c r="CF184" s="1317" t="str">
        <f t="shared" si="416"/>
        <v/>
      </c>
      <c r="CG184" s="1317" t="str">
        <f t="shared" si="417"/>
        <v/>
      </c>
      <c r="CH184" s="1318" t="str">
        <f t="shared" si="418"/>
        <v/>
      </c>
      <c r="CI184" s="1318" t="str">
        <f t="shared" si="419"/>
        <v/>
      </c>
      <c r="CJ184" s="1317" t="str">
        <f t="shared" si="420"/>
        <v/>
      </c>
      <c r="CK184" s="1317" t="str">
        <f t="shared" si="421"/>
        <v/>
      </c>
      <c r="CL184" s="1317" t="str">
        <f t="shared" si="422"/>
        <v/>
      </c>
      <c r="CM184" s="1316" t="str">
        <f t="shared" si="423"/>
        <v/>
      </c>
      <c r="CN184" s="538" t="str">
        <f t="shared" si="424"/>
        <v/>
      </c>
      <c r="CO184" s="539" t="str">
        <f t="shared" si="425"/>
        <v/>
      </c>
      <c r="CP184" s="539" t="str">
        <f t="shared" si="426"/>
        <v/>
      </c>
      <c r="CQ184" s="539" t="str">
        <f t="shared" si="427"/>
        <v/>
      </c>
      <c r="CR184" s="539" t="str">
        <f t="shared" si="428"/>
        <v/>
      </c>
      <c r="CS184" s="539" t="str">
        <f t="shared" si="429"/>
        <v/>
      </c>
      <c r="CT184" s="540" t="str">
        <f t="shared" si="430"/>
        <v/>
      </c>
      <c r="CU184" s="540" t="str">
        <f t="shared" si="431"/>
        <v/>
      </c>
      <c r="CV184" s="540" t="str">
        <f t="shared" si="432"/>
        <v/>
      </c>
      <c r="CW184" s="539" t="str">
        <f t="shared" si="433"/>
        <v/>
      </c>
      <c r="CX184" s="539" t="str">
        <f t="shared" si="434"/>
        <v/>
      </c>
      <c r="CY184" s="539" t="str">
        <f t="shared" si="435"/>
        <v/>
      </c>
      <c r="CZ184" s="539" t="str">
        <f t="shared" si="436"/>
        <v/>
      </c>
      <c r="DA184" s="539" t="str">
        <f t="shared" si="437"/>
        <v/>
      </c>
      <c r="DB184" s="538" t="str">
        <f t="shared" si="438"/>
        <v/>
      </c>
      <c r="DC184" s="537" t="str">
        <f t="shared" si="439"/>
        <v/>
      </c>
      <c r="DD184" s="641">
        <f t="shared" si="529"/>
        <v>0</v>
      </c>
      <c r="DE184" s="95">
        <f t="shared" si="530"/>
        <v>0</v>
      </c>
      <c r="DF184" s="95">
        <f t="shared" si="531"/>
        <v>0</v>
      </c>
      <c r="DG184" s="95">
        <f t="shared" si="532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2"/>
        <v/>
      </c>
      <c r="CA185" s="586" t="str">
        <f t="shared" si="453"/>
        <v/>
      </c>
      <c r="CB185" s="586" t="str">
        <f t="shared" si="454"/>
        <v/>
      </c>
      <c r="CC185" s="586" t="str">
        <f t="shared" si="455"/>
        <v/>
      </c>
      <c r="CD185" s="1316" t="str">
        <f t="shared" si="414"/>
        <v/>
      </c>
      <c r="CE185" s="1317" t="str">
        <f t="shared" si="415"/>
        <v/>
      </c>
      <c r="CF185" s="1317" t="str">
        <f t="shared" si="416"/>
        <v/>
      </c>
      <c r="CG185" s="1317" t="str">
        <f t="shared" si="417"/>
        <v/>
      </c>
      <c r="CH185" s="1318" t="str">
        <f t="shared" si="418"/>
        <v/>
      </c>
      <c r="CI185" s="1318" t="str">
        <f t="shared" si="419"/>
        <v/>
      </c>
      <c r="CJ185" s="1317" t="str">
        <f t="shared" si="420"/>
        <v/>
      </c>
      <c r="CK185" s="1317" t="str">
        <f t="shared" si="421"/>
        <v/>
      </c>
      <c r="CL185" s="1317" t="str">
        <f t="shared" si="422"/>
        <v/>
      </c>
      <c r="CM185" s="1316" t="str">
        <f t="shared" si="423"/>
        <v/>
      </c>
      <c r="CN185" s="538" t="str">
        <f t="shared" si="424"/>
        <v/>
      </c>
      <c r="CO185" s="539" t="str">
        <f t="shared" si="425"/>
        <v/>
      </c>
      <c r="CP185" s="539" t="str">
        <f t="shared" si="426"/>
        <v/>
      </c>
      <c r="CQ185" s="539" t="str">
        <f t="shared" si="427"/>
        <v/>
      </c>
      <c r="CR185" s="539" t="str">
        <f t="shared" si="428"/>
        <v/>
      </c>
      <c r="CS185" s="539" t="str">
        <f t="shared" si="429"/>
        <v/>
      </c>
      <c r="CT185" s="540" t="str">
        <f t="shared" si="430"/>
        <v/>
      </c>
      <c r="CU185" s="540" t="str">
        <f t="shared" si="431"/>
        <v/>
      </c>
      <c r="CV185" s="540" t="str">
        <f t="shared" si="432"/>
        <v/>
      </c>
      <c r="CW185" s="539" t="str">
        <f t="shared" si="433"/>
        <v/>
      </c>
      <c r="CX185" s="539" t="str">
        <f t="shared" si="434"/>
        <v/>
      </c>
      <c r="CY185" s="539" t="str">
        <f t="shared" si="435"/>
        <v/>
      </c>
      <c r="CZ185" s="539" t="str">
        <f t="shared" si="436"/>
        <v/>
      </c>
      <c r="DA185" s="539" t="str">
        <f t="shared" si="437"/>
        <v/>
      </c>
      <c r="DB185" s="538" t="str">
        <f t="shared" si="438"/>
        <v/>
      </c>
      <c r="DC185" s="537" t="str">
        <f t="shared" si="439"/>
        <v/>
      </c>
      <c r="DD185" s="641">
        <f t="shared" si="529"/>
        <v>0</v>
      </c>
      <c r="DE185" s="95">
        <f t="shared" si="530"/>
        <v>0</v>
      </c>
      <c r="DF185" s="95">
        <f t="shared" si="531"/>
        <v>0</v>
      </c>
      <c r="DG185" s="95">
        <f t="shared" si="532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183</v>
      </c>
      <c r="B186" s="596" t="str">
        <f t="shared" ref="B186:K186" si="538">IF(B184="","",B184*B185)</f>
        <v/>
      </c>
      <c r="C186" s="596" t="str">
        <f t="shared" si="538"/>
        <v/>
      </c>
      <c r="D186" s="596" t="str">
        <f t="shared" si="538"/>
        <v/>
      </c>
      <c r="E186" s="596" t="str">
        <f t="shared" si="538"/>
        <v/>
      </c>
      <c r="F186" s="596" t="str">
        <f t="shared" si="538"/>
        <v/>
      </c>
      <c r="G186" s="596" t="str">
        <f t="shared" si="538"/>
        <v/>
      </c>
      <c r="H186" s="596" t="str">
        <f t="shared" si="538"/>
        <v/>
      </c>
      <c r="I186" s="596" t="str">
        <f t="shared" si="538"/>
        <v/>
      </c>
      <c r="J186" s="596" t="str">
        <f t="shared" si="538"/>
        <v/>
      </c>
      <c r="K186" s="596" t="str">
        <f t="shared" si="538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9">IF(T184="","",T184*T185)</f>
        <v/>
      </c>
      <c r="U186" s="596" t="str">
        <f t="shared" si="539"/>
        <v/>
      </c>
      <c r="V186" s="596" t="str">
        <f t="shared" si="539"/>
        <v/>
      </c>
      <c r="W186" s="596" t="str">
        <f t="shared" si="539"/>
        <v/>
      </c>
      <c r="X186" s="596" t="str">
        <f t="shared" si="539"/>
        <v/>
      </c>
      <c r="Y186" s="596" t="str">
        <f t="shared" si="539"/>
        <v/>
      </c>
      <c r="Z186" s="596" t="str">
        <f t="shared" si="539"/>
        <v/>
      </c>
      <c r="AA186" s="596" t="str">
        <f t="shared" si="539"/>
        <v/>
      </c>
      <c r="AB186" s="596" t="str">
        <f t="shared" si="539"/>
        <v/>
      </c>
      <c r="AC186" s="596" t="str">
        <f t="shared" si="539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40">IF(AL184="","",AL184*AL185)</f>
        <v/>
      </c>
      <c r="AM186" s="596" t="str">
        <f t="shared" si="540"/>
        <v/>
      </c>
      <c r="AN186" s="596" t="str">
        <f t="shared" si="540"/>
        <v/>
      </c>
      <c r="AO186" s="596" t="str">
        <f t="shared" si="540"/>
        <v/>
      </c>
      <c r="AP186" s="596" t="str">
        <f t="shared" si="540"/>
        <v/>
      </c>
      <c r="AQ186" s="596" t="str">
        <f t="shared" si="540"/>
        <v/>
      </c>
      <c r="AR186" s="596" t="str">
        <f t="shared" si="540"/>
        <v/>
      </c>
      <c r="AS186" s="596" t="str">
        <f t="shared" si="540"/>
        <v/>
      </c>
      <c r="AT186" s="596" t="str">
        <f t="shared" si="540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2"/>
        <v/>
      </c>
      <c r="CA186" s="586" t="str">
        <f t="shared" si="453"/>
        <v/>
      </c>
      <c r="CB186" s="586" t="str">
        <f t="shared" si="454"/>
        <v/>
      </c>
      <c r="CC186" s="586" t="str">
        <f t="shared" si="455"/>
        <v/>
      </c>
      <c r="CD186" s="1316" t="str">
        <f t="shared" si="414"/>
        <v/>
      </c>
      <c r="CE186" s="1317" t="str">
        <f t="shared" si="415"/>
        <v/>
      </c>
      <c r="CF186" s="1317" t="str">
        <f t="shared" si="416"/>
        <v/>
      </c>
      <c r="CG186" s="1317" t="str">
        <f t="shared" si="417"/>
        <v/>
      </c>
      <c r="CH186" s="1318" t="str">
        <f t="shared" si="418"/>
        <v/>
      </c>
      <c r="CI186" s="1318" t="str">
        <f t="shared" si="419"/>
        <v/>
      </c>
      <c r="CJ186" s="1317" t="str">
        <f t="shared" si="420"/>
        <v/>
      </c>
      <c r="CK186" s="1317" t="str">
        <f t="shared" si="421"/>
        <v/>
      </c>
      <c r="CL186" s="1317" t="str">
        <f t="shared" si="422"/>
        <v/>
      </c>
      <c r="CM186" s="1316" t="str">
        <f t="shared" si="423"/>
        <v/>
      </c>
      <c r="CN186" s="538" t="str">
        <f t="shared" si="424"/>
        <v/>
      </c>
      <c r="CO186" s="539" t="str">
        <f t="shared" si="425"/>
        <v/>
      </c>
      <c r="CP186" s="539" t="str">
        <f t="shared" si="426"/>
        <v/>
      </c>
      <c r="CQ186" s="539" t="str">
        <f t="shared" si="427"/>
        <v/>
      </c>
      <c r="CR186" s="539" t="str">
        <f t="shared" si="428"/>
        <v/>
      </c>
      <c r="CS186" s="539" t="str">
        <f t="shared" si="429"/>
        <v/>
      </c>
      <c r="CT186" s="540" t="str">
        <f t="shared" si="430"/>
        <v/>
      </c>
      <c r="CU186" s="540" t="str">
        <f t="shared" si="431"/>
        <v/>
      </c>
      <c r="CV186" s="540" t="str">
        <f t="shared" si="432"/>
        <v/>
      </c>
      <c r="CW186" s="539" t="str">
        <f t="shared" si="433"/>
        <v/>
      </c>
      <c r="CX186" s="539" t="str">
        <f t="shared" si="434"/>
        <v/>
      </c>
      <c r="CY186" s="539" t="str">
        <f t="shared" si="435"/>
        <v/>
      </c>
      <c r="CZ186" s="539" t="str">
        <f t="shared" si="436"/>
        <v/>
      </c>
      <c r="DA186" s="539" t="str">
        <f t="shared" si="437"/>
        <v/>
      </c>
      <c r="DB186" s="538" t="str">
        <f t="shared" si="438"/>
        <v/>
      </c>
      <c r="DC186" s="537" t="str">
        <f t="shared" si="439"/>
        <v/>
      </c>
      <c r="DD186" s="641">
        <f t="shared" si="529"/>
        <v>0</v>
      </c>
      <c r="DE186" s="95">
        <f t="shared" si="530"/>
        <v>0</v>
      </c>
      <c r="DF186" s="95">
        <f t="shared" si="531"/>
        <v>0</v>
      </c>
      <c r="DG186" s="95">
        <f t="shared" si="532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2"/>
        <v/>
      </c>
      <c r="CA187" s="586" t="str">
        <f t="shared" si="453"/>
        <v/>
      </c>
      <c r="CB187" s="586" t="str">
        <f t="shared" si="454"/>
        <v/>
      </c>
      <c r="CC187" s="586" t="str">
        <f t="shared" si="455"/>
        <v/>
      </c>
      <c r="CD187" s="1316" t="str">
        <f t="shared" si="414"/>
        <v/>
      </c>
      <c r="CE187" s="1317" t="str">
        <f t="shared" si="415"/>
        <v/>
      </c>
      <c r="CF187" s="1317" t="str">
        <f t="shared" si="416"/>
        <v/>
      </c>
      <c r="CG187" s="1317" t="str">
        <f t="shared" si="417"/>
        <v/>
      </c>
      <c r="CH187" s="1318" t="str">
        <f t="shared" si="418"/>
        <v/>
      </c>
      <c r="CI187" s="1318" t="str">
        <f t="shared" si="419"/>
        <v/>
      </c>
      <c r="CJ187" s="1317" t="str">
        <f t="shared" si="420"/>
        <v/>
      </c>
      <c r="CK187" s="1317" t="str">
        <f t="shared" si="421"/>
        <v/>
      </c>
      <c r="CL187" s="1317" t="str">
        <f t="shared" si="422"/>
        <v/>
      </c>
      <c r="CM187" s="1316" t="str">
        <f t="shared" si="423"/>
        <v/>
      </c>
      <c r="CN187" s="538" t="str">
        <f t="shared" si="424"/>
        <v/>
      </c>
      <c r="CO187" s="539" t="str">
        <f t="shared" si="425"/>
        <v/>
      </c>
      <c r="CP187" s="539" t="str">
        <f t="shared" si="426"/>
        <v/>
      </c>
      <c r="CQ187" s="539" t="str">
        <f t="shared" si="427"/>
        <v/>
      </c>
      <c r="CR187" s="539" t="str">
        <f t="shared" si="428"/>
        <v/>
      </c>
      <c r="CS187" s="539" t="str">
        <f t="shared" si="429"/>
        <v/>
      </c>
      <c r="CT187" s="540" t="str">
        <f t="shared" si="430"/>
        <v/>
      </c>
      <c r="CU187" s="540" t="str">
        <f t="shared" si="431"/>
        <v/>
      </c>
      <c r="CV187" s="540" t="str">
        <f t="shared" si="432"/>
        <v/>
      </c>
      <c r="CW187" s="539" t="str">
        <f t="shared" si="433"/>
        <v/>
      </c>
      <c r="CX187" s="539" t="str">
        <f t="shared" si="434"/>
        <v/>
      </c>
      <c r="CY187" s="539" t="str">
        <f t="shared" si="435"/>
        <v/>
      </c>
      <c r="CZ187" s="539" t="str">
        <f t="shared" si="436"/>
        <v/>
      </c>
      <c r="DA187" s="539" t="str">
        <f t="shared" si="437"/>
        <v/>
      </c>
      <c r="DB187" s="538" t="str">
        <f t="shared" si="438"/>
        <v/>
      </c>
      <c r="DC187" s="537" t="str">
        <f t="shared" si="439"/>
        <v/>
      </c>
      <c r="DD187" s="641">
        <f t="shared" si="529"/>
        <v>0</v>
      </c>
      <c r="DE187" s="95">
        <f t="shared" si="530"/>
        <v>0</v>
      </c>
      <c r="DF187" s="95">
        <f t="shared" si="531"/>
        <v>0</v>
      </c>
      <c r="DG187" s="95">
        <f t="shared" si="532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2"/>
        <v/>
      </c>
      <c r="CA188" s="586" t="str">
        <f t="shared" si="453"/>
        <v/>
      </c>
      <c r="CB188" s="586" t="str">
        <f t="shared" si="454"/>
        <v/>
      </c>
      <c r="CC188" s="586" t="str">
        <f t="shared" si="455"/>
        <v/>
      </c>
      <c r="CD188" s="1316" t="str">
        <f t="shared" si="414"/>
        <v/>
      </c>
      <c r="CE188" s="1317" t="str">
        <f t="shared" si="415"/>
        <v/>
      </c>
      <c r="CF188" s="1317" t="str">
        <f t="shared" si="416"/>
        <v/>
      </c>
      <c r="CG188" s="1317" t="str">
        <f t="shared" si="417"/>
        <v/>
      </c>
      <c r="CH188" s="1318" t="str">
        <f t="shared" si="418"/>
        <v/>
      </c>
      <c r="CI188" s="1318" t="str">
        <f t="shared" si="419"/>
        <v/>
      </c>
      <c r="CJ188" s="1317" t="str">
        <f t="shared" si="420"/>
        <v/>
      </c>
      <c r="CK188" s="1317" t="str">
        <f t="shared" si="421"/>
        <v/>
      </c>
      <c r="CL188" s="1317" t="str">
        <f t="shared" si="422"/>
        <v/>
      </c>
      <c r="CM188" s="1316" t="str">
        <f t="shared" si="423"/>
        <v/>
      </c>
      <c r="CN188" s="538" t="str">
        <f t="shared" si="424"/>
        <v/>
      </c>
      <c r="CO188" s="539" t="str">
        <f t="shared" si="425"/>
        <v/>
      </c>
      <c r="CP188" s="539" t="str">
        <f t="shared" si="426"/>
        <v/>
      </c>
      <c r="CQ188" s="539" t="str">
        <f t="shared" si="427"/>
        <v/>
      </c>
      <c r="CR188" s="539" t="str">
        <f t="shared" si="428"/>
        <v/>
      </c>
      <c r="CS188" s="539" t="str">
        <f t="shared" si="429"/>
        <v/>
      </c>
      <c r="CT188" s="540" t="str">
        <f t="shared" si="430"/>
        <v/>
      </c>
      <c r="CU188" s="540" t="str">
        <f t="shared" si="431"/>
        <v/>
      </c>
      <c r="CV188" s="540" t="str">
        <f t="shared" si="432"/>
        <v/>
      </c>
      <c r="CW188" s="539" t="str">
        <f t="shared" si="433"/>
        <v/>
      </c>
      <c r="CX188" s="539" t="str">
        <f t="shared" si="434"/>
        <v/>
      </c>
      <c r="CY188" s="539" t="str">
        <f t="shared" si="435"/>
        <v/>
      </c>
      <c r="CZ188" s="539" t="str">
        <f t="shared" si="436"/>
        <v/>
      </c>
      <c r="DA188" s="539" t="str">
        <f t="shared" si="437"/>
        <v/>
      </c>
      <c r="DB188" s="538" t="str">
        <f t="shared" si="438"/>
        <v/>
      </c>
      <c r="DC188" s="537" t="str">
        <f t="shared" si="439"/>
        <v/>
      </c>
      <c r="DD188" s="641">
        <f t="shared" si="529"/>
        <v>0</v>
      </c>
      <c r="DE188" s="95">
        <f t="shared" si="530"/>
        <v>0</v>
      </c>
      <c r="DF188" s="95">
        <f t="shared" si="531"/>
        <v>0</v>
      </c>
      <c r="DG188" s="95">
        <f t="shared" si="532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183</v>
      </c>
      <c r="B189" s="596" t="str">
        <f t="shared" ref="B189:K189" si="541">IF(B187="","",B187*B188)</f>
        <v/>
      </c>
      <c r="C189" s="596" t="str">
        <f t="shared" si="541"/>
        <v/>
      </c>
      <c r="D189" s="596" t="str">
        <f t="shared" si="541"/>
        <v/>
      </c>
      <c r="E189" s="596" t="str">
        <f t="shared" si="541"/>
        <v/>
      </c>
      <c r="F189" s="596" t="str">
        <f t="shared" si="541"/>
        <v/>
      </c>
      <c r="G189" s="596" t="str">
        <f t="shared" si="541"/>
        <v/>
      </c>
      <c r="H189" s="596" t="str">
        <f t="shared" si="541"/>
        <v/>
      </c>
      <c r="I189" s="596" t="str">
        <f t="shared" si="541"/>
        <v/>
      </c>
      <c r="J189" s="596" t="str">
        <f t="shared" si="541"/>
        <v/>
      </c>
      <c r="K189" s="596" t="str">
        <f t="shared" si="541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2">IF(T187="","",T187*T188)</f>
        <v/>
      </c>
      <c r="U189" s="596" t="str">
        <f t="shared" si="542"/>
        <v/>
      </c>
      <c r="V189" s="596" t="str">
        <f t="shared" si="542"/>
        <v/>
      </c>
      <c r="W189" s="596" t="str">
        <f t="shared" si="542"/>
        <v/>
      </c>
      <c r="X189" s="596" t="str">
        <f t="shared" si="542"/>
        <v/>
      </c>
      <c r="Y189" s="596" t="str">
        <f t="shared" si="542"/>
        <v/>
      </c>
      <c r="Z189" s="596" t="str">
        <f t="shared" si="542"/>
        <v/>
      </c>
      <c r="AA189" s="596" t="str">
        <f t="shared" si="542"/>
        <v/>
      </c>
      <c r="AB189" s="596" t="str">
        <f t="shared" si="542"/>
        <v/>
      </c>
      <c r="AC189" s="596" t="str">
        <f t="shared" si="542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3">IF(AL187="","",AL187*AL188)</f>
        <v/>
      </c>
      <c r="AM189" s="596" t="str">
        <f t="shared" si="543"/>
        <v/>
      </c>
      <c r="AN189" s="596" t="str">
        <f t="shared" si="543"/>
        <v/>
      </c>
      <c r="AO189" s="596" t="str">
        <f t="shared" si="543"/>
        <v/>
      </c>
      <c r="AP189" s="596" t="str">
        <f t="shared" si="543"/>
        <v/>
      </c>
      <c r="AQ189" s="596" t="str">
        <f t="shared" si="543"/>
        <v/>
      </c>
      <c r="AR189" s="596" t="str">
        <f t="shared" si="543"/>
        <v/>
      </c>
      <c r="AS189" s="596" t="str">
        <f t="shared" si="543"/>
        <v/>
      </c>
      <c r="AT189" s="596" t="str">
        <f t="shared" si="543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2"/>
        <v/>
      </c>
      <c r="CA189" s="586" t="str">
        <f t="shared" si="453"/>
        <v/>
      </c>
      <c r="CB189" s="586" t="str">
        <f t="shared" si="454"/>
        <v/>
      </c>
      <c r="CC189" s="586" t="str">
        <f t="shared" si="455"/>
        <v/>
      </c>
      <c r="CD189" s="1316" t="str">
        <f t="shared" si="414"/>
        <v/>
      </c>
      <c r="CE189" s="1317" t="str">
        <f t="shared" si="415"/>
        <v/>
      </c>
      <c r="CF189" s="1317" t="str">
        <f t="shared" si="416"/>
        <v/>
      </c>
      <c r="CG189" s="1317" t="str">
        <f t="shared" si="417"/>
        <v/>
      </c>
      <c r="CH189" s="1318" t="str">
        <f t="shared" si="418"/>
        <v/>
      </c>
      <c r="CI189" s="1318" t="str">
        <f t="shared" si="419"/>
        <v/>
      </c>
      <c r="CJ189" s="1317" t="str">
        <f t="shared" si="420"/>
        <v/>
      </c>
      <c r="CK189" s="1317" t="str">
        <f t="shared" si="421"/>
        <v/>
      </c>
      <c r="CL189" s="1317" t="str">
        <f t="shared" si="422"/>
        <v/>
      </c>
      <c r="CM189" s="1316" t="str">
        <f t="shared" si="423"/>
        <v/>
      </c>
      <c r="CN189" s="538" t="str">
        <f t="shared" si="424"/>
        <v/>
      </c>
      <c r="CO189" s="539" t="str">
        <f t="shared" si="425"/>
        <v/>
      </c>
      <c r="CP189" s="539" t="str">
        <f t="shared" si="426"/>
        <v/>
      </c>
      <c r="CQ189" s="539" t="str">
        <f t="shared" si="427"/>
        <v/>
      </c>
      <c r="CR189" s="539" t="str">
        <f t="shared" si="428"/>
        <v/>
      </c>
      <c r="CS189" s="539" t="str">
        <f t="shared" si="429"/>
        <v/>
      </c>
      <c r="CT189" s="540" t="str">
        <f t="shared" si="430"/>
        <v/>
      </c>
      <c r="CU189" s="540" t="str">
        <f t="shared" si="431"/>
        <v/>
      </c>
      <c r="CV189" s="540" t="str">
        <f t="shared" si="432"/>
        <v/>
      </c>
      <c r="CW189" s="539" t="str">
        <f t="shared" si="433"/>
        <v/>
      </c>
      <c r="CX189" s="539" t="str">
        <f t="shared" si="434"/>
        <v/>
      </c>
      <c r="CY189" s="539" t="str">
        <f t="shared" si="435"/>
        <v/>
      </c>
      <c r="CZ189" s="539" t="str">
        <f t="shared" si="436"/>
        <v/>
      </c>
      <c r="DA189" s="539" t="str">
        <f t="shared" si="437"/>
        <v/>
      </c>
      <c r="DB189" s="538" t="str">
        <f t="shared" si="438"/>
        <v/>
      </c>
      <c r="DC189" s="537" t="str">
        <f t="shared" si="439"/>
        <v/>
      </c>
      <c r="DD189" s="641">
        <f t="shared" si="529"/>
        <v>0</v>
      </c>
      <c r="DE189" s="95">
        <f t="shared" si="530"/>
        <v>0</v>
      </c>
      <c r="DF189" s="95">
        <f t="shared" si="531"/>
        <v>0</v>
      </c>
      <c r="DG189" s="95">
        <f t="shared" si="532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232</v>
      </c>
      <c r="B190" s="609" t="str">
        <f t="shared" ref="B190:K190" si="544">IF(SUM(B51)=0,"",(B175+B184+B187)/B51)</f>
        <v/>
      </c>
      <c r="C190" s="609" t="str">
        <f t="shared" si="544"/>
        <v/>
      </c>
      <c r="D190" s="609" t="str">
        <f t="shared" si="544"/>
        <v/>
      </c>
      <c r="E190" s="609" t="str">
        <f t="shared" si="544"/>
        <v/>
      </c>
      <c r="F190" s="609" t="str">
        <f t="shared" si="544"/>
        <v/>
      </c>
      <c r="G190" s="609" t="str">
        <f t="shared" si="544"/>
        <v/>
      </c>
      <c r="H190" s="609" t="str">
        <f t="shared" si="544"/>
        <v/>
      </c>
      <c r="I190" s="609" t="str">
        <f t="shared" si="544"/>
        <v/>
      </c>
      <c r="J190" s="609" t="str">
        <f t="shared" si="544"/>
        <v/>
      </c>
      <c r="K190" s="609" t="str">
        <f t="shared" si="544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5">IF(SUM(T51)=0,"",(T175+T184+T187)/T51)</f>
        <v/>
      </c>
      <c r="U190" s="609" t="str">
        <f t="shared" si="545"/>
        <v/>
      </c>
      <c r="V190" s="609" t="str">
        <f t="shared" si="545"/>
        <v/>
      </c>
      <c r="W190" s="609" t="str">
        <f t="shared" si="545"/>
        <v/>
      </c>
      <c r="X190" s="609" t="str">
        <f t="shared" si="545"/>
        <v/>
      </c>
      <c r="Y190" s="609" t="str">
        <f t="shared" si="545"/>
        <v/>
      </c>
      <c r="Z190" s="609" t="str">
        <f t="shared" si="545"/>
        <v/>
      </c>
      <c r="AA190" s="609" t="str">
        <f t="shared" si="545"/>
        <v/>
      </c>
      <c r="AB190" s="609" t="str">
        <f t="shared" si="545"/>
        <v/>
      </c>
      <c r="AC190" s="609" t="str">
        <f t="shared" si="545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6">IF(SUM(AL51)=0,"",(AL175+AL184+AL187)/AL51)</f>
        <v/>
      </c>
      <c r="AM190" s="609" t="str">
        <f t="shared" si="546"/>
        <v/>
      </c>
      <c r="AN190" s="609" t="str">
        <f t="shared" si="546"/>
        <v/>
      </c>
      <c r="AO190" s="609" t="str">
        <f t="shared" si="546"/>
        <v/>
      </c>
      <c r="AP190" s="609" t="str">
        <f t="shared" si="546"/>
        <v/>
      </c>
      <c r="AQ190" s="609" t="str">
        <f t="shared" si="546"/>
        <v/>
      </c>
      <c r="AR190" s="609" t="str">
        <f t="shared" si="546"/>
        <v/>
      </c>
      <c r="AS190" s="609" t="str">
        <f t="shared" si="546"/>
        <v/>
      </c>
      <c r="AT190" s="609" t="str">
        <f t="shared" si="546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2"/>
        <v/>
      </c>
      <c r="CA190" s="586" t="str">
        <f t="shared" si="453"/>
        <v/>
      </c>
      <c r="CB190" s="586" t="str">
        <f t="shared" si="454"/>
        <v/>
      </c>
      <c r="CC190" s="586" t="str">
        <f t="shared" si="455"/>
        <v/>
      </c>
      <c r="CD190" s="1319" t="str">
        <f t="shared" si="414"/>
        <v/>
      </c>
      <c r="CE190" s="1320" t="str">
        <f t="shared" si="415"/>
        <v/>
      </c>
      <c r="CF190" s="1320" t="str">
        <f t="shared" si="416"/>
        <v/>
      </c>
      <c r="CG190" s="1320" t="str">
        <f t="shared" si="417"/>
        <v/>
      </c>
      <c r="CH190" s="1321" t="str">
        <f t="shared" si="418"/>
        <v/>
      </c>
      <c r="CI190" s="1321" t="str">
        <f t="shared" si="419"/>
        <v/>
      </c>
      <c r="CJ190" s="1320" t="str">
        <f t="shared" si="420"/>
        <v/>
      </c>
      <c r="CK190" s="1320" t="str">
        <f t="shared" si="421"/>
        <v/>
      </c>
      <c r="CL190" s="1320" t="str">
        <f t="shared" si="422"/>
        <v/>
      </c>
      <c r="CM190" s="1319" t="str">
        <f t="shared" si="423"/>
        <v/>
      </c>
      <c r="CN190" s="526" t="str">
        <f t="shared" si="424"/>
        <v/>
      </c>
      <c r="CO190" s="527" t="str">
        <f t="shared" si="425"/>
        <v/>
      </c>
      <c r="CP190" s="527" t="str">
        <f t="shared" si="426"/>
        <v/>
      </c>
      <c r="CQ190" s="527" t="str">
        <f t="shared" si="427"/>
        <v/>
      </c>
      <c r="CR190" s="527" t="str">
        <f t="shared" si="428"/>
        <v/>
      </c>
      <c r="CS190" s="527" t="str">
        <f t="shared" si="429"/>
        <v/>
      </c>
      <c r="CT190" s="528" t="str">
        <f t="shared" si="430"/>
        <v/>
      </c>
      <c r="CU190" s="528" t="str">
        <f t="shared" si="431"/>
        <v/>
      </c>
      <c r="CV190" s="528" t="str">
        <f t="shared" si="432"/>
        <v/>
      </c>
      <c r="CW190" s="527" t="str">
        <f t="shared" si="433"/>
        <v/>
      </c>
      <c r="CX190" s="527" t="str">
        <f t="shared" si="434"/>
        <v/>
      </c>
      <c r="CY190" s="527" t="str">
        <f t="shared" si="435"/>
        <v/>
      </c>
      <c r="CZ190" s="527" t="str">
        <f t="shared" si="436"/>
        <v/>
      </c>
      <c r="DA190" s="527" t="str">
        <f t="shared" si="437"/>
        <v/>
      </c>
      <c r="DB190" s="526" t="str">
        <f t="shared" si="438"/>
        <v/>
      </c>
      <c r="DC190" s="525" t="str">
        <f t="shared" si="439"/>
        <v/>
      </c>
      <c r="DD190" s="641">
        <f t="shared" si="529"/>
        <v>0</v>
      </c>
      <c r="DE190" s="95">
        <f t="shared" si="530"/>
        <v>0</v>
      </c>
      <c r="DF190" s="95">
        <f t="shared" si="531"/>
        <v>0</v>
      </c>
      <c r="DG190" s="95">
        <f t="shared" si="532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233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2"/>
        <v/>
      </c>
      <c r="CA191" s="586" t="str">
        <f t="shared" si="453"/>
        <v/>
      </c>
      <c r="CB191" s="586" t="str">
        <f t="shared" si="454"/>
        <v/>
      </c>
      <c r="CC191" s="586" t="str">
        <f t="shared" si="455"/>
        <v/>
      </c>
      <c r="CD191" s="1316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7" t="str">
        <f t="shared" si="547"/>
        <v/>
      </c>
      <c r="CF191" s="1317" t="str">
        <f t="shared" si="547"/>
        <v/>
      </c>
      <c r="CG191" s="1317" t="str">
        <f t="shared" si="547"/>
        <v/>
      </c>
      <c r="CH191" s="1318" t="str">
        <f t="shared" si="547"/>
        <v/>
      </c>
      <c r="CI191" s="1318" t="str">
        <f t="shared" si="547"/>
        <v/>
      </c>
      <c r="CJ191" s="1317" t="str">
        <f t="shared" si="547"/>
        <v/>
      </c>
      <c r="CK191" s="1317" t="str">
        <f t="shared" si="547"/>
        <v/>
      </c>
      <c r="CL191" s="1317" t="str">
        <f t="shared" si="547"/>
        <v/>
      </c>
      <c r="CM191" s="1316" t="str">
        <f t="shared" si="547"/>
        <v/>
      </c>
      <c r="CN191" s="538" t="str">
        <f t="shared" si="424"/>
        <v/>
      </c>
      <c r="CO191" s="539" t="str">
        <f t="shared" si="425"/>
        <v/>
      </c>
      <c r="CP191" s="539" t="str">
        <f t="shared" si="426"/>
        <v/>
      </c>
      <c r="CQ191" s="539" t="str">
        <f t="shared" si="427"/>
        <v/>
      </c>
      <c r="CR191" s="539" t="str">
        <f t="shared" si="428"/>
        <v/>
      </c>
      <c r="CS191" s="539" t="str">
        <f t="shared" si="429"/>
        <v/>
      </c>
      <c r="CT191" s="540" t="str">
        <f t="shared" si="430"/>
        <v/>
      </c>
      <c r="CU191" s="540">
        <f t="shared" si="431"/>
        <v>0</v>
      </c>
      <c r="CV191" s="540" t="str">
        <f t="shared" si="432"/>
        <v/>
      </c>
      <c r="CW191" s="539" t="str">
        <f t="shared" si="433"/>
        <v/>
      </c>
      <c r="CX191" s="539" t="str">
        <f t="shared" si="434"/>
        <v/>
      </c>
      <c r="CY191" s="539" t="str">
        <f t="shared" si="435"/>
        <v/>
      </c>
      <c r="CZ191" s="539" t="str">
        <f t="shared" si="436"/>
        <v/>
      </c>
      <c r="DA191" s="539" t="str">
        <f t="shared" si="437"/>
        <v/>
      </c>
      <c r="DB191" s="538" t="str">
        <f t="shared" si="438"/>
        <v/>
      </c>
      <c r="DC191" s="537" t="str">
        <f t="shared" si="439"/>
        <v/>
      </c>
      <c r="DD191" s="641">
        <f t="shared" si="529"/>
        <v>0</v>
      </c>
      <c r="DE191" s="95">
        <f t="shared" si="530"/>
        <v>0</v>
      </c>
      <c r="DF191" s="95">
        <f t="shared" si="531"/>
        <v>0</v>
      </c>
      <c r="DG191" s="95">
        <f t="shared" si="532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2"/>
        <v/>
      </c>
      <c r="CA192" s="586" t="str">
        <f t="shared" si="453"/>
        <v/>
      </c>
      <c r="CB192" s="586" t="str">
        <f t="shared" si="454"/>
        <v/>
      </c>
      <c r="CC192" s="586" t="str">
        <f t="shared" si="455"/>
        <v/>
      </c>
      <c r="CD192" s="1316" t="str">
        <f t="shared" si="547"/>
        <v/>
      </c>
      <c r="CE192" s="1317" t="str">
        <f t="shared" si="547"/>
        <v/>
      </c>
      <c r="CF192" s="1317" t="str">
        <f t="shared" si="547"/>
        <v/>
      </c>
      <c r="CG192" s="1317" t="str">
        <f t="shared" si="547"/>
        <v/>
      </c>
      <c r="CH192" s="1318" t="str">
        <f t="shared" si="547"/>
        <v/>
      </c>
      <c r="CI192" s="1318" t="str">
        <f t="shared" si="547"/>
        <v/>
      </c>
      <c r="CJ192" s="1317" t="str">
        <f t="shared" si="547"/>
        <v/>
      </c>
      <c r="CK192" s="1317" t="str">
        <f t="shared" si="547"/>
        <v/>
      </c>
      <c r="CL192" s="1317" t="str">
        <f t="shared" si="547"/>
        <v/>
      </c>
      <c r="CM192" s="1316" t="str">
        <f t="shared" si="547"/>
        <v/>
      </c>
      <c r="CN192" s="538" t="str">
        <f t="shared" si="424"/>
        <v/>
      </c>
      <c r="CO192" s="539" t="str">
        <f t="shared" si="425"/>
        <v/>
      </c>
      <c r="CP192" s="539" t="str">
        <f t="shared" si="426"/>
        <v/>
      </c>
      <c r="CQ192" s="539" t="str">
        <f t="shared" si="427"/>
        <v/>
      </c>
      <c r="CR192" s="539" t="str">
        <f t="shared" si="428"/>
        <v/>
      </c>
      <c r="CS192" s="539" t="str">
        <f t="shared" si="429"/>
        <v/>
      </c>
      <c r="CT192" s="540" t="str">
        <f t="shared" si="430"/>
        <v/>
      </c>
      <c r="CU192" s="540" t="str">
        <f t="shared" si="431"/>
        <v/>
      </c>
      <c r="CV192" s="540" t="str">
        <f t="shared" si="432"/>
        <v/>
      </c>
      <c r="CW192" s="539" t="str">
        <f t="shared" si="433"/>
        <v/>
      </c>
      <c r="CX192" s="539" t="str">
        <f t="shared" si="434"/>
        <v/>
      </c>
      <c r="CY192" s="539" t="str">
        <f t="shared" si="435"/>
        <v/>
      </c>
      <c r="CZ192" s="539" t="str">
        <f t="shared" si="436"/>
        <v/>
      </c>
      <c r="DA192" s="539" t="str">
        <f t="shared" si="437"/>
        <v/>
      </c>
      <c r="DB192" s="538" t="str">
        <f t="shared" si="438"/>
        <v/>
      </c>
      <c r="DC192" s="537" t="str">
        <f t="shared" si="439"/>
        <v/>
      </c>
      <c r="DD192" s="641">
        <f t="shared" si="529"/>
        <v>0</v>
      </c>
      <c r="DE192" s="95">
        <f t="shared" si="530"/>
        <v>0</v>
      </c>
      <c r="DF192" s="95">
        <f t="shared" si="531"/>
        <v>0</v>
      </c>
      <c r="DG192" s="95">
        <f t="shared" si="532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2"/>
        <v/>
      </c>
      <c r="CA193" s="586" t="str">
        <f t="shared" si="453"/>
        <v/>
      </c>
      <c r="CB193" s="586" t="str">
        <f t="shared" si="454"/>
        <v/>
      </c>
      <c r="CC193" s="586" t="str">
        <f t="shared" si="455"/>
        <v/>
      </c>
      <c r="CD193" s="1316" t="str">
        <f t="shared" si="547"/>
        <v/>
      </c>
      <c r="CE193" s="1317" t="str">
        <f t="shared" si="547"/>
        <v/>
      </c>
      <c r="CF193" s="1317" t="str">
        <f t="shared" si="547"/>
        <v/>
      </c>
      <c r="CG193" s="1317" t="str">
        <f t="shared" si="547"/>
        <v/>
      </c>
      <c r="CH193" s="1318" t="str">
        <f t="shared" si="547"/>
        <v/>
      </c>
      <c r="CI193" s="1318" t="str">
        <f t="shared" si="547"/>
        <v/>
      </c>
      <c r="CJ193" s="1317" t="str">
        <f t="shared" si="547"/>
        <v/>
      </c>
      <c r="CK193" s="1317" t="str">
        <f t="shared" si="547"/>
        <v/>
      </c>
      <c r="CL193" s="1317" t="str">
        <f t="shared" si="547"/>
        <v/>
      </c>
      <c r="CM193" s="1316" t="str">
        <f t="shared" si="547"/>
        <v/>
      </c>
      <c r="CN193" s="538" t="str">
        <f t="shared" si="424"/>
        <v/>
      </c>
      <c r="CO193" s="539" t="str">
        <f t="shared" si="425"/>
        <v/>
      </c>
      <c r="CP193" s="539" t="str">
        <f t="shared" si="426"/>
        <v/>
      </c>
      <c r="CQ193" s="539" t="str">
        <f t="shared" si="427"/>
        <v/>
      </c>
      <c r="CR193" s="539" t="str">
        <f t="shared" si="428"/>
        <v/>
      </c>
      <c r="CS193" s="539" t="str">
        <f t="shared" si="429"/>
        <v/>
      </c>
      <c r="CT193" s="540" t="str">
        <f t="shared" si="430"/>
        <v/>
      </c>
      <c r="CU193" s="540" t="str">
        <f t="shared" si="431"/>
        <v/>
      </c>
      <c r="CV193" s="540" t="str">
        <f t="shared" si="432"/>
        <v/>
      </c>
      <c r="CW193" s="539" t="str">
        <f t="shared" si="433"/>
        <v/>
      </c>
      <c r="CX193" s="539" t="str">
        <f t="shared" si="434"/>
        <v/>
      </c>
      <c r="CY193" s="539" t="str">
        <f t="shared" si="435"/>
        <v/>
      </c>
      <c r="CZ193" s="539" t="str">
        <f t="shared" si="436"/>
        <v/>
      </c>
      <c r="DA193" s="539" t="str">
        <f t="shared" si="437"/>
        <v/>
      </c>
      <c r="DB193" s="538" t="str">
        <f t="shared" si="438"/>
        <v/>
      </c>
      <c r="DC193" s="537" t="str">
        <f t="shared" si="439"/>
        <v/>
      </c>
      <c r="DD193" s="641">
        <f t="shared" si="529"/>
        <v>0</v>
      </c>
      <c r="DE193" s="95">
        <f t="shared" si="530"/>
        <v>0</v>
      </c>
      <c r="DF193" s="95">
        <f t="shared" si="531"/>
        <v>0</v>
      </c>
      <c r="DG193" s="95">
        <f t="shared" si="532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183</v>
      </c>
      <c r="B194" s="596" t="str">
        <f t="shared" ref="B194:K194" si="548">IF(B191="","",B191*(B193-B192))</f>
        <v/>
      </c>
      <c r="C194" s="596" t="str">
        <f t="shared" si="548"/>
        <v/>
      </c>
      <c r="D194" s="596" t="str">
        <f t="shared" si="548"/>
        <v/>
      </c>
      <c r="E194" s="596" t="str">
        <f t="shared" si="548"/>
        <v/>
      </c>
      <c r="F194" s="596" t="str">
        <f t="shared" si="548"/>
        <v/>
      </c>
      <c r="G194" s="596" t="str">
        <f t="shared" si="548"/>
        <v/>
      </c>
      <c r="H194" s="596" t="str">
        <f t="shared" si="548"/>
        <v/>
      </c>
      <c r="I194" s="596" t="str">
        <f t="shared" si="548"/>
        <v/>
      </c>
      <c r="J194" s="596" t="str">
        <f t="shared" si="548"/>
        <v/>
      </c>
      <c r="K194" s="596" t="str">
        <f t="shared" si="548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9">IF(T191="","",T191*(T193-T192))</f>
        <v/>
      </c>
      <c r="U194" s="596" t="str">
        <f t="shared" si="549"/>
        <v/>
      </c>
      <c r="V194" s="596" t="str">
        <f t="shared" si="549"/>
        <v/>
      </c>
      <c r="W194" s="596" t="str">
        <f t="shared" si="549"/>
        <v/>
      </c>
      <c r="X194" s="596" t="str">
        <f t="shared" si="549"/>
        <v/>
      </c>
      <c r="Y194" s="596" t="str">
        <f t="shared" si="549"/>
        <v/>
      </c>
      <c r="Z194" s="596" t="str">
        <f t="shared" si="549"/>
        <v/>
      </c>
      <c r="AA194" s="596" t="str">
        <f t="shared" si="549"/>
        <v/>
      </c>
      <c r="AB194" s="596" t="str">
        <f t="shared" si="549"/>
        <v/>
      </c>
      <c r="AC194" s="596" t="str">
        <f t="shared" si="549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50">IF(AL191="","",AL191*(AL193-AL192))</f>
        <v/>
      </c>
      <c r="AM194" s="596" t="str">
        <f t="shared" si="550"/>
        <v/>
      </c>
      <c r="AN194" s="596" t="str">
        <f t="shared" si="550"/>
        <v/>
      </c>
      <c r="AO194" s="596" t="str">
        <f t="shared" si="550"/>
        <v/>
      </c>
      <c r="AP194" s="596" t="str">
        <f t="shared" si="550"/>
        <v/>
      </c>
      <c r="AQ194" s="596" t="str">
        <f t="shared" si="550"/>
        <v/>
      </c>
      <c r="AR194" s="596" t="str">
        <f t="shared" si="550"/>
        <v/>
      </c>
      <c r="AS194" s="596" t="str">
        <f t="shared" si="550"/>
        <v/>
      </c>
      <c r="AT194" s="596" t="str">
        <f t="shared" si="550"/>
        <v/>
      </c>
      <c r="AU194" s="596" t="str">
        <f t="shared" si="550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51">IF(BD191="","",BD191*(BD193-BD192))</f>
        <v>0</v>
      </c>
      <c r="BE194" s="596" t="str">
        <f t="shared" si="551"/>
        <v/>
      </c>
      <c r="BF194" s="596" t="str">
        <f t="shared" si="551"/>
        <v/>
      </c>
      <c r="BG194" s="596" t="str">
        <f t="shared" si="551"/>
        <v/>
      </c>
      <c r="BH194" s="596" t="str">
        <f t="shared" si="551"/>
        <v/>
      </c>
      <c r="BI194" s="596" t="str">
        <f t="shared" si="551"/>
        <v/>
      </c>
      <c r="BJ194" s="596" t="str">
        <f t="shared" si="551"/>
        <v/>
      </c>
      <c r="BK194" s="596" t="str">
        <f t="shared" si="551"/>
        <v/>
      </c>
      <c r="BL194" s="596" t="str">
        <f t="shared" si="551"/>
        <v/>
      </c>
      <c r="BM194" s="596" t="str">
        <f t="shared" si="551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2"/>
        <v/>
      </c>
      <c r="CA194" s="586" t="str">
        <f t="shared" si="453"/>
        <v/>
      </c>
      <c r="CB194" s="586" t="str">
        <f t="shared" si="454"/>
        <v/>
      </c>
      <c r="CC194" s="586" t="str">
        <f t="shared" si="455"/>
        <v/>
      </c>
      <c r="CD194" s="1316" t="str">
        <f t="shared" si="547"/>
        <v/>
      </c>
      <c r="CE194" s="1317" t="str">
        <f t="shared" si="547"/>
        <v/>
      </c>
      <c r="CF194" s="1317" t="str">
        <f t="shared" si="547"/>
        <v/>
      </c>
      <c r="CG194" s="1317" t="str">
        <f t="shared" si="547"/>
        <v/>
      </c>
      <c r="CH194" s="1318" t="str">
        <f t="shared" si="547"/>
        <v/>
      </c>
      <c r="CI194" s="1318" t="str">
        <f t="shared" si="547"/>
        <v/>
      </c>
      <c r="CJ194" s="1317" t="str">
        <f t="shared" si="547"/>
        <v/>
      </c>
      <c r="CK194" s="1317" t="str">
        <f t="shared" si="547"/>
        <v/>
      </c>
      <c r="CL194" s="1317" t="str">
        <f t="shared" si="547"/>
        <v/>
      </c>
      <c r="CM194" s="1316" t="str">
        <f t="shared" si="547"/>
        <v/>
      </c>
      <c r="CN194" s="538" t="str">
        <f t="shared" si="424"/>
        <v/>
      </c>
      <c r="CO194" s="539" t="str">
        <f t="shared" si="425"/>
        <v/>
      </c>
      <c r="CP194" s="539" t="str">
        <f t="shared" si="426"/>
        <v/>
      </c>
      <c r="CQ194" s="539" t="str">
        <f t="shared" si="427"/>
        <v/>
      </c>
      <c r="CR194" s="539" t="str">
        <f t="shared" si="428"/>
        <v/>
      </c>
      <c r="CS194" s="539" t="str">
        <f t="shared" si="429"/>
        <v/>
      </c>
      <c r="CT194" s="540" t="str">
        <f t="shared" si="430"/>
        <v/>
      </c>
      <c r="CU194" s="540">
        <f t="shared" si="431"/>
        <v>0</v>
      </c>
      <c r="CV194" s="540" t="str">
        <f t="shared" si="432"/>
        <v/>
      </c>
      <c r="CW194" s="539" t="str">
        <f t="shared" si="433"/>
        <v/>
      </c>
      <c r="CX194" s="539" t="str">
        <f t="shared" si="434"/>
        <v/>
      </c>
      <c r="CY194" s="539" t="str">
        <f t="shared" si="435"/>
        <v/>
      </c>
      <c r="CZ194" s="539" t="str">
        <f t="shared" si="436"/>
        <v/>
      </c>
      <c r="DA194" s="539" t="str">
        <f t="shared" si="437"/>
        <v/>
      </c>
      <c r="DB194" s="538" t="str">
        <f t="shared" si="438"/>
        <v/>
      </c>
      <c r="DC194" s="537" t="str">
        <f t="shared" si="439"/>
        <v/>
      </c>
      <c r="DD194" s="641">
        <f t="shared" si="529"/>
        <v>0</v>
      </c>
      <c r="DE194" s="95">
        <f t="shared" si="530"/>
        <v>0</v>
      </c>
      <c r="DF194" s="95">
        <f t="shared" si="531"/>
        <v>0</v>
      </c>
      <c r="DG194" s="95">
        <f t="shared" si="532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2"/>
        <v/>
      </c>
      <c r="CA195" s="586" t="str">
        <f t="shared" si="453"/>
        <v/>
      </c>
      <c r="CB195" s="586" t="str">
        <f t="shared" si="454"/>
        <v/>
      </c>
      <c r="CC195" s="586" t="str">
        <f t="shared" si="455"/>
        <v/>
      </c>
      <c r="CD195" s="1316" t="str">
        <f t="shared" si="547"/>
        <v/>
      </c>
      <c r="CE195" s="1317" t="str">
        <f t="shared" si="547"/>
        <v/>
      </c>
      <c r="CF195" s="1317" t="str">
        <f t="shared" si="547"/>
        <v/>
      </c>
      <c r="CG195" s="1317" t="str">
        <f t="shared" si="547"/>
        <v/>
      </c>
      <c r="CH195" s="1318" t="str">
        <f t="shared" si="547"/>
        <v/>
      </c>
      <c r="CI195" s="1318" t="str">
        <f t="shared" si="547"/>
        <v/>
      </c>
      <c r="CJ195" s="1317" t="str">
        <f t="shared" si="547"/>
        <v/>
      </c>
      <c r="CK195" s="1317" t="str">
        <f t="shared" si="547"/>
        <v/>
      </c>
      <c r="CL195" s="1317" t="str">
        <f t="shared" si="547"/>
        <v/>
      </c>
      <c r="CM195" s="1316" t="str">
        <f t="shared" si="547"/>
        <v/>
      </c>
      <c r="CN195" s="538" t="str">
        <f t="shared" si="424"/>
        <v/>
      </c>
      <c r="CO195" s="539" t="str">
        <f t="shared" si="425"/>
        <v/>
      </c>
      <c r="CP195" s="539" t="str">
        <f t="shared" si="426"/>
        <v/>
      </c>
      <c r="CQ195" s="539" t="str">
        <f t="shared" si="427"/>
        <v/>
      </c>
      <c r="CR195" s="539" t="str">
        <f t="shared" si="428"/>
        <v/>
      </c>
      <c r="CS195" s="539" t="str">
        <f t="shared" si="429"/>
        <v/>
      </c>
      <c r="CT195" s="540" t="str">
        <f t="shared" si="430"/>
        <v/>
      </c>
      <c r="CU195" s="540">
        <f t="shared" si="431"/>
        <v>0</v>
      </c>
      <c r="CV195" s="540" t="str">
        <f t="shared" si="432"/>
        <v/>
      </c>
      <c r="CW195" s="539" t="str">
        <f t="shared" si="433"/>
        <v/>
      </c>
      <c r="CX195" s="539" t="str">
        <f t="shared" si="434"/>
        <v/>
      </c>
      <c r="CY195" s="539" t="str">
        <f t="shared" si="435"/>
        <v/>
      </c>
      <c r="CZ195" s="539" t="str">
        <f t="shared" si="436"/>
        <v/>
      </c>
      <c r="DA195" s="539" t="str">
        <f t="shared" si="437"/>
        <v/>
      </c>
      <c r="DB195" s="538" t="str">
        <f t="shared" si="438"/>
        <v/>
      </c>
      <c r="DC195" s="537" t="str">
        <f t="shared" si="439"/>
        <v/>
      </c>
      <c r="DD195" s="641">
        <f t="shared" si="529"/>
        <v>0</v>
      </c>
      <c r="DE195" s="95">
        <f t="shared" si="530"/>
        <v>0</v>
      </c>
      <c r="DF195" s="95">
        <f t="shared" si="531"/>
        <v>0</v>
      </c>
      <c r="DG195" s="95">
        <f t="shared" si="532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2"/>
        <v/>
      </c>
      <c r="CA196" s="586" t="str">
        <f t="shared" si="453"/>
        <v/>
      </c>
      <c r="CB196" s="586" t="str">
        <f t="shared" si="454"/>
        <v/>
      </c>
      <c r="CC196" s="586" t="str">
        <f t="shared" si="455"/>
        <v/>
      </c>
      <c r="CD196" s="1316" t="str">
        <f t="shared" si="547"/>
        <v/>
      </c>
      <c r="CE196" s="1317" t="str">
        <f t="shared" si="547"/>
        <v/>
      </c>
      <c r="CF196" s="1317" t="str">
        <f t="shared" si="547"/>
        <v/>
      </c>
      <c r="CG196" s="1317" t="str">
        <f t="shared" si="547"/>
        <v/>
      </c>
      <c r="CH196" s="1318" t="str">
        <f t="shared" si="547"/>
        <v/>
      </c>
      <c r="CI196" s="1318" t="str">
        <f t="shared" si="547"/>
        <v/>
      </c>
      <c r="CJ196" s="1317" t="str">
        <f t="shared" si="547"/>
        <v/>
      </c>
      <c r="CK196" s="1317" t="str">
        <f t="shared" si="547"/>
        <v/>
      </c>
      <c r="CL196" s="1317" t="str">
        <f t="shared" si="547"/>
        <v/>
      </c>
      <c r="CM196" s="1316" t="str">
        <f t="shared" si="547"/>
        <v/>
      </c>
      <c r="CN196" s="538" t="str">
        <f t="shared" si="424"/>
        <v/>
      </c>
      <c r="CO196" s="539" t="str">
        <f t="shared" si="425"/>
        <v/>
      </c>
      <c r="CP196" s="539" t="str">
        <f t="shared" si="426"/>
        <v/>
      </c>
      <c r="CQ196" s="539" t="str">
        <f t="shared" si="427"/>
        <v/>
      </c>
      <c r="CR196" s="539" t="str">
        <f t="shared" si="428"/>
        <v/>
      </c>
      <c r="CS196" s="539" t="str">
        <f t="shared" si="429"/>
        <v/>
      </c>
      <c r="CT196" s="540" t="str">
        <f t="shared" si="430"/>
        <v/>
      </c>
      <c r="CU196" s="540" t="str">
        <f t="shared" si="431"/>
        <v/>
      </c>
      <c r="CV196" s="540" t="str">
        <f t="shared" si="432"/>
        <v/>
      </c>
      <c r="CW196" s="539" t="str">
        <f t="shared" si="433"/>
        <v/>
      </c>
      <c r="CX196" s="539" t="str">
        <f t="shared" si="434"/>
        <v/>
      </c>
      <c r="CY196" s="539" t="str">
        <f t="shared" si="435"/>
        <v/>
      </c>
      <c r="CZ196" s="539" t="str">
        <f t="shared" si="436"/>
        <v/>
      </c>
      <c r="DA196" s="539" t="str">
        <f t="shared" si="437"/>
        <v/>
      </c>
      <c r="DB196" s="538" t="str">
        <f t="shared" si="438"/>
        <v/>
      </c>
      <c r="DC196" s="537" t="str">
        <f t="shared" si="439"/>
        <v/>
      </c>
      <c r="DD196" s="641">
        <f t="shared" si="529"/>
        <v>0</v>
      </c>
      <c r="DE196" s="95">
        <f t="shared" si="530"/>
        <v>0</v>
      </c>
      <c r="DF196" s="95">
        <f t="shared" si="531"/>
        <v>0</v>
      </c>
      <c r="DG196" s="95">
        <f t="shared" si="532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183</v>
      </c>
      <c r="B197" s="596" t="str">
        <f t="shared" ref="B197:K197" si="552">IF(B195="","",B195*B196)</f>
        <v/>
      </c>
      <c r="C197" s="596" t="str">
        <f t="shared" si="552"/>
        <v/>
      </c>
      <c r="D197" s="596" t="str">
        <f t="shared" si="552"/>
        <v/>
      </c>
      <c r="E197" s="596" t="str">
        <f t="shared" si="552"/>
        <v/>
      </c>
      <c r="F197" s="596" t="str">
        <f t="shared" si="552"/>
        <v/>
      </c>
      <c r="G197" s="596" t="str">
        <f t="shared" si="552"/>
        <v/>
      </c>
      <c r="H197" s="596" t="str">
        <f t="shared" si="552"/>
        <v/>
      </c>
      <c r="I197" s="596" t="str">
        <f t="shared" si="552"/>
        <v/>
      </c>
      <c r="J197" s="596" t="str">
        <f t="shared" si="552"/>
        <v/>
      </c>
      <c r="K197" s="596" t="str">
        <f t="shared" si="552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3">IF(T195="","",T195*T196)</f>
        <v/>
      </c>
      <c r="U197" s="596" t="str">
        <f t="shared" si="553"/>
        <v/>
      </c>
      <c r="V197" s="596" t="str">
        <f t="shared" si="553"/>
        <v/>
      </c>
      <c r="W197" s="596" t="str">
        <f t="shared" si="553"/>
        <v/>
      </c>
      <c r="X197" s="596" t="str">
        <f t="shared" si="553"/>
        <v/>
      </c>
      <c r="Y197" s="596" t="str">
        <f t="shared" si="553"/>
        <v/>
      </c>
      <c r="Z197" s="596" t="str">
        <f t="shared" si="553"/>
        <v/>
      </c>
      <c r="AA197" s="596" t="str">
        <f t="shared" si="553"/>
        <v/>
      </c>
      <c r="AB197" s="596" t="str">
        <f t="shared" si="553"/>
        <v/>
      </c>
      <c r="AC197" s="596" t="str">
        <f t="shared" si="553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4">IF(AL195="","",AL195*AL196)</f>
        <v/>
      </c>
      <c r="AM197" s="596" t="str">
        <f t="shared" si="554"/>
        <v/>
      </c>
      <c r="AN197" s="596" t="str">
        <f t="shared" si="554"/>
        <v/>
      </c>
      <c r="AO197" s="596" t="str">
        <f t="shared" si="554"/>
        <v/>
      </c>
      <c r="AP197" s="596" t="str">
        <f t="shared" si="554"/>
        <v/>
      </c>
      <c r="AQ197" s="596" t="str">
        <f t="shared" si="554"/>
        <v/>
      </c>
      <c r="AR197" s="596" t="str">
        <f t="shared" si="554"/>
        <v/>
      </c>
      <c r="AS197" s="596" t="str">
        <f t="shared" si="554"/>
        <v/>
      </c>
      <c r="AT197" s="596" t="str">
        <f t="shared" si="554"/>
        <v/>
      </c>
      <c r="AU197" s="596" t="str">
        <f t="shared" si="554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5">IF(BD195="","",BD195*BD196)</f>
        <v>0</v>
      </c>
      <c r="BE197" s="596" t="str">
        <f t="shared" si="555"/>
        <v/>
      </c>
      <c r="BF197" s="596" t="str">
        <f t="shared" si="555"/>
        <v/>
      </c>
      <c r="BG197" s="596" t="str">
        <f t="shared" si="555"/>
        <v/>
      </c>
      <c r="BH197" s="596" t="str">
        <f t="shared" si="555"/>
        <v/>
      </c>
      <c r="BI197" s="596" t="str">
        <f t="shared" si="555"/>
        <v/>
      </c>
      <c r="BJ197" s="596" t="str">
        <f t="shared" si="555"/>
        <v/>
      </c>
      <c r="BK197" s="596" t="str">
        <f t="shared" si="555"/>
        <v/>
      </c>
      <c r="BL197" s="596" t="str">
        <f t="shared" si="555"/>
        <v/>
      </c>
      <c r="BM197" s="596" t="str">
        <f t="shared" si="555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2"/>
        <v/>
      </c>
      <c r="CA197" s="586" t="str">
        <f t="shared" si="453"/>
        <v/>
      </c>
      <c r="CB197" s="586" t="str">
        <f t="shared" si="454"/>
        <v/>
      </c>
      <c r="CC197" s="586" t="str">
        <f t="shared" si="455"/>
        <v/>
      </c>
      <c r="CD197" s="1316" t="str">
        <f t="shared" si="547"/>
        <v/>
      </c>
      <c r="CE197" s="1317" t="str">
        <f t="shared" si="547"/>
        <v/>
      </c>
      <c r="CF197" s="1317" t="str">
        <f t="shared" si="547"/>
        <v/>
      </c>
      <c r="CG197" s="1317" t="str">
        <f t="shared" si="547"/>
        <v/>
      </c>
      <c r="CH197" s="1318" t="str">
        <f t="shared" si="547"/>
        <v/>
      </c>
      <c r="CI197" s="1318" t="str">
        <f t="shared" si="547"/>
        <v/>
      </c>
      <c r="CJ197" s="1317" t="str">
        <f t="shared" si="547"/>
        <v/>
      </c>
      <c r="CK197" s="1317" t="str">
        <f t="shared" si="547"/>
        <v/>
      </c>
      <c r="CL197" s="1317" t="str">
        <f t="shared" si="547"/>
        <v/>
      </c>
      <c r="CM197" s="1316" t="str">
        <f t="shared" si="547"/>
        <v/>
      </c>
      <c r="CN197" s="538" t="str">
        <f t="shared" si="424"/>
        <v/>
      </c>
      <c r="CO197" s="539" t="str">
        <f t="shared" si="425"/>
        <v/>
      </c>
      <c r="CP197" s="539" t="str">
        <f t="shared" si="426"/>
        <v/>
      </c>
      <c r="CQ197" s="539" t="str">
        <f t="shared" si="427"/>
        <v/>
      </c>
      <c r="CR197" s="539" t="str">
        <f t="shared" si="428"/>
        <v/>
      </c>
      <c r="CS197" s="539" t="str">
        <f t="shared" si="429"/>
        <v/>
      </c>
      <c r="CT197" s="540" t="str">
        <f t="shared" si="430"/>
        <v/>
      </c>
      <c r="CU197" s="540">
        <f t="shared" si="431"/>
        <v>0</v>
      </c>
      <c r="CV197" s="540" t="str">
        <f t="shared" si="432"/>
        <v/>
      </c>
      <c r="CW197" s="539" t="str">
        <f t="shared" si="433"/>
        <v/>
      </c>
      <c r="CX197" s="539" t="str">
        <f t="shared" si="434"/>
        <v/>
      </c>
      <c r="CY197" s="539" t="str">
        <f t="shared" si="435"/>
        <v/>
      </c>
      <c r="CZ197" s="539" t="str">
        <f t="shared" si="436"/>
        <v/>
      </c>
      <c r="DA197" s="539" t="str">
        <f t="shared" si="437"/>
        <v/>
      </c>
      <c r="DB197" s="538" t="str">
        <f t="shared" si="438"/>
        <v/>
      </c>
      <c r="DC197" s="537" t="str">
        <f t="shared" si="439"/>
        <v/>
      </c>
      <c r="DD197" s="641">
        <f t="shared" si="529"/>
        <v>0</v>
      </c>
      <c r="DE197" s="95">
        <f t="shared" si="530"/>
        <v>0</v>
      </c>
      <c r="DF197" s="95">
        <f t="shared" si="531"/>
        <v>0</v>
      </c>
      <c r="DG197" s="95">
        <f t="shared" si="532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237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2"/>
        <v>0</v>
      </c>
      <c r="CA198" s="586">
        <f t="shared" si="453"/>
        <v>0</v>
      </c>
      <c r="CB198" s="586">
        <f t="shared" si="454"/>
        <v>0</v>
      </c>
      <c r="CC198" s="586">
        <f t="shared" si="455"/>
        <v>2.375</v>
      </c>
      <c r="CD198" s="1316">
        <f t="shared" si="547"/>
        <v>0</v>
      </c>
      <c r="CE198" s="1317">
        <f t="shared" si="547"/>
        <v>0</v>
      </c>
      <c r="CF198" s="1317">
        <f t="shared" si="547"/>
        <v>0</v>
      </c>
      <c r="CG198" s="1317">
        <f t="shared" si="547"/>
        <v>0</v>
      </c>
      <c r="CH198" s="1318">
        <f t="shared" si="547"/>
        <v>0</v>
      </c>
      <c r="CI198" s="1318">
        <f t="shared" si="547"/>
        <v>0</v>
      </c>
      <c r="CJ198" s="1317">
        <f t="shared" si="547"/>
        <v>0</v>
      </c>
      <c r="CK198" s="1317">
        <f t="shared" si="547"/>
        <v>0</v>
      </c>
      <c r="CL198" s="1317">
        <f t="shared" si="547"/>
        <v>0</v>
      </c>
      <c r="CM198" s="1316">
        <f t="shared" si="547"/>
        <v>3</v>
      </c>
      <c r="CN198" s="538" t="str">
        <f t="shared" si="424"/>
        <v/>
      </c>
      <c r="CO198" s="539" t="str">
        <f t="shared" si="425"/>
        <v/>
      </c>
      <c r="CP198" s="539" t="str">
        <f t="shared" si="426"/>
        <v/>
      </c>
      <c r="CQ198" s="539">
        <f t="shared" si="427"/>
        <v>0</v>
      </c>
      <c r="CR198" s="539">
        <f t="shared" si="428"/>
        <v>0</v>
      </c>
      <c r="CS198" s="539">
        <f t="shared" si="429"/>
        <v>0</v>
      </c>
      <c r="CT198" s="540">
        <f t="shared" si="430"/>
        <v>2</v>
      </c>
      <c r="CU198" s="540">
        <f t="shared" si="431"/>
        <v>2</v>
      </c>
      <c r="CV198" s="540">
        <f t="shared" si="432"/>
        <v>2</v>
      </c>
      <c r="CW198" s="539">
        <f t="shared" si="433"/>
        <v>4</v>
      </c>
      <c r="CX198" s="539">
        <f t="shared" si="434"/>
        <v>4</v>
      </c>
      <c r="CY198" s="539">
        <f t="shared" si="435"/>
        <v>5</v>
      </c>
      <c r="CZ198" s="539">
        <f t="shared" si="436"/>
        <v>5</v>
      </c>
      <c r="DA198" s="539" t="str">
        <f t="shared" si="437"/>
        <v/>
      </c>
      <c r="DB198" s="538" t="str">
        <f t="shared" si="438"/>
        <v/>
      </c>
      <c r="DC198" s="537" t="str">
        <f t="shared" si="439"/>
        <v/>
      </c>
      <c r="DD198" s="641">
        <f t="shared" si="529"/>
        <v>10</v>
      </c>
      <c r="DE198" s="95">
        <f t="shared" si="530"/>
        <v>10</v>
      </c>
      <c r="DF198" s="95">
        <f t="shared" si="531"/>
        <v>10</v>
      </c>
      <c r="DG198" s="95">
        <f t="shared" si="532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181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2"/>
        <v/>
      </c>
      <c r="CA199" s="586" t="str">
        <f t="shared" si="453"/>
        <v/>
      </c>
      <c r="CB199" s="586" t="str">
        <f t="shared" si="454"/>
        <v/>
      </c>
      <c r="CC199" s="586">
        <f t="shared" si="455"/>
        <v>3904</v>
      </c>
      <c r="CD199" s="1316" t="str">
        <f t="shared" si="547"/>
        <v/>
      </c>
      <c r="CE199" s="1317" t="str">
        <f t="shared" si="547"/>
        <v/>
      </c>
      <c r="CF199" s="1317" t="str">
        <f t="shared" si="547"/>
        <v/>
      </c>
      <c r="CG199" s="1317" t="str">
        <f t="shared" si="547"/>
        <v/>
      </c>
      <c r="CH199" s="1318" t="str">
        <f t="shared" si="547"/>
        <v/>
      </c>
      <c r="CI199" s="1318" t="str">
        <f t="shared" si="547"/>
        <v/>
      </c>
      <c r="CJ199" s="1317" t="str">
        <f t="shared" si="547"/>
        <v/>
      </c>
      <c r="CK199" s="1317" t="str">
        <f t="shared" si="547"/>
        <v/>
      </c>
      <c r="CL199" s="1317" t="str">
        <f t="shared" si="547"/>
        <v/>
      </c>
      <c r="CM199" s="1316" t="str">
        <f t="shared" si="547"/>
        <v/>
      </c>
      <c r="CN199" s="538" t="str">
        <f t="shared" si="424"/>
        <v/>
      </c>
      <c r="CO199" s="539" t="str">
        <f t="shared" si="425"/>
        <v/>
      </c>
      <c r="CP199" s="539" t="str">
        <f t="shared" si="426"/>
        <v/>
      </c>
      <c r="CQ199" s="539" t="str">
        <f t="shared" si="427"/>
        <v/>
      </c>
      <c r="CR199" s="539">
        <f t="shared" si="428"/>
        <v>3000</v>
      </c>
      <c r="CS199" s="539">
        <f t="shared" si="429"/>
        <v>3500</v>
      </c>
      <c r="CT199" s="540">
        <f t="shared" si="430"/>
        <v>3500</v>
      </c>
      <c r="CU199" s="540">
        <f t="shared" si="431"/>
        <v>3500</v>
      </c>
      <c r="CV199" s="540">
        <f t="shared" si="432"/>
        <v>4500</v>
      </c>
      <c r="CW199" s="539">
        <f t="shared" si="433"/>
        <v>4520</v>
      </c>
      <c r="CX199" s="539">
        <f t="shared" si="434"/>
        <v>5500</v>
      </c>
      <c r="CY199" s="539" t="str">
        <f t="shared" si="435"/>
        <v/>
      </c>
      <c r="CZ199" s="539" t="str">
        <f t="shared" si="436"/>
        <v/>
      </c>
      <c r="DA199" s="539" t="str">
        <f t="shared" si="437"/>
        <v/>
      </c>
      <c r="DB199" s="538" t="str">
        <f t="shared" si="438"/>
        <v/>
      </c>
      <c r="DC199" s="537" t="str">
        <f t="shared" si="439"/>
        <v/>
      </c>
      <c r="DD199" s="641">
        <f t="shared" si="529"/>
        <v>0</v>
      </c>
      <c r="DE199" s="95">
        <f t="shared" si="530"/>
        <v>0</v>
      </c>
      <c r="DF199" s="95">
        <f t="shared" si="531"/>
        <v>0</v>
      </c>
      <c r="DG199" s="95">
        <f t="shared" si="532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183</v>
      </c>
      <c r="B200" s="596">
        <f t="shared" ref="B200:K200" si="556">IF(B198="","",B198*B199)</f>
        <v>0</v>
      </c>
      <c r="C200" s="596">
        <f t="shared" si="556"/>
        <v>0</v>
      </c>
      <c r="D200" s="596">
        <f t="shared" si="556"/>
        <v>0</v>
      </c>
      <c r="E200" s="596">
        <f t="shared" si="556"/>
        <v>0</v>
      </c>
      <c r="F200" s="596">
        <f t="shared" si="556"/>
        <v>0</v>
      </c>
      <c r="G200" s="596">
        <f t="shared" si="556"/>
        <v>0</v>
      </c>
      <c r="H200" s="596">
        <f t="shared" si="556"/>
        <v>0</v>
      </c>
      <c r="I200" s="596">
        <f t="shared" si="556"/>
        <v>0</v>
      </c>
      <c r="J200" s="596">
        <f t="shared" si="556"/>
        <v>0</v>
      </c>
      <c r="K200" s="596">
        <f t="shared" si="556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7">IF(T198="","",T198*T199)</f>
        <v>0</v>
      </c>
      <c r="U200" s="596">
        <f t="shared" si="557"/>
        <v>0</v>
      </c>
      <c r="V200" s="596">
        <f t="shared" si="557"/>
        <v>0</v>
      </c>
      <c r="W200" s="596">
        <f t="shared" si="557"/>
        <v>0</v>
      </c>
      <c r="X200" s="596">
        <f t="shared" si="557"/>
        <v>0</v>
      </c>
      <c r="Y200" s="596">
        <f t="shared" si="557"/>
        <v>0</v>
      </c>
      <c r="Z200" s="596">
        <f t="shared" si="557"/>
        <v>0</v>
      </c>
      <c r="AA200" s="596">
        <f t="shared" si="557"/>
        <v>0</v>
      </c>
      <c r="AB200" s="596">
        <f t="shared" si="557"/>
        <v>0</v>
      </c>
      <c r="AC200" s="596">
        <f t="shared" si="557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8">IF(AL198="","",AL198*AL199)</f>
        <v>0</v>
      </c>
      <c r="AM200" s="596">
        <f t="shared" si="558"/>
        <v>0</v>
      </c>
      <c r="AN200" s="596">
        <f t="shared" si="558"/>
        <v>0</v>
      </c>
      <c r="AO200" s="596">
        <f t="shared" si="558"/>
        <v>0</v>
      </c>
      <c r="AP200" s="596">
        <f t="shared" si="558"/>
        <v>0</v>
      </c>
      <c r="AQ200" s="596">
        <f t="shared" si="558"/>
        <v>0</v>
      </c>
      <c r="AR200" s="596">
        <f t="shared" si="558"/>
        <v>0</v>
      </c>
      <c r="AS200" s="596">
        <f t="shared" si="558"/>
        <v>0</v>
      </c>
      <c r="AT200" s="596">
        <f t="shared" si="558"/>
        <v>0</v>
      </c>
      <c r="AU200" s="596">
        <f t="shared" si="558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9">IF(BD198="","",BD198*BD199)</f>
        <v>22500</v>
      </c>
      <c r="BE200" s="596">
        <f t="shared" si="559"/>
        <v>12000</v>
      </c>
      <c r="BF200" s="596">
        <f t="shared" si="559"/>
        <v>9040</v>
      </c>
      <c r="BG200" s="596">
        <f t="shared" si="559"/>
        <v>11000</v>
      </c>
      <c r="BH200" s="596">
        <f t="shared" si="559"/>
        <v>17500</v>
      </c>
      <c r="BI200" s="596">
        <f t="shared" si="559"/>
        <v>0</v>
      </c>
      <c r="BJ200" s="596">
        <f t="shared" si="559"/>
        <v>7000</v>
      </c>
      <c r="BK200" s="596">
        <f t="shared" si="559"/>
        <v>0</v>
      </c>
      <c r="BL200" s="596">
        <f t="shared" si="559"/>
        <v>14000</v>
      </c>
      <c r="BM200" s="596">
        <f t="shared" si="559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2"/>
        <v>0</v>
      </c>
      <c r="CA200" s="586">
        <f t="shared" si="453"/>
        <v>0</v>
      </c>
      <c r="CB200" s="586">
        <f t="shared" si="454"/>
        <v>0</v>
      </c>
      <c r="CC200" s="586">
        <f t="shared" si="455"/>
        <v>8817.5</v>
      </c>
      <c r="CD200" s="1316">
        <f t="shared" si="547"/>
        <v>0</v>
      </c>
      <c r="CE200" s="1317">
        <f t="shared" si="547"/>
        <v>0</v>
      </c>
      <c r="CF200" s="1317">
        <f t="shared" si="547"/>
        <v>0</v>
      </c>
      <c r="CG200" s="1317">
        <f t="shared" si="547"/>
        <v>0</v>
      </c>
      <c r="CH200" s="1318">
        <f t="shared" si="547"/>
        <v>0</v>
      </c>
      <c r="CI200" s="1318">
        <f t="shared" si="547"/>
        <v>0</v>
      </c>
      <c r="CJ200" s="1317">
        <f t="shared" si="547"/>
        <v>0</v>
      </c>
      <c r="CK200" s="1317">
        <f t="shared" si="547"/>
        <v>0</v>
      </c>
      <c r="CL200" s="1317">
        <f t="shared" si="547"/>
        <v>0</v>
      </c>
      <c r="CM200" s="1316">
        <f t="shared" si="547"/>
        <v>0</v>
      </c>
      <c r="CN200" s="538" t="str">
        <f t="shared" si="424"/>
        <v/>
      </c>
      <c r="CO200" s="539" t="str">
        <f t="shared" si="425"/>
        <v/>
      </c>
      <c r="CP200" s="539" t="str">
        <f t="shared" si="426"/>
        <v/>
      </c>
      <c r="CQ200" s="539">
        <f t="shared" si="427"/>
        <v>0</v>
      </c>
      <c r="CR200" s="539">
        <f t="shared" si="428"/>
        <v>0</v>
      </c>
      <c r="CS200" s="539">
        <f t="shared" si="429"/>
        <v>0</v>
      </c>
      <c r="CT200" s="540">
        <f t="shared" si="430"/>
        <v>7000</v>
      </c>
      <c r="CU200" s="540">
        <f t="shared" si="431"/>
        <v>9040</v>
      </c>
      <c r="CV200" s="540">
        <f t="shared" si="432"/>
        <v>11000</v>
      </c>
      <c r="CW200" s="539">
        <f t="shared" si="433"/>
        <v>12000</v>
      </c>
      <c r="CX200" s="539">
        <f t="shared" si="434"/>
        <v>14000</v>
      </c>
      <c r="CY200" s="539">
        <f t="shared" si="435"/>
        <v>17500</v>
      </c>
      <c r="CZ200" s="539">
        <f t="shared" si="436"/>
        <v>22500</v>
      </c>
      <c r="DA200" s="539" t="str">
        <f t="shared" si="437"/>
        <v/>
      </c>
      <c r="DB200" s="538" t="str">
        <f t="shared" si="438"/>
        <v/>
      </c>
      <c r="DC200" s="537" t="str">
        <f t="shared" si="439"/>
        <v/>
      </c>
      <c r="DD200" s="641">
        <f t="shared" si="529"/>
        <v>10</v>
      </c>
      <c r="DE200" s="95">
        <f t="shared" si="530"/>
        <v>10</v>
      </c>
      <c r="DF200" s="95">
        <f t="shared" si="531"/>
        <v>10</v>
      </c>
      <c r="DG200" s="95">
        <f t="shared" si="532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238</v>
      </c>
      <c r="B201" s="609" t="str">
        <f t="shared" ref="B201:K201" si="560">IF(SUM(B52)=0,"",(B178+B191*(B192="")+B195+B198)/B52)</f>
        <v/>
      </c>
      <c r="C201" s="609" t="str">
        <f t="shared" si="560"/>
        <v/>
      </c>
      <c r="D201" s="609" t="str">
        <f t="shared" si="560"/>
        <v/>
      </c>
      <c r="E201" s="609" t="str">
        <f t="shared" si="560"/>
        <v/>
      </c>
      <c r="F201" s="609">
        <f t="shared" si="560"/>
        <v>0</v>
      </c>
      <c r="G201" s="609">
        <f t="shared" si="560"/>
        <v>0</v>
      </c>
      <c r="H201" s="609" t="str">
        <f t="shared" si="560"/>
        <v/>
      </c>
      <c r="I201" s="609" t="str">
        <f t="shared" si="560"/>
        <v/>
      </c>
      <c r="J201" s="609" t="str">
        <f t="shared" si="560"/>
        <v/>
      </c>
      <c r="K201" s="609" t="str">
        <f t="shared" si="560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61">IF(SUM(T52)=0,"",(T178+T191*(T192="")+T195+T198)/T52)</f>
        <v/>
      </c>
      <c r="U201" s="609" t="str">
        <f t="shared" si="561"/>
        <v/>
      </c>
      <c r="V201" s="609">
        <f t="shared" si="561"/>
        <v>0</v>
      </c>
      <c r="W201" s="609" t="str">
        <f t="shared" si="561"/>
        <v/>
      </c>
      <c r="X201" s="609">
        <f t="shared" si="561"/>
        <v>0</v>
      </c>
      <c r="Y201" s="609">
        <f t="shared" si="561"/>
        <v>0</v>
      </c>
      <c r="Z201" s="609">
        <f t="shared" si="561"/>
        <v>0</v>
      </c>
      <c r="AA201" s="609">
        <f t="shared" si="561"/>
        <v>0</v>
      </c>
      <c r="AB201" s="609" t="str">
        <f t="shared" si="561"/>
        <v/>
      </c>
      <c r="AC201" s="609">
        <f t="shared" si="561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2">IF(SUM(AL52)=0,"",(AL178+AL191*(AL192="")+AL195+AL198)/AL52)</f>
        <v>0.15</v>
      </c>
      <c r="AM201" s="609" t="str">
        <f t="shared" si="562"/>
        <v/>
      </c>
      <c r="AN201" s="609">
        <f t="shared" si="562"/>
        <v>0.2</v>
      </c>
      <c r="AO201" s="609">
        <f t="shared" si="562"/>
        <v>0</v>
      </c>
      <c r="AP201" s="609">
        <f t="shared" si="562"/>
        <v>0.22222222222222221</v>
      </c>
      <c r="AQ201" s="609">
        <f t="shared" si="562"/>
        <v>0.125</v>
      </c>
      <c r="AR201" s="609">
        <f t="shared" si="562"/>
        <v>6.6666666666666666E-2</v>
      </c>
      <c r="AS201" s="609">
        <f t="shared" si="562"/>
        <v>0.14285714285714285</v>
      </c>
      <c r="AT201" s="609">
        <f t="shared" si="562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3">IF(SUM(BD52)=0,"",(BD178+BD191*(BD192="")+BD195+BD198)/BD52)</f>
        <v>0.2</v>
      </c>
      <c r="BE201" s="609">
        <f t="shared" si="563"/>
        <v>0.125</v>
      </c>
      <c r="BF201" s="609">
        <f t="shared" si="563"/>
        <v>0.2</v>
      </c>
      <c r="BG201" s="609">
        <f t="shared" si="563"/>
        <v>0.16</v>
      </c>
      <c r="BH201" s="609">
        <f t="shared" si="563"/>
        <v>0.46666666666666667</v>
      </c>
      <c r="BI201" s="609">
        <f t="shared" si="563"/>
        <v>0.1</v>
      </c>
      <c r="BJ201" s="609">
        <f t="shared" si="563"/>
        <v>0.2</v>
      </c>
      <c r="BK201" s="609">
        <f t="shared" si="563"/>
        <v>8.3333333333333329E-2</v>
      </c>
      <c r="BL201" s="609">
        <f t="shared" si="563"/>
        <v>0.23333333333333334</v>
      </c>
      <c r="BM201" s="609">
        <f t="shared" si="563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2"/>
        <v/>
      </c>
      <c r="CA201" s="611">
        <f t="shared" si="453"/>
        <v>0</v>
      </c>
      <c r="CB201" s="611">
        <f t="shared" si="454"/>
        <v>0.12519841269841267</v>
      </c>
      <c r="CC201" s="611">
        <f t="shared" si="455"/>
        <v>0.16479166666666673</v>
      </c>
      <c r="CD201" s="1319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0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0">
        <f t="shared" si="564"/>
        <v>6.6666666666666666E-2</v>
      </c>
      <c r="CG201" s="1320">
        <f t="shared" si="564"/>
        <v>6.6666666666666666E-2</v>
      </c>
      <c r="CH201" s="1321">
        <f t="shared" si="564"/>
        <v>0.125</v>
      </c>
      <c r="CI201" s="1321">
        <f t="shared" si="564"/>
        <v>0.14285714285714285</v>
      </c>
      <c r="CJ201" s="1320">
        <f t="shared" si="564"/>
        <v>0.15</v>
      </c>
      <c r="CK201" s="1320">
        <f t="shared" si="564"/>
        <v>0.2</v>
      </c>
      <c r="CL201" s="1320">
        <f t="shared" si="564"/>
        <v>0.22222222222222221</v>
      </c>
      <c r="CM201" s="1319" t="str">
        <f t="shared" si="564"/>
        <v/>
      </c>
      <c r="CN201" s="526" t="str">
        <f t="shared" si="424"/>
        <v/>
      </c>
      <c r="CO201" s="527" t="str">
        <f t="shared" si="425"/>
        <v/>
      </c>
      <c r="CP201" s="527" t="str">
        <f t="shared" si="426"/>
        <v/>
      </c>
      <c r="CQ201" s="527">
        <f t="shared" si="427"/>
        <v>8.3333333333333329E-2</v>
      </c>
      <c r="CR201" s="527">
        <f t="shared" si="428"/>
        <v>0.1</v>
      </c>
      <c r="CS201" s="527">
        <f t="shared" si="429"/>
        <v>0.1</v>
      </c>
      <c r="CT201" s="528">
        <f t="shared" si="430"/>
        <v>0.125</v>
      </c>
      <c r="CU201" s="528">
        <f t="shared" si="431"/>
        <v>0.16</v>
      </c>
      <c r="CV201" s="528">
        <f t="shared" si="432"/>
        <v>0.2</v>
      </c>
      <c r="CW201" s="527">
        <f t="shared" si="433"/>
        <v>0.2</v>
      </c>
      <c r="CX201" s="527">
        <f t="shared" si="434"/>
        <v>0.2</v>
      </c>
      <c r="CY201" s="527">
        <f t="shared" si="435"/>
        <v>0.23333333333333334</v>
      </c>
      <c r="CZ201" s="527">
        <f t="shared" si="436"/>
        <v>0.46666666666666667</v>
      </c>
      <c r="DA201" s="527" t="str">
        <f t="shared" si="437"/>
        <v/>
      </c>
      <c r="DB201" s="526" t="str">
        <f t="shared" si="438"/>
        <v/>
      </c>
      <c r="DC201" s="525" t="str">
        <f t="shared" si="439"/>
        <v/>
      </c>
      <c r="DD201" s="641">
        <f t="shared" si="529"/>
        <v>2</v>
      </c>
      <c r="DE201" s="95">
        <f t="shared" si="530"/>
        <v>6</v>
      </c>
      <c r="DF201" s="95">
        <f t="shared" si="531"/>
        <v>8</v>
      </c>
      <c r="DG201" s="95">
        <f t="shared" si="532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2"/>
        <v/>
      </c>
      <c r="CA202" s="586" t="str">
        <f t="shared" si="453"/>
        <v/>
      </c>
      <c r="CB202" s="586" t="str">
        <f t="shared" si="454"/>
        <v/>
      </c>
      <c r="CC202" s="586" t="str">
        <f t="shared" si="455"/>
        <v/>
      </c>
      <c r="CD202" s="1316" t="str">
        <f t="shared" si="414"/>
        <v/>
      </c>
      <c r="CE202" s="1317" t="str">
        <f t="shared" si="415"/>
        <v/>
      </c>
      <c r="CF202" s="1317" t="str">
        <f t="shared" si="416"/>
        <v/>
      </c>
      <c r="CG202" s="1317" t="str">
        <f t="shared" si="417"/>
        <v/>
      </c>
      <c r="CH202" s="1318" t="str">
        <f t="shared" si="418"/>
        <v/>
      </c>
      <c r="CI202" s="1318" t="str">
        <f t="shared" si="419"/>
        <v/>
      </c>
      <c r="CJ202" s="1317" t="str">
        <f t="shared" si="420"/>
        <v/>
      </c>
      <c r="CK202" s="1317" t="str">
        <f t="shared" si="421"/>
        <v/>
      </c>
      <c r="CL202" s="1317" t="str">
        <f t="shared" si="422"/>
        <v/>
      </c>
      <c r="CM202" s="1316" t="str">
        <f t="shared" si="423"/>
        <v/>
      </c>
      <c r="CN202" s="538" t="str">
        <f t="shared" si="424"/>
        <v/>
      </c>
      <c r="CO202" s="539" t="str">
        <f t="shared" si="425"/>
        <v/>
      </c>
      <c r="CP202" s="539" t="str">
        <f t="shared" si="426"/>
        <v/>
      </c>
      <c r="CQ202" s="539" t="str">
        <f t="shared" si="427"/>
        <v/>
      </c>
      <c r="CR202" s="539" t="str">
        <f t="shared" si="428"/>
        <v/>
      </c>
      <c r="CS202" s="539" t="str">
        <f t="shared" si="429"/>
        <v/>
      </c>
      <c r="CT202" s="540" t="str">
        <f t="shared" si="430"/>
        <v/>
      </c>
      <c r="CU202" s="540" t="str">
        <f t="shared" si="431"/>
        <v/>
      </c>
      <c r="CV202" s="540" t="str">
        <f t="shared" si="432"/>
        <v/>
      </c>
      <c r="CW202" s="539" t="str">
        <f t="shared" si="433"/>
        <v/>
      </c>
      <c r="CX202" s="539" t="str">
        <f t="shared" si="434"/>
        <v/>
      </c>
      <c r="CY202" s="539" t="str">
        <f t="shared" si="435"/>
        <v/>
      </c>
      <c r="CZ202" s="539" t="str">
        <f t="shared" si="436"/>
        <v/>
      </c>
      <c r="DA202" s="539" t="str">
        <f t="shared" si="437"/>
        <v/>
      </c>
      <c r="DB202" s="538" t="str">
        <f t="shared" si="438"/>
        <v/>
      </c>
      <c r="DC202" s="537" t="str">
        <f t="shared" si="439"/>
        <v/>
      </c>
      <c r="DD202" s="641">
        <f t="shared" si="529"/>
        <v>0</v>
      </c>
      <c r="DE202" s="95">
        <f t="shared" si="530"/>
        <v>0</v>
      </c>
      <c r="DF202" s="95">
        <f t="shared" si="531"/>
        <v>0</v>
      </c>
      <c r="DG202" s="95">
        <f t="shared" si="532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2"/>
        <v/>
      </c>
      <c r="CA203" s="586" t="str">
        <f t="shared" si="453"/>
        <v/>
      </c>
      <c r="CB203" s="586" t="str">
        <f t="shared" si="454"/>
        <v/>
      </c>
      <c r="CC203" s="586" t="str">
        <f t="shared" si="455"/>
        <v/>
      </c>
      <c r="CD203" s="1316" t="str">
        <f t="shared" si="414"/>
        <v/>
      </c>
      <c r="CE203" s="1317" t="str">
        <f t="shared" si="415"/>
        <v/>
      </c>
      <c r="CF203" s="1317" t="str">
        <f t="shared" si="416"/>
        <v/>
      </c>
      <c r="CG203" s="1317" t="str">
        <f t="shared" si="417"/>
        <v/>
      </c>
      <c r="CH203" s="1318" t="str">
        <f t="shared" si="418"/>
        <v/>
      </c>
      <c r="CI203" s="1318" t="str">
        <f t="shared" si="419"/>
        <v/>
      </c>
      <c r="CJ203" s="1317" t="str">
        <f t="shared" si="420"/>
        <v/>
      </c>
      <c r="CK203" s="1317" t="str">
        <f t="shared" si="421"/>
        <v/>
      </c>
      <c r="CL203" s="1317" t="str">
        <f t="shared" si="422"/>
        <v/>
      </c>
      <c r="CM203" s="1316" t="str">
        <f t="shared" si="423"/>
        <v/>
      </c>
      <c r="CN203" s="538" t="str">
        <f t="shared" si="424"/>
        <v/>
      </c>
      <c r="CO203" s="539" t="str">
        <f t="shared" si="425"/>
        <v/>
      </c>
      <c r="CP203" s="539" t="str">
        <f t="shared" si="426"/>
        <v/>
      </c>
      <c r="CQ203" s="539" t="str">
        <f t="shared" si="427"/>
        <v/>
      </c>
      <c r="CR203" s="539" t="str">
        <f t="shared" si="428"/>
        <v/>
      </c>
      <c r="CS203" s="539" t="str">
        <f t="shared" si="429"/>
        <v/>
      </c>
      <c r="CT203" s="540" t="str">
        <f t="shared" si="430"/>
        <v/>
      </c>
      <c r="CU203" s="540" t="str">
        <f t="shared" si="431"/>
        <v/>
      </c>
      <c r="CV203" s="540" t="str">
        <f t="shared" si="432"/>
        <v/>
      </c>
      <c r="CW203" s="539" t="str">
        <f t="shared" si="433"/>
        <v/>
      </c>
      <c r="CX203" s="539" t="str">
        <f t="shared" si="434"/>
        <v/>
      </c>
      <c r="CY203" s="539" t="str">
        <f t="shared" si="435"/>
        <v/>
      </c>
      <c r="CZ203" s="539" t="str">
        <f t="shared" si="436"/>
        <v/>
      </c>
      <c r="DA203" s="539" t="str">
        <f t="shared" si="437"/>
        <v/>
      </c>
      <c r="DB203" s="538" t="str">
        <f t="shared" si="438"/>
        <v/>
      </c>
      <c r="DC203" s="537" t="str">
        <f t="shared" si="439"/>
        <v/>
      </c>
      <c r="DD203" s="641">
        <f t="shared" si="529"/>
        <v>0</v>
      </c>
      <c r="DE203" s="95">
        <f t="shared" si="530"/>
        <v>0</v>
      </c>
      <c r="DF203" s="95">
        <f t="shared" si="531"/>
        <v>0</v>
      </c>
      <c r="DG203" s="95">
        <f t="shared" si="532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183</v>
      </c>
      <c r="B204" s="596" t="str">
        <f t="shared" ref="B204:K204" si="565">IF(B202="","",B202*B203)</f>
        <v/>
      </c>
      <c r="C204" s="596" t="str">
        <f t="shared" si="565"/>
        <v/>
      </c>
      <c r="D204" s="596" t="str">
        <f t="shared" si="565"/>
        <v/>
      </c>
      <c r="E204" s="596" t="str">
        <f t="shared" si="565"/>
        <v/>
      </c>
      <c r="F204" s="596" t="str">
        <f t="shared" si="565"/>
        <v/>
      </c>
      <c r="G204" s="596" t="str">
        <f t="shared" si="565"/>
        <v/>
      </c>
      <c r="H204" s="596" t="str">
        <f t="shared" si="565"/>
        <v/>
      </c>
      <c r="I204" s="596" t="str">
        <f t="shared" si="565"/>
        <v/>
      </c>
      <c r="J204" s="596" t="str">
        <f t="shared" si="565"/>
        <v/>
      </c>
      <c r="K204" s="596" t="str">
        <f t="shared" si="565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6">IF(T202="","",T202*T203)</f>
        <v/>
      </c>
      <c r="U204" s="596" t="str">
        <f t="shared" si="566"/>
        <v/>
      </c>
      <c r="V204" s="596" t="str">
        <f t="shared" si="566"/>
        <v/>
      </c>
      <c r="W204" s="596" t="str">
        <f t="shared" si="566"/>
        <v/>
      </c>
      <c r="X204" s="596" t="str">
        <f t="shared" si="566"/>
        <v/>
      </c>
      <c r="Y204" s="596" t="str">
        <f t="shared" si="566"/>
        <v/>
      </c>
      <c r="Z204" s="596" t="str">
        <f t="shared" si="566"/>
        <v/>
      </c>
      <c r="AA204" s="596" t="str">
        <f t="shared" si="566"/>
        <v/>
      </c>
      <c r="AB204" s="596" t="str">
        <f t="shared" si="566"/>
        <v/>
      </c>
      <c r="AC204" s="596" t="str">
        <f t="shared" si="566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7">IF(AL202="","",AL202*AL203)</f>
        <v/>
      </c>
      <c r="AM204" s="596" t="str">
        <f t="shared" si="567"/>
        <v/>
      </c>
      <c r="AN204" s="596" t="str">
        <f t="shared" si="567"/>
        <v/>
      </c>
      <c r="AO204" s="596" t="str">
        <f t="shared" si="567"/>
        <v/>
      </c>
      <c r="AP204" s="596" t="str">
        <f t="shared" si="567"/>
        <v/>
      </c>
      <c r="AQ204" s="596" t="str">
        <f t="shared" si="567"/>
        <v/>
      </c>
      <c r="AR204" s="596" t="str">
        <f t="shared" si="567"/>
        <v/>
      </c>
      <c r="AS204" s="596" t="str">
        <f t="shared" si="567"/>
        <v/>
      </c>
      <c r="AT204" s="596" t="str">
        <f t="shared" si="567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8">IF(BD202="","",BD202*BD203)</f>
        <v/>
      </c>
      <c r="BE204" s="596" t="str">
        <f t="shared" si="568"/>
        <v/>
      </c>
      <c r="BF204" s="596" t="str">
        <f t="shared" si="568"/>
        <v/>
      </c>
      <c r="BG204" s="596" t="str">
        <f t="shared" si="568"/>
        <v/>
      </c>
      <c r="BH204" s="596" t="str">
        <f t="shared" si="568"/>
        <v/>
      </c>
      <c r="BI204" s="596" t="str">
        <f t="shared" si="568"/>
        <v/>
      </c>
      <c r="BJ204" s="596" t="str">
        <f t="shared" si="568"/>
        <v/>
      </c>
      <c r="BK204" s="596" t="str">
        <f t="shared" si="568"/>
        <v/>
      </c>
      <c r="BL204" s="596" t="str">
        <f t="shared" si="568"/>
        <v/>
      </c>
      <c r="BM204" s="596" t="str">
        <f t="shared" si="568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2"/>
        <v/>
      </c>
      <c r="CA204" s="586" t="str">
        <f t="shared" si="453"/>
        <v/>
      </c>
      <c r="CB204" s="586" t="str">
        <f t="shared" si="454"/>
        <v/>
      </c>
      <c r="CC204" s="586" t="str">
        <f t="shared" si="455"/>
        <v/>
      </c>
      <c r="CD204" s="1316" t="str">
        <f t="shared" si="414"/>
        <v/>
      </c>
      <c r="CE204" s="1317" t="str">
        <f t="shared" si="415"/>
        <v/>
      </c>
      <c r="CF204" s="1317" t="str">
        <f t="shared" si="416"/>
        <v/>
      </c>
      <c r="CG204" s="1317" t="str">
        <f t="shared" si="417"/>
        <v/>
      </c>
      <c r="CH204" s="1318" t="str">
        <f t="shared" si="418"/>
        <v/>
      </c>
      <c r="CI204" s="1318" t="str">
        <f t="shared" si="419"/>
        <v/>
      </c>
      <c r="CJ204" s="1317" t="str">
        <f t="shared" si="420"/>
        <v/>
      </c>
      <c r="CK204" s="1317" t="str">
        <f t="shared" si="421"/>
        <v/>
      </c>
      <c r="CL204" s="1317" t="str">
        <f t="shared" si="422"/>
        <v/>
      </c>
      <c r="CM204" s="1316" t="str">
        <f t="shared" si="423"/>
        <v/>
      </c>
      <c r="CN204" s="538" t="str">
        <f t="shared" si="424"/>
        <v/>
      </c>
      <c r="CO204" s="539" t="str">
        <f t="shared" si="425"/>
        <v/>
      </c>
      <c r="CP204" s="539" t="str">
        <f t="shared" si="426"/>
        <v/>
      </c>
      <c r="CQ204" s="539" t="str">
        <f t="shared" si="427"/>
        <v/>
      </c>
      <c r="CR204" s="539" t="str">
        <f t="shared" si="428"/>
        <v/>
      </c>
      <c r="CS204" s="539" t="str">
        <f t="shared" si="429"/>
        <v/>
      </c>
      <c r="CT204" s="540" t="str">
        <f t="shared" si="430"/>
        <v/>
      </c>
      <c r="CU204" s="540" t="str">
        <f t="shared" si="431"/>
        <v/>
      </c>
      <c r="CV204" s="540" t="str">
        <f t="shared" si="432"/>
        <v/>
      </c>
      <c r="CW204" s="539" t="str">
        <f t="shared" si="433"/>
        <v/>
      </c>
      <c r="CX204" s="539" t="str">
        <f t="shared" si="434"/>
        <v/>
      </c>
      <c r="CY204" s="539" t="str">
        <f t="shared" si="435"/>
        <v/>
      </c>
      <c r="CZ204" s="539" t="str">
        <f t="shared" si="436"/>
        <v/>
      </c>
      <c r="DA204" s="539" t="str">
        <f t="shared" si="437"/>
        <v/>
      </c>
      <c r="DB204" s="538" t="str">
        <f t="shared" si="438"/>
        <v/>
      </c>
      <c r="DC204" s="537" t="str">
        <f t="shared" si="439"/>
        <v/>
      </c>
      <c r="DD204" s="641">
        <f t="shared" si="529"/>
        <v>0</v>
      </c>
      <c r="DE204" s="95">
        <f t="shared" si="530"/>
        <v>0</v>
      </c>
      <c r="DF204" s="95">
        <f t="shared" si="531"/>
        <v>0</v>
      </c>
      <c r="DG204" s="95">
        <f t="shared" si="532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240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2"/>
        <v>0</v>
      </c>
      <c r="CA205" s="586">
        <f t="shared" si="453"/>
        <v>0</v>
      </c>
      <c r="CB205" s="586">
        <f t="shared" si="454"/>
        <v>0.625</v>
      </c>
      <c r="CC205" s="586">
        <f t="shared" si="455"/>
        <v>2.25</v>
      </c>
      <c r="CD205" s="1316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7">
        <f t="shared" si="569"/>
        <v>0</v>
      </c>
      <c r="CF205" s="1317">
        <f t="shared" si="569"/>
        <v>0</v>
      </c>
      <c r="CG205" s="1317">
        <f t="shared" si="569"/>
        <v>0</v>
      </c>
      <c r="CH205" s="1318">
        <f t="shared" si="569"/>
        <v>0</v>
      </c>
      <c r="CI205" s="1318">
        <f t="shared" si="569"/>
        <v>0</v>
      </c>
      <c r="CJ205" s="1317">
        <f t="shared" si="569"/>
        <v>1</v>
      </c>
      <c r="CK205" s="1317">
        <f t="shared" si="569"/>
        <v>2</v>
      </c>
      <c r="CL205" s="1317">
        <f t="shared" si="569"/>
        <v>2</v>
      </c>
      <c r="CM205" s="1316">
        <f t="shared" si="569"/>
        <v>4</v>
      </c>
      <c r="CN205" s="538" t="str">
        <f t="shared" si="424"/>
        <v/>
      </c>
      <c r="CO205" s="539" t="str">
        <f t="shared" si="425"/>
        <v/>
      </c>
      <c r="CP205" s="539" t="str">
        <f t="shared" si="426"/>
        <v/>
      </c>
      <c r="CQ205" s="539">
        <f t="shared" si="427"/>
        <v>0</v>
      </c>
      <c r="CR205" s="539">
        <f t="shared" si="428"/>
        <v>0</v>
      </c>
      <c r="CS205" s="539">
        <f t="shared" si="429"/>
        <v>1</v>
      </c>
      <c r="CT205" s="540">
        <f t="shared" si="430"/>
        <v>1</v>
      </c>
      <c r="CU205" s="540">
        <f t="shared" si="431"/>
        <v>2</v>
      </c>
      <c r="CV205" s="540">
        <f t="shared" si="432"/>
        <v>2</v>
      </c>
      <c r="CW205" s="539">
        <f t="shared" si="433"/>
        <v>3</v>
      </c>
      <c r="CX205" s="539">
        <f t="shared" si="434"/>
        <v>3</v>
      </c>
      <c r="CY205" s="539">
        <f t="shared" si="435"/>
        <v>6</v>
      </c>
      <c r="CZ205" s="539">
        <f t="shared" si="436"/>
        <v>8</v>
      </c>
      <c r="DA205" s="539" t="str">
        <f t="shared" si="437"/>
        <v/>
      </c>
      <c r="DB205" s="538" t="str">
        <f t="shared" si="438"/>
        <v/>
      </c>
      <c r="DC205" s="537" t="str">
        <f t="shared" si="439"/>
        <v/>
      </c>
      <c r="DD205" s="641">
        <f t="shared" si="529"/>
        <v>10</v>
      </c>
      <c r="DE205" s="95">
        <f t="shared" si="530"/>
        <v>10</v>
      </c>
      <c r="DF205" s="95">
        <f t="shared" si="531"/>
        <v>10</v>
      </c>
      <c r="DG205" s="95">
        <f t="shared" si="532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181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2"/>
        <v/>
      </c>
      <c r="CA206" s="586" t="str">
        <f t="shared" si="453"/>
        <v/>
      </c>
      <c r="CB206" s="586" t="str">
        <f t="shared" si="454"/>
        <v/>
      </c>
      <c r="CC206" s="586">
        <f t="shared" si="455"/>
        <v>1008.3333333333334</v>
      </c>
      <c r="CD206" s="1316" t="str">
        <f t="shared" si="569"/>
        <v/>
      </c>
      <c r="CE206" s="1317" t="str">
        <f t="shared" si="569"/>
        <v/>
      </c>
      <c r="CF206" s="1317" t="str">
        <f t="shared" si="569"/>
        <v/>
      </c>
      <c r="CG206" s="1317" t="str">
        <f t="shared" si="569"/>
        <v/>
      </c>
      <c r="CH206" s="1318" t="str">
        <f t="shared" si="569"/>
        <v/>
      </c>
      <c r="CI206" s="1318" t="str">
        <f t="shared" si="569"/>
        <v/>
      </c>
      <c r="CJ206" s="1317" t="str">
        <f t="shared" si="569"/>
        <v/>
      </c>
      <c r="CK206" s="1317" t="str">
        <f t="shared" si="569"/>
        <v/>
      </c>
      <c r="CL206" s="1317" t="str">
        <f t="shared" si="569"/>
        <v/>
      </c>
      <c r="CM206" s="1316" t="str">
        <f t="shared" si="569"/>
        <v/>
      </c>
      <c r="CN206" s="538" t="str">
        <f t="shared" si="424"/>
        <v/>
      </c>
      <c r="CO206" s="539" t="str">
        <f t="shared" si="425"/>
        <v/>
      </c>
      <c r="CP206" s="539" t="str">
        <f t="shared" si="426"/>
        <v/>
      </c>
      <c r="CQ206" s="539" t="str">
        <f t="shared" si="427"/>
        <v/>
      </c>
      <c r="CR206" s="539">
        <f t="shared" si="428"/>
        <v>950</v>
      </c>
      <c r="CS206" s="539">
        <f t="shared" si="429"/>
        <v>1000</v>
      </c>
      <c r="CT206" s="540">
        <f t="shared" si="430"/>
        <v>1000</v>
      </c>
      <c r="CU206" s="540">
        <f t="shared" si="431"/>
        <v>1000</v>
      </c>
      <c r="CV206" s="540">
        <f t="shared" si="432"/>
        <v>1000</v>
      </c>
      <c r="CW206" s="539">
        <f t="shared" si="433"/>
        <v>1000</v>
      </c>
      <c r="CX206" s="539">
        <f t="shared" si="434"/>
        <v>1050</v>
      </c>
      <c r="CY206" s="539">
        <f t="shared" si="435"/>
        <v>1200</v>
      </c>
      <c r="CZ206" s="539" t="str">
        <f t="shared" si="436"/>
        <v/>
      </c>
      <c r="DA206" s="539" t="str">
        <f t="shared" si="437"/>
        <v/>
      </c>
      <c r="DB206" s="538" t="str">
        <f t="shared" si="438"/>
        <v/>
      </c>
      <c r="DC206" s="537" t="str">
        <f t="shared" si="439"/>
        <v/>
      </c>
      <c r="DD206" s="641">
        <f t="shared" si="529"/>
        <v>0</v>
      </c>
      <c r="DE206" s="95">
        <f t="shared" si="530"/>
        <v>0</v>
      </c>
      <c r="DF206" s="95">
        <f t="shared" si="531"/>
        <v>0</v>
      </c>
      <c r="DG206" s="95">
        <f t="shared" si="532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183</v>
      </c>
      <c r="B207" s="667">
        <f t="shared" ref="B207:K207" si="570">IF(B205="","",B205*B206)</f>
        <v>0</v>
      </c>
      <c r="C207" s="668">
        <f t="shared" si="570"/>
        <v>0</v>
      </c>
      <c r="D207" s="668">
        <f t="shared" si="570"/>
        <v>0</v>
      </c>
      <c r="E207" s="668">
        <f t="shared" si="570"/>
        <v>0</v>
      </c>
      <c r="F207" s="668">
        <f t="shared" si="570"/>
        <v>0</v>
      </c>
      <c r="G207" s="668">
        <f t="shared" si="570"/>
        <v>0</v>
      </c>
      <c r="H207" s="668">
        <f t="shared" si="570"/>
        <v>0</v>
      </c>
      <c r="I207" s="668">
        <f t="shared" si="570"/>
        <v>0</v>
      </c>
      <c r="J207" s="668">
        <f t="shared" si="570"/>
        <v>0</v>
      </c>
      <c r="K207" s="668">
        <f t="shared" si="570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71">IF(T205="","",T205*T206)</f>
        <v>0</v>
      </c>
      <c r="U207" s="668">
        <f t="shared" si="571"/>
        <v>0</v>
      </c>
      <c r="V207" s="668">
        <f t="shared" si="571"/>
        <v>0</v>
      </c>
      <c r="W207" s="668">
        <f t="shared" si="571"/>
        <v>0</v>
      </c>
      <c r="X207" s="668">
        <f t="shared" si="571"/>
        <v>0</v>
      </c>
      <c r="Y207" s="668">
        <f t="shared" si="571"/>
        <v>0</v>
      </c>
      <c r="Z207" s="668">
        <f t="shared" si="571"/>
        <v>0</v>
      </c>
      <c r="AA207" s="668">
        <f t="shared" si="571"/>
        <v>0</v>
      </c>
      <c r="AB207" s="668">
        <f t="shared" si="571"/>
        <v>0</v>
      </c>
      <c r="AC207" s="668">
        <f t="shared" si="571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2">IF(AL205="","",AL205*AL206)</f>
        <v>0</v>
      </c>
      <c r="AM207" s="668">
        <f t="shared" si="572"/>
        <v>0</v>
      </c>
      <c r="AN207" s="668">
        <f t="shared" si="572"/>
        <v>0</v>
      </c>
      <c r="AO207" s="668">
        <f t="shared" si="572"/>
        <v>0</v>
      </c>
      <c r="AP207" s="668">
        <f t="shared" si="572"/>
        <v>0</v>
      </c>
      <c r="AQ207" s="668">
        <f t="shared" si="572"/>
        <v>0</v>
      </c>
      <c r="AR207" s="668">
        <f t="shared" si="572"/>
        <v>0</v>
      </c>
      <c r="AS207" s="668">
        <f t="shared" si="572"/>
        <v>0</v>
      </c>
      <c r="AT207" s="668">
        <f t="shared" si="572"/>
        <v>0</v>
      </c>
      <c r="AU207" s="668">
        <f t="shared" si="572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3">IF(BD205="","",BD205*BD206)</f>
        <v>2000</v>
      </c>
      <c r="BE207" s="668">
        <f t="shared" si="573"/>
        <v>1000</v>
      </c>
      <c r="BF207" s="668">
        <f t="shared" si="573"/>
        <v>8400</v>
      </c>
      <c r="BG207" s="668">
        <f t="shared" si="573"/>
        <v>1000</v>
      </c>
      <c r="BH207" s="668">
        <f t="shared" si="573"/>
        <v>3600</v>
      </c>
      <c r="BI207" s="668">
        <f t="shared" si="573"/>
        <v>5700</v>
      </c>
      <c r="BJ207" s="668">
        <f t="shared" si="573"/>
        <v>3000</v>
      </c>
      <c r="BK207" s="668">
        <f t="shared" si="573"/>
        <v>0</v>
      </c>
      <c r="BL207" s="668">
        <f t="shared" si="573"/>
        <v>2000</v>
      </c>
      <c r="BM207" s="668">
        <f t="shared" si="573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2"/>
        <v>0</v>
      </c>
      <c r="CA207" s="586">
        <f t="shared" si="453"/>
        <v>0</v>
      </c>
      <c r="CB207" s="586">
        <f t="shared" si="454"/>
        <v>0</v>
      </c>
      <c r="CC207" s="586">
        <f t="shared" si="455"/>
        <v>2287.5</v>
      </c>
      <c r="CD207" s="1316">
        <f t="shared" si="569"/>
        <v>0</v>
      </c>
      <c r="CE207" s="1317">
        <f t="shared" si="569"/>
        <v>0</v>
      </c>
      <c r="CF207" s="1317">
        <f t="shared" si="569"/>
        <v>0</v>
      </c>
      <c r="CG207" s="1317">
        <f t="shared" si="569"/>
        <v>0</v>
      </c>
      <c r="CH207" s="1318">
        <f t="shared" si="569"/>
        <v>0</v>
      </c>
      <c r="CI207" s="1318">
        <f t="shared" si="569"/>
        <v>0</v>
      </c>
      <c r="CJ207" s="1317">
        <f t="shared" si="569"/>
        <v>0</v>
      </c>
      <c r="CK207" s="1317">
        <f t="shared" si="569"/>
        <v>0</v>
      </c>
      <c r="CL207" s="1317">
        <f t="shared" si="569"/>
        <v>0</v>
      </c>
      <c r="CM207" s="1316">
        <f t="shared" si="569"/>
        <v>0</v>
      </c>
      <c r="CN207" s="538" t="str">
        <f t="shared" si="424"/>
        <v/>
      </c>
      <c r="CO207" s="539" t="str">
        <f t="shared" si="425"/>
        <v/>
      </c>
      <c r="CP207" s="539" t="str">
        <f t="shared" si="426"/>
        <v/>
      </c>
      <c r="CQ207" s="539">
        <f t="shared" si="427"/>
        <v>0</v>
      </c>
      <c r="CR207" s="539">
        <f t="shared" si="428"/>
        <v>0</v>
      </c>
      <c r="CS207" s="539">
        <f t="shared" si="429"/>
        <v>1000</v>
      </c>
      <c r="CT207" s="540">
        <f t="shared" si="430"/>
        <v>1000</v>
      </c>
      <c r="CU207" s="540">
        <f t="shared" si="431"/>
        <v>2000</v>
      </c>
      <c r="CV207" s="540">
        <f t="shared" si="432"/>
        <v>2000</v>
      </c>
      <c r="CW207" s="539">
        <f t="shared" si="433"/>
        <v>3000</v>
      </c>
      <c r="CX207" s="539">
        <f t="shared" si="434"/>
        <v>3600</v>
      </c>
      <c r="CY207" s="539">
        <f t="shared" si="435"/>
        <v>5700</v>
      </c>
      <c r="CZ207" s="539">
        <f t="shared" si="436"/>
        <v>8400</v>
      </c>
      <c r="DA207" s="539" t="str">
        <f t="shared" si="437"/>
        <v/>
      </c>
      <c r="DB207" s="538" t="str">
        <f t="shared" si="438"/>
        <v/>
      </c>
      <c r="DC207" s="537" t="str">
        <f t="shared" si="439"/>
        <v/>
      </c>
      <c r="DD207" s="641">
        <f t="shared" si="529"/>
        <v>10</v>
      </c>
      <c r="DE207" s="95">
        <f t="shared" si="530"/>
        <v>10</v>
      </c>
      <c r="DF207" s="95">
        <f t="shared" si="531"/>
        <v>10</v>
      </c>
      <c r="DG207" s="95">
        <f t="shared" si="532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2"/>
        <v/>
      </c>
      <c r="CA208" s="586" t="str">
        <f t="shared" si="453"/>
        <v/>
      </c>
      <c r="CB208" s="586" t="str">
        <f t="shared" si="454"/>
        <v/>
      </c>
      <c r="CC208" s="586">
        <f t="shared" si="455"/>
        <v>0</v>
      </c>
      <c r="CD208" s="1316" t="str">
        <f t="shared" si="569"/>
        <v/>
      </c>
      <c r="CE208" s="1317" t="str">
        <f t="shared" si="569"/>
        <v/>
      </c>
      <c r="CF208" s="1317" t="str">
        <f t="shared" si="569"/>
        <v/>
      </c>
      <c r="CG208" s="1317" t="str">
        <f t="shared" si="569"/>
        <v/>
      </c>
      <c r="CH208" s="1318" t="str">
        <f t="shared" si="569"/>
        <v/>
      </c>
      <c r="CI208" s="1318" t="str">
        <f t="shared" si="569"/>
        <v/>
      </c>
      <c r="CJ208" s="1317" t="str">
        <f t="shared" si="569"/>
        <v/>
      </c>
      <c r="CK208" s="1317" t="str">
        <f t="shared" si="569"/>
        <v/>
      </c>
      <c r="CL208" s="1317" t="str">
        <f t="shared" si="569"/>
        <v/>
      </c>
      <c r="CM208" s="1316" t="str">
        <f t="shared" si="569"/>
        <v/>
      </c>
      <c r="CN208" s="538" t="str">
        <f t="shared" si="424"/>
        <v/>
      </c>
      <c r="CO208" s="539" t="str">
        <f t="shared" si="425"/>
        <v/>
      </c>
      <c r="CP208" s="539" t="str">
        <f t="shared" si="426"/>
        <v/>
      </c>
      <c r="CQ208" s="539" t="str">
        <f t="shared" si="427"/>
        <v/>
      </c>
      <c r="CR208" s="539" t="str">
        <f t="shared" si="428"/>
        <v/>
      </c>
      <c r="CS208" s="539" t="str">
        <f t="shared" si="429"/>
        <v/>
      </c>
      <c r="CT208" s="540">
        <f t="shared" si="430"/>
        <v>0</v>
      </c>
      <c r="CU208" s="540">
        <f t="shared" si="431"/>
        <v>0</v>
      </c>
      <c r="CV208" s="540">
        <f t="shared" si="432"/>
        <v>0</v>
      </c>
      <c r="CW208" s="539">
        <f t="shared" si="433"/>
        <v>0</v>
      </c>
      <c r="CX208" s="539" t="str">
        <f t="shared" si="434"/>
        <v/>
      </c>
      <c r="CY208" s="539" t="str">
        <f t="shared" si="435"/>
        <v/>
      </c>
      <c r="CZ208" s="539" t="str">
        <f t="shared" si="436"/>
        <v/>
      </c>
      <c r="DA208" s="539" t="str">
        <f t="shared" si="437"/>
        <v/>
      </c>
      <c r="DB208" s="538" t="str">
        <f t="shared" si="438"/>
        <v/>
      </c>
      <c r="DC208" s="537" t="str">
        <f t="shared" si="439"/>
        <v/>
      </c>
      <c r="DD208" s="641">
        <f t="shared" si="529"/>
        <v>0</v>
      </c>
      <c r="DE208" s="95">
        <f t="shared" si="530"/>
        <v>0</v>
      </c>
      <c r="DF208" s="95">
        <f t="shared" si="531"/>
        <v>0</v>
      </c>
      <c r="DG208" s="95">
        <f t="shared" si="532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2"/>
        <v/>
      </c>
      <c r="CA209" s="586" t="str">
        <f t="shared" si="453"/>
        <v/>
      </c>
      <c r="CB209" s="586" t="str">
        <f t="shared" si="454"/>
        <v/>
      </c>
      <c r="CC209" s="586" t="str">
        <f t="shared" si="455"/>
        <v/>
      </c>
      <c r="CD209" s="1316" t="str">
        <f t="shared" si="569"/>
        <v/>
      </c>
      <c r="CE209" s="1317" t="str">
        <f t="shared" si="569"/>
        <v/>
      </c>
      <c r="CF209" s="1317" t="str">
        <f t="shared" si="569"/>
        <v/>
      </c>
      <c r="CG209" s="1317" t="str">
        <f t="shared" si="569"/>
        <v/>
      </c>
      <c r="CH209" s="1318" t="str">
        <f t="shared" si="569"/>
        <v/>
      </c>
      <c r="CI209" s="1318" t="str">
        <f t="shared" si="569"/>
        <v/>
      </c>
      <c r="CJ209" s="1317" t="str">
        <f t="shared" si="569"/>
        <v/>
      </c>
      <c r="CK209" s="1317" t="str">
        <f t="shared" si="569"/>
        <v/>
      </c>
      <c r="CL209" s="1317" t="str">
        <f t="shared" si="569"/>
        <v/>
      </c>
      <c r="CM209" s="1316" t="str">
        <f t="shared" si="569"/>
        <v/>
      </c>
      <c r="CN209" s="538" t="str">
        <f t="shared" si="424"/>
        <v/>
      </c>
      <c r="CO209" s="539" t="str">
        <f t="shared" si="425"/>
        <v/>
      </c>
      <c r="CP209" s="539" t="str">
        <f t="shared" si="426"/>
        <v/>
      </c>
      <c r="CQ209" s="539" t="str">
        <f t="shared" si="427"/>
        <v/>
      </c>
      <c r="CR209" s="539" t="str">
        <f t="shared" si="428"/>
        <v/>
      </c>
      <c r="CS209" s="539" t="str">
        <f t="shared" si="429"/>
        <v/>
      </c>
      <c r="CT209" s="540" t="str">
        <f t="shared" si="430"/>
        <v/>
      </c>
      <c r="CU209" s="540" t="str">
        <f t="shared" si="431"/>
        <v/>
      </c>
      <c r="CV209" s="540" t="str">
        <f t="shared" si="432"/>
        <v/>
      </c>
      <c r="CW209" s="539" t="str">
        <f t="shared" si="433"/>
        <v/>
      </c>
      <c r="CX209" s="539" t="str">
        <f t="shared" si="434"/>
        <v/>
      </c>
      <c r="CY209" s="539" t="str">
        <f t="shared" si="435"/>
        <v/>
      </c>
      <c r="CZ209" s="539" t="str">
        <f t="shared" si="436"/>
        <v/>
      </c>
      <c r="DA209" s="539" t="str">
        <f t="shared" si="437"/>
        <v/>
      </c>
      <c r="DB209" s="538" t="str">
        <f t="shared" si="438"/>
        <v/>
      </c>
      <c r="DC209" s="537" t="str">
        <f t="shared" si="439"/>
        <v/>
      </c>
      <c r="DD209" s="641">
        <f t="shared" si="529"/>
        <v>0</v>
      </c>
      <c r="DE209" s="95">
        <f t="shared" si="530"/>
        <v>0</v>
      </c>
      <c r="DF209" s="95">
        <f t="shared" si="531"/>
        <v>0</v>
      </c>
      <c r="DG209" s="95">
        <f t="shared" si="532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183</v>
      </c>
      <c r="B210" s="596" t="str">
        <f t="shared" ref="B210:K210" si="574">IF(B208="","",B208*B209)</f>
        <v/>
      </c>
      <c r="C210" s="596" t="str">
        <f t="shared" si="574"/>
        <v/>
      </c>
      <c r="D210" s="596" t="str">
        <f t="shared" si="574"/>
        <v/>
      </c>
      <c r="E210" s="596" t="str">
        <f t="shared" si="574"/>
        <v/>
      </c>
      <c r="F210" s="596" t="str">
        <f t="shared" si="574"/>
        <v/>
      </c>
      <c r="G210" s="596" t="str">
        <f t="shared" si="574"/>
        <v/>
      </c>
      <c r="H210" s="596" t="str">
        <f t="shared" si="574"/>
        <v/>
      </c>
      <c r="I210" s="596" t="str">
        <f t="shared" si="574"/>
        <v/>
      </c>
      <c r="J210" s="596" t="str">
        <f t="shared" si="574"/>
        <v/>
      </c>
      <c r="K210" s="596" t="str">
        <f t="shared" si="574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5">IF(T208="","",T208*T209)</f>
        <v/>
      </c>
      <c r="U210" s="596" t="str">
        <f t="shared" si="575"/>
        <v/>
      </c>
      <c r="V210" s="596" t="str">
        <f t="shared" si="575"/>
        <v/>
      </c>
      <c r="W210" s="596" t="str">
        <f t="shared" si="575"/>
        <v/>
      </c>
      <c r="X210" s="596" t="str">
        <f t="shared" si="575"/>
        <v/>
      </c>
      <c r="Y210" s="596" t="str">
        <f t="shared" si="575"/>
        <v/>
      </c>
      <c r="Z210" s="596" t="str">
        <f t="shared" si="575"/>
        <v/>
      </c>
      <c r="AA210" s="596" t="str">
        <f t="shared" si="575"/>
        <v/>
      </c>
      <c r="AB210" s="596" t="str">
        <f t="shared" si="575"/>
        <v/>
      </c>
      <c r="AC210" s="596" t="str">
        <f t="shared" si="575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6">IF(AL208="","",AL208*AL209)</f>
        <v/>
      </c>
      <c r="AM210" s="596" t="str">
        <f t="shared" si="576"/>
        <v/>
      </c>
      <c r="AN210" s="596" t="str">
        <f t="shared" si="576"/>
        <v/>
      </c>
      <c r="AO210" s="596" t="str">
        <f t="shared" si="576"/>
        <v/>
      </c>
      <c r="AP210" s="596" t="str">
        <f t="shared" si="576"/>
        <v/>
      </c>
      <c r="AQ210" s="596" t="str">
        <f t="shared" si="576"/>
        <v/>
      </c>
      <c r="AR210" s="596" t="str">
        <f t="shared" si="576"/>
        <v/>
      </c>
      <c r="AS210" s="596" t="str">
        <f t="shared" si="576"/>
        <v/>
      </c>
      <c r="AT210" s="596" t="str">
        <f t="shared" si="576"/>
        <v/>
      </c>
      <c r="AU210" s="596" t="str">
        <f t="shared" si="576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7">IF(BD208="","",BD208*BD209)</f>
        <v/>
      </c>
      <c r="BE210" s="596">
        <f t="shared" si="577"/>
        <v>0</v>
      </c>
      <c r="BF210" s="596">
        <f t="shared" si="577"/>
        <v>0</v>
      </c>
      <c r="BG210" s="596">
        <f t="shared" si="577"/>
        <v>0</v>
      </c>
      <c r="BH210" s="596">
        <f t="shared" si="577"/>
        <v>0</v>
      </c>
      <c r="BI210" s="596" t="str">
        <f t="shared" si="577"/>
        <v/>
      </c>
      <c r="BJ210" s="596" t="str">
        <f t="shared" si="577"/>
        <v/>
      </c>
      <c r="BK210" s="596" t="str">
        <f t="shared" si="577"/>
        <v/>
      </c>
      <c r="BL210" s="596" t="str">
        <f t="shared" si="577"/>
        <v/>
      </c>
      <c r="BM210" s="596" t="str">
        <f t="shared" si="577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2"/>
        <v/>
      </c>
      <c r="CA210" s="586" t="str">
        <f t="shared" si="453"/>
        <v/>
      </c>
      <c r="CB210" s="586" t="str">
        <f t="shared" si="454"/>
        <v/>
      </c>
      <c r="CC210" s="586">
        <f t="shared" si="455"/>
        <v>0</v>
      </c>
      <c r="CD210" s="1316" t="str">
        <f t="shared" si="569"/>
        <v/>
      </c>
      <c r="CE210" s="1317" t="str">
        <f t="shared" si="569"/>
        <v/>
      </c>
      <c r="CF210" s="1317" t="str">
        <f t="shared" si="569"/>
        <v/>
      </c>
      <c r="CG210" s="1317" t="str">
        <f t="shared" si="569"/>
        <v/>
      </c>
      <c r="CH210" s="1318" t="str">
        <f t="shared" si="569"/>
        <v/>
      </c>
      <c r="CI210" s="1318" t="str">
        <f t="shared" si="569"/>
        <v/>
      </c>
      <c r="CJ210" s="1317" t="str">
        <f t="shared" si="569"/>
        <v/>
      </c>
      <c r="CK210" s="1317" t="str">
        <f t="shared" si="569"/>
        <v/>
      </c>
      <c r="CL210" s="1317" t="str">
        <f t="shared" si="569"/>
        <v/>
      </c>
      <c r="CM210" s="1316" t="str">
        <f t="shared" si="569"/>
        <v/>
      </c>
      <c r="CN210" s="538" t="str">
        <f t="shared" si="424"/>
        <v/>
      </c>
      <c r="CO210" s="539" t="str">
        <f t="shared" si="425"/>
        <v/>
      </c>
      <c r="CP210" s="539" t="str">
        <f t="shared" si="426"/>
        <v/>
      </c>
      <c r="CQ210" s="539" t="str">
        <f t="shared" si="427"/>
        <v/>
      </c>
      <c r="CR210" s="539" t="str">
        <f t="shared" si="428"/>
        <v/>
      </c>
      <c r="CS210" s="539" t="str">
        <f t="shared" si="429"/>
        <v/>
      </c>
      <c r="CT210" s="540">
        <f t="shared" si="430"/>
        <v>0</v>
      </c>
      <c r="CU210" s="540">
        <f t="shared" si="431"/>
        <v>0</v>
      </c>
      <c r="CV210" s="540">
        <f t="shared" si="432"/>
        <v>0</v>
      </c>
      <c r="CW210" s="539">
        <f t="shared" si="433"/>
        <v>0</v>
      </c>
      <c r="CX210" s="539" t="str">
        <f t="shared" si="434"/>
        <v/>
      </c>
      <c r="CY210" s="539" t="str">
        <f t="shared" si="435"/>
        <v/>
      </c>
      <c r="CZ210" s="539" t="str">
        <f t="shared" si="436"/>
        <v/>
      </c>
      <c r="DA210" s="539" t="str">
        <f t="shared" si="437"/>
        <v/>
      </c>
      <c r="DB210" s="538" t="str">
        <f t="shared" si="438"/>
        <v/>
      </c>
      <c r="DC210" s="537" t="str">
        <f t="shared" si="439"/>
        <v/>
      </c>
      <c r="DD210" s="641">
        <f t="shared" si="529"/>
        <v>0</v>
      </c>
      <c r="DE210" s="95">
        <f t="shared" si="530"/>
        <v>0</v>
      </c>
      <c r="DF210" s="95">
        <f t="shared" si="531"/>
        <v>0</v>
      </c>
      <c r="DG210" s="95">
        <f t="shared" si="532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242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2"/>
        <v>0</v>
      </c>
      <c r="CA211" s="586">
        <f t="shared" si="453"/>
        <v>0</v>
      </c>
      <c r="CB211" s="586">
        <f t="shared" si="454"/>
        <v>0</v>
      </c>
      <c r="CC211" s="586">
        <f t="shared" si="455"/>
        <v>0.25</v>
      </c>
      <c r="CD211" s="1316">
        <f t="shared" si="569"/>
        <v>0</v>
      </c>
      <c r="CE211" s="1317">
        <f t="shared" si="569"/>
        <v>0</v>
      </c>
      <c r="CF211" s="1317">
        <f t="shared" si="569"/>
        <v>0</v>
      </c>
      <c r="CG211" s="1317">
        <f t="shared" si="569"/>
        <v>0</v>
      </c>
      <c r="CH211" s="1318">
        <f t="shared" si="569"/>
        <v>0</v>
      </c>
      <c r="CI211" s="1318">
        <f t="shared" si="569"/>
        <v>0</v>
      </c>
      <c r="CJ211" s="1317">
        <f t="shared" si="569"/>
        <v>0</v>
      </c>
      <c r="CK211" s="1317">
        <f t="shared" si="569"/>
        <v>0</v>
      </c>
      <c r="CL211" s="1317">
        <f t="shared" si="569"/>
        <v>0</v>
      </c>
      <c r="CM211" s="1316">
        <f t="shared" si="569"/>
        <v>0</v>
      </c>
      <c r="CN211" s="538" t="str">
        <f t="shared" si="424"/>
        <v/>
      </c>
      <c r="CO211" s="539" t="str">
        <f t="shared" si="425"/>
        <v/>
      </c>
      <c r="CP211" s="539" t="str">
        <f t="shared" si="426"/>
        <v/>
      </c>
      <c r="CQ211" s="539">
        <f t="shared" si="427"/>
        <v>0</v>
      </c>
      <c r="CR211" s="539">
        <f t="shared" si="428"/>
        <v>0</v>
      </c>
      <c r="CS211" s="539">
        <f t="shared" si="429"/>
        <v>0</v>
      </c>
      <c r="CT211" s="540">
        <f t="shared" si="430"/>
        <v>0</v>
      </c>
      <c r="CU211" s="540">
        <f t="shared" si="431"/>
        <v>0</v>
      </c>
      <c r="CV211" s="540">
        <f t="shared" si="432"/>
        <v>0</v>
      </c>
      <c r="CW211" s="539">
        <f t="shared" si="433"/>
        <v>0</v>
      </c>
      <c r="CX211" s="539">
        <f t="shared" si="434"/>
        <v>0</v>
      </c>
      <c r="CY211" s="539">
        <f t="shared" si="435"/>
        <v>2</v>
      </c>
      <c r="CZ211" s="539">
        <f t="shared" si="436"/>
        <v>7</v>
      </c>
      <c r="DA211" s="539" t="str">
        <f t="shared" si="437"/>
        <v/>
      </c>
      <c r="DB211" s="538" t="str">
        <f t="shared" si="438"/>
        <v/>
      </c>
      <c r="DC211" s="537" t="str">
        <f t="shared" si="439"/>
        <v/>
      </c>
      <c r="DD211" s="641">
        <f t="shared" si="529"/>
        <v>10</v>
      </c>
      <c r="DE211" s="95">
        <f t="shared" si="530"/>
        <v>10</v>
      </c>
      <c r="DF211" s="95">
        <f t="shared" si="531"/>
        <v>10</v>
      </c>
      <c r="DG211" s="95">
        <f t="shared" si="532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181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2"/>
        <v/>
      </c>
      <c r="CA212" s="586" t="str">
        <f t="shared" si="453"/>
        <v/>
      </c>
      <c r="CB212" s="586" t="str">
        <f t="shared" si="454"/>
        <v/>
      </c>
      <c r="CC212" s="586" t="str">
        <f t="shared" si="455"/>
        <v/>
      </c>
      <c r="CD212" s="1316" t="str">
        <f t="shared" si="569"/>
        <v/>
      </c>
      <c r="CE212" s="1317" t="str">
        <f t="shared" si="569"/>
        <v/>
      </c>
      <c r="CF212" s="1317" t="str">
        <f t="shared" si="569"/>
        <v/>
      </c>
      <c r="CG212" s="1317" t="str">
        <f t="shared" si="569"/>
        <v/>
      </c>
      <c r="CH212" s="1318" t="str">
        <f t="shared" si="569"/>
        <v/>
      </c>
      <c r="CI212" s="1318" t="str">
        <f t="shared" si="569"/>
        <v/>
      </c>
      <c r="CJ212" s="1317" t="str">
        <f t="shared" si="569"/>
        <v/>
      </c>
      <c r="CK212" s="1317" t="str">
        <f t="shared" si="569"/>
        <v/>
      </c>
      <c r="CL212" s="1317" t="str">
        <f t="shared" si="569"/>
        <v/>
      </c>
      <c r="CM212" s="1316" t="str">
        <f t="shared" si="569"/>
        <v/>
      </c>
      <c r="CN212" s="538" t="str">
        <f t="shared" si="424"/>
        <v/>
      </c>
      <c r="CO212" s="539" t="str">
        <f t="shared" si="425"/>
        <v/>
      </c>
      <c r="CP212" s="539" t="str">
        <f t="shared" si="426"/>
        <v/>
      </c>
      <c r="CQ212" s="539" t="str">
        <f t="shared" si="427"/>
        <v/>
      </c>
      <c r="CR212" s="539" t="str">
        <f t="shared" si="428"/>
        <v/>
      </c>
      <c r="CS212" s="539" t="str">
        <f t="shared" si="429"/>
        <v/>
      </c>
      <c r="CT212" s="540" t="str">
        <f t="shared" si="430"/>
        <v/>
      </c>
      <c r="CU212" s="540">
        <f t="shared" si="431"/>
        <v>950</v>
      </c>
      <c r="CV212" s="540" t="str">
        <f t="shared" si="432"/>
        <v/>
      </c>
      <c r="CW212" s="539" t="str">
        <f t="shared" si="433"/>
        <v/>
      </c>
      <c r="CX212" s="539" t="str">
        <f t="shared" si="434"/>
        <v/>
      </c>
      <c r="CY212" s="539" t="str">
        <f t="shared" si="435"/>
        <v/>
      </c>
      <c r="CZ212" s="539" t="str">
        <f t="shared" si="436"/>
        <v/>
      </c>
      <c r="DA212" s="539" t="str">
        <f t="shared" si="437"/>
        <v/>
      </c>
      <c r="DB212" s="538" t="str">
        <f t="shared" si="438"/>
        <v/>
      </c>
      <c r="DC212" s="537" t="str">
        <f t="shared" si="439"/>
        <v/>
      </c>
      <c r="DD212" s="641">
        <f t="shared" ref="DD212:DD226" si="578">COUNT(B212:R212)</f>
        <v>0</v>
      </c>
      <c r="DE212" s="95">
        <f t="shared" ref="DE212:DE226" si="579">COUNT(T212:AJ212)</f>
        <v>0</v>
      </c>
      <c r="DF212" s="95">
        <f t="shared" ref="DF212:DF226" si="580">COUNT(AL212:BB212)</f>
        <v>0</v>
      </c>
      <c r="DG212" s="95">
        <f t="shared" ref="DG212:DG226" si="581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183</v>
      </c>
      <c r="B213" s="596">
        <f t="shared" ref="B213:K213" si="582">IF(B211="","",B211*B212)</f>
        <v>0</v>
      </c>
      <c r="C213" s="596">
        <f t="shared" si="582"/>
        <v>0</v>
      </c>
      <c r="D213" s="596">
        <f t="shared" si="582"/>
        <v>0</v>
      </c>
      <c r="E213" s="596">
        <f t="shared" si="582"/>
        <v>0</v>
      </c>
      <c r="F213" s="596">
        <f t="shared" si="582"/>
        <v>0</v>
      </c>
      <c r="G213" s="596">
        <f t="shared" si="582"/>
        <v>0</v>
      </c>
      <c r="H213" s="596">
        <f t="shared" si="582"/>
        <v>0</v>
      </c>
      <c r="I213" s="596">
        <f t="shared" si="582"/>
        <v>0</v>
      </c>
      <c r="J213" s="596">
        <f t="shared" si="582"/>
        <v>0</v>
      </c>
      <c r="K213" s="596">
        <f t="shared" si="582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3">IF(T211="","",T211*T212)</f>
        <v>0</v>
      </c>
      <c r="U213" s="596">
        <f t="shared" si="583"/>
        <v>0</v>
      </c>
      <c r="V213" s="596">
        <f t="shared" si="583"/>
        <v>0</v>
      </c>
      <c r="W213" s="596">
        <f t="shared" si="583"/>
        <v>0</v>
      </c>
      <c r="X213" s="596">
        <f t="shared" si="583"/>
        <v>0</v>
      </c>
      <c r="Y213" s="596">
        <f t="shared" si="583"/>
        <v>0</v>
      </c>
      <c r="Z213" s="596">
        <f t="shared" si="583"/>
        <v>0</v>
      </c>
      <c r="AA213" s="596">
        <f t="shared" si="583"/>
        <v>0</v>
      </c>
      <c r="AB213" s="596">
        <f t="shared" si="583"/>
        <v>0</v>
      </c>
      <c r="AC213" s="596">
        <f t="shared" si="583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4">IF(AL211="","",AL211*AL212)</f>
        <v>0</v>
      </c>
      <c r="AM213" s="596">
        <f t="shared" si="584"/>
        <v>0</v>
      </c>
      <c r="AN213" s="596">
        <f t="shared" si="584"/>
        <v>0</v>
      </c>
      <c r="AO213" s="596">
        <f t="shared" si="584"/>
        <v>0</v>
      </c>
      <c r="AP213" s="596">
        <f t="shared" si="584"/>
        <v>0</v>
      </c>
      <c r="AQ213" s="596">
        <f t="shared" si="584"/>
        <v>0</v>
      </c>
      <c r="AR213" s="596">
        <f t="shared" si="584"/>
        <v>0</v>
      </c>
      <c r="AS213" s="596">
        <f t="shared" si="584"/>
        <v>0</v>
      </c>
      <c r="AT213" s="596">
        <f t="shared" si="584"/>
        <v>0</v>
      </c>
      <c r="AU213" s="596">
        <f t="shared" si="584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5">IF(BD211="","",BD211*BD212)</f>
        <v>0</v>
      </c>
      <c r="BE213" s="596">
        <f t="shared" si="585"/>
        <v>0</v>
      </c>
      <c r="BF213" s="596">
        <f t="shared" si="585"/>
        <v>0</v>
      </c>
      <c r="BG213" s="596">
        <f t="shared" si="585"/>
        <v>1900</v>
      </c>
      <c r="BH213" s="596">
        <f t="shared" si="585"/>
        <v>0</v>
      </c>
      <c r="BI213" s="596">
        <f t="shared" si="585"/>
        <v>0</v>
      </c>
      <c r="BJ213" s="596">
        <f t="shared" si="585"/>
        <v>0</v>
      </c>
      <c r="BK213" s="596">
        <f t="shared" si="585"/>
        <v>0</v>
      </c>
      <c r="BL213" s="596">
        <f t="shared" si="585"/>
        <v>0</v>
      </c>
      <c r="BM213" s="596">
        <f t="shared" si="585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2"/>
        <v>0</v>
      </c>
      <c r="CA213" s="586">
        <f t="shared" si="453"/>
        <v>0</v>
      </c>
      <c r="CB213" s="586">
        <f t="shared" si="454"/>
        <v>0</v>
      </c>
      <c r="CC213" s="586">
        <f t="shared" si="455"/>
        <v>0</v>
      </c>
      <c r="CD213" s="1316">
        <f t="shared" si="569"/>
        <v>0</v>
      </c>
      <c r="CE213" s="1317">
        <f t="shared" si="569"/>
        <v>0</v>
      </c>
      <c r="CF213" s="1317">
        <f t="shared" si="569"/>
        <v>0</v>
      </c>
      <c r="CG213" s="1317">
        <f t="shared" si="569"/>
        <v>0</v>
      </c>
      <c r="CH213" s="1318">
        <f t="shared" si="569"/>
        <v>0</v>
      </c>
      <c r="CI213" s="1318">
        <f t="shared" si="569"/>
        <v>0</v>
      </c>
      <c r="CJ213" s="1317">
        <f t="shared" si="569"/>
        <v>0</v>
      </c>
      <c r="CK213" s="1317">
        <f t="shared" si="569"/>
        <v>0</v>
      </c>
      <c r="CL213" s="1317">
        <f t="shared" si="569"/>
        <v>0</v>
      </c>
      <c r="CM213" s="1316">
        <f t="shared" si="569"/>
        <v>0</v>
      </c>
      <c r="CN213" s="538" t="str">
        <f t="shared" si="424"/>
        <v/>
      </c>
      <c r="CO213" s="539" t="str">
        <f t="shared" si="425"/>
        <v/>
      </c>
      <c r="CP213" s="539" t="str">
        <f t="shared" si="426"/>
        <v/>
      </c>
      <c r="CQ213" s="539">
        <f t="shared" si="427"/>
        <v>0</v>
      </c>
      <c r="CR213" s="539">
        <f t="shared" si="428"/>
        <v>0</v>
      </c>
      <c r="CS213" s="539">
        <f t="shared" si="429"/>
        <v>0</v>
      </c>
      <c r="CT213" s="540">
        <f t="shared" si="430"/>
        <v>0</v>
      </c>
      <c r="CU213" s="540">
        <f t="shared" si="431"/>
        <v>0</v>
      </c>
      <c r="CV213" s="540">
        <f t="shared" si="432"/>
        <v>0</v>
      </c>
      <c r="CW213" s="539">
        <f t="shared" si="433"/>
        <v>0</v>
      </c>
      <c r="CX213" s="539">
        <f t="shared" si="434"/>
        <v>0</v>
      </c>
      <c r="CY213" s="539">
        <f t="shared" si="435"/>
        <v>0</v>
      </c>
      <c r="CZ213" s="539">
        <f t="shared" si="436"/>
        <v>1900</v>
      </c>
      <c r="DA213" s="539" t="str">
        <f t="shared" si="437"/>
        <v/>
      </c>
      <c r="DB213" s="538" t="str">
        <f t="shared" si="438"/>
        <v/>
      </c>
      <c r="DC213" s="537" t="str">
        <f t="shared" si="439"/>
        <v/>
      </c>
      <c r="DD213" s="641">
        <f t="shared" si="578"/>
        <v>10</v>
      </c>
      <c r="DE213" s="95">
        <f t="shared" si="579"/>
        <v>10</v>
      </c>
      <c r="DF213" s="95">
        <f t="shared" si="580"/>
        <v>10</v>
      </c>
      <c r="DG213" s="95">
        <f t="shared" si="581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243</v>
      </c>
      <c r="B214" s="609" t="str">
        <f t="shared" ref="B214:K214" si="586">IF(SUM(B54,B55)=0,"",(B181+B202+B205+B208+B211)/SUM(B54,B55))</f>
        <v/>
      </c>
      <c r="C214" s="609" t="str">
        <f t="shared" si="586"/>
        <v/>
      </c>
      <c r="D214" s="609" t="str">
        <f t="shared" si="586"/>
        <v/>
      </c>
      <c r="E214" s="609">
        <f t="shared" si="586"/>
        <v>0.25</v>
      </c>
      <c r="F214" s="609">
        <f t="shared" si="586"/>
        <v>0</v>
      </c>
      <c r="G214" s="609">
        <f t="shared" si="586"/>
        <v>0.125</v>
      </c>
      <c r="H214" s="609" t="str">
        <f t="shared" si="586"/>
        <v/>
      </c>
      <c r="I214" s="609" t="str">
        <f t="shared" si="586"/>
        <v/>
      </c>
      <c r="J214" s="609" t="str">
        <f t="shared" si="586"/>
        <v/>
      </c>
      <c r="K214" s="609" t="str">
        <f t="shared" si="586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7">IF(SUM(T54,T55)=0,"",(T181+T202+T205+T208+T211)/SUM(T54,T55))</f>
        <v>0.23529411764705882</v>
      </c>
      <c r="U214" s="609" t="str">
        <f t="shared" si="587"/>
        <v/>
      </c>
      <c r="V214" s="609" t="str">
        <f t="shared" si="587"/>
        <v/>
      </c>
      <c r="W214" s="609">
        <f t="shared" si="587"/>
        <v>0.25</v>
      </c>
      <c r="X214" s="609">
        <f t="shared" si="587"/>
        <v>0.66666666666666663</v>
      </c>
      <c r="Y214" s="609" t="str">
        <f t="shared" si="587"/>
        <v/>
      </c>
      <c r="Z214" s="609">
        <f t="shared" si="587"/>
        <v>0.2</v>
      </c>
      <c r="AA214" s="609">
        <f t="shared" si="587"/>
        <v>1</v>
      </c>
      <c r="AB214" s="609">
        <f t="shared" si="587"/>
        <v>0.3</v>
      </c>
      <c r="AC214" s="609" t="str">
        <f t="shared" si="587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8">IF(SUM(AL54,AL55)=0,"",(AL181+AL202+AL205+AL208+AL211)/SUM(AL54,AL55))</f>
        <v>0.4</v>
      </c>
      <c r="AM214" s="609" t="str">
        <f t="shared" si="588"/>
        <v/>
      </c>
      <c r="AN214" s="609">
        <f t="shared" si="588"/>
        <v>0.3</v>
      </c>
      <c r="AO214" s="609" t="str">
        <f t="shared" si="588"/>
        <v/>
      </c>
      <c r="AP214" s="609">
        <f t="shared" si="588"/>
        <v>0.2</v>
      </c>
      <c r="AQ214" s="609">
        <f t="shared" si="588"/>
        <v>0</v>
      </c>
      <c r="AR214" s="609">
        <f t="shared" si="588"/>
        <v>0.2</v>
      </c>
      <c r="AS214" s="609">
        <f t="shared" si="588"/>
        <v>0.3</v>
      </c>
      <c r="AT214" s="609">
        <f t="shared" si="588"/>
        <v>0.2</v>
      </c>
      <c r="AU214" s="609">
        <f t="shared" si="588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9">IF(SUM(BD54,BD55)=0,"",(BD181+BD202+BD205+BD208+BD211)/SUM(BD54,BD55))</f>
        <v>0.25</v>
      </c>
      <c r="BE214" s="609">
        <f t="shared" si="589"/>
        <v>0.25</v>
      </c>
      <c r="BF214" s="609">
        <f t="shared" si="589"/>
        <v>0.55000000000000004</v>
      </c>
      <c r="BG214" s="609">
        <f t="shared" si="589"/>
        <v>0.22857142857142856</v>
      </c>
      <c r="BH214" s="609">
        <f t="shared" si="589"/>
        <v>0.53846153846153844</v>
      </c>
      <c r="BI214" s="609">
        <f t="shared" si="589"/>
        <v>0.26666666666666666</v>
      </c>
      <c r="BJ214" s="609">
        <f t="shared" si="589"/>
        <v>0.29090909090909089</v>
      </c>
      <c r="BK214" s="609">
        <f t="shared" si="589"/>
        <v>0.4</v>
      </c>
      <c r="BL214" s="609">
        <f t="shared" si="589"/>
        <v>0.25</v>
      </c>
      <c r="BM214" s="609">
        <f t="shared" si="589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2"/>
        <v>0.125</v>
      </c>
      <c r="CA214" s="586">
        <f t="shared" si="453"/>
        <v>0.36299019607843119</v>
      </c>
      <c r="CB214" s="586">
        <f t="shared" si="454"/>
        <v>0.25555555555555554</v>
      </c>
      <c r="CC214" s="586">
        <f t="shared" si="455"/>
        <v>0.30932609057609062</v>
      </c>
      <c r="CD214" s="1319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0">
        <f t="shared" si="590"/>
        <v>0.2</v>
      </c>
      <c r="CG214" s="1320">
        <f t="shared" si="590"/>
        <v>0.2</v>
      </c>
      <c r="CH214" s="1321">
        <f t="shared" si="590"/>
        <v>0.2</v>
      </c>
      <c r="CI214" s="1321">
        <f t="shared" si="590"/>
        <v>0.3</v>
      </c>
      <c r="CJ214" s="1320">
        <f t="shared" si="590"/>
        <v>0.3</v>
      </c>
      <c r="CK214" s="1320">
        <f t="shared" si="590"/>
        <v>0.33333333333333331</v>
      </c>
      <c r="CL214" s="1320">
        <f t="shared" si="590"/>
        <v>0.4</v>
      </c>
      <c r="CM214" s="1319" t="str">
        <f t="shared" si="590"/>
        <v/>
      </c>
      <c r="CN214" s="526" t="str">
        <f t="shared" si="424"/>
        <v/>
      </c>
      <c r="CO214" s="527" t="str">
        <f t="shared" si="425"/>
        <v/>
      </c>
      <c r="CP214" s="527" t="str">
        <f t="shared" si="426"/>
        <v/>
      </c>
      <c r="CQ214" s="527">
        <f t="shared" si="427"/>
        <v>0.22222222222222221</v>
      </c>
      <c r="CR214" s="527">
        <f t="shared" si="428"/>
        <v>0.22857142857142856</v>
      </c>
      <c r="CS214" s="527">
        <f t="shared" si="429"/>
        <v>0.25</v>
      </c>
      <c r="CT214" s="528">
        <f t="shared" si="430"/>
        <v>0.25</v>
      </c>
      <c r="CU214" s="528">
        <f t="shared" si="431"/>
        <v>0.25</v>
      </c>
      <c r="CV214" s="528">
        <f t="shared" si="432"/>
        <v>0.26666666666666666</v>
      </c>
      <c r="CW214" s="527">
        <f t="shared" si="433"/>
        <v>0.29090909090909089</v>
      </c>
      <c r="CX214" s="527">
        <f t="shared" si="434"/>
        <v>0.4</v>
      </c>
      <c r="CY214" s="527">
        <f t="shared" si="435"/>
        <v>0.53846153846153844</v>
      </c>
      <c r="CZ214" s="527">
        <f t="shared" si="436"/>
        <v>0.55000000000000004</v>
      </c>
      <c r="DA214" s="527" t="str">
        <f t="shared" si="437"/>
        <v/>
      </c>
      <c r="DB214" s="526" t="str">
        <f t="shared" si="438"/>
        <v/>
      </c>
      <c r="DC214" s="525" t="str">
        <f t="shared" si="439"/>
        <v/>
      </c>
      <c r="DD214" s="641">
        <f t="shared" si="578"/>
        <v>3</v>
      </c>
      <c r="DE214" s="95">
        <f t="shared" si="579"/>
        <v>6</v>
      </c>
      <c r="DF214" s="95">
        <f t="shared" si="580"/>
        <v>8</v>
      </c>
      <c r="DG214" s="95">
        <f t="shared" si="581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2"/>
        <v/>
      </c>
      <c r="CA215" s="586" t="str">
        <f t="shared" si="453"/>
        <v/>
      </c>
      <c r="CB215" s="586" t="str">
        <f t="shared" si="454"/>
        <v/>
      </c>
      <c r="CC215" s="586">
        <f t="shared" si="455"/>
        <v>6.75</v>
      </c>
      <c r="CD215" s="1316" t="str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17" t="str">
        <f t="shared" si="590"/>
        <v/>
      </c>
      <c r="CF215" s="1317" t="str">
        <f t="shared" si="590"/>
        <v/>
      </c>
      <c r="CG215" s="1317" t="str">
        <f t="shared" si="590"/>
        <v/>
      </c>
      <c r="CH215" s="1318" t="str">
        <f t="shared" si="590"/>
        <v/>
      </c>
      <c r="CI215" s="1318" t="str">
        <f t="shared" si="590"/>
        <v/>
      </c>
      <c r="CJ215" s="1317" t="str">
        <f t="shared" si="590"/>
        <v/>
      </c>
      <c r="CK215" s="1317" t="str">
        <f t="shared" si="590"/>
        <v/>
      </c>
      <c r="CL215" s="1317" t="str">
        <f t="shared" si="590"/>
        <v/>
      </c>
      <c r="CM215" s="1316" t="str">
        <f t="shared" si="590"/>
        <v/>
      </c>
      <c r="CN215" s="538" t="str">
        <f t="shared" si="424"/>
        <v/>
      </c>
      <c r="CO215" s="539" t="str">
        <f t="shared" si="425"/>
        <v/>
      </c>
      <c r="CP215" s="539" t="str">
        <f t="shared" si="426"/>
        <v/>
      </c>
      <c r="CQ215" s="539">
        <f t="shared" si="427"/>
        <v>0</v>
      </c>
      <c r="CR215" s="539">
        <f t="shared" si="428"/>
        <v>0</v>
      </c>
      <c r="CS215" s="539">
        <f t="shared" si="429"/>
        <v>0</v>
      </c>
      <c r="CT215" s="540">
        <f t="shared" si="430"/>
        <v>0</v>
      </c>
      <c r="CU215" s="540">
        <f t="shared" si="431"/>
        <v>10</v>
      </c>
      <c r="CV215" s="540">
        <f t="shared" si="432"/>
        <v>10</v>
      </c>
      <c r="CW215" s="539">
        <f t="shared" si="433"/>
        <v>10</v>
      </c>
      <c r="CX215" s="539">
        <f t="shared" si="434"/>
        <v>11</v>
      </c>
      <c r="CY215" s="539">
        <f t="shared" si="435"/>
        <v>13</v>
      </c>
      <c r="CZ215" s="539">
        <f t="shared" si="436"/>
        <v>25</v>
      </c>
      <c r="DA215" s="539" t="str">
        <f t="shared" si="437"/>
        <v/>
      </c>
      <c r="DB215" s="538" t="str">
        <f t="shared" si="438"/>
        <v/>
      </c>
      <c r="DC215" s="537" t="str">
        <f t="shared" si="439"/>
        <v/>
      </c>
      <c r="DD215" s="641">
        <f t="shared" si="578"/>
        <v>0</v>
      </c>
      <c r="DE215" s="95">
        <f t="shared" si="579"/>
        <v>0</v>
      </c>
      <c r="DF215" s="95">
        <f t="shared" si="580"/>
        <v>0</v>
      </c>
      <c r="DG215" s="95">
        <f t="shared" si="581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2"/>
        <v/>
      </c>
      <c r="CA216" s="586" t="str">
        <f t="shared" si="453"/>
        <v/>
      </c>
      <c r="CB216" s="586" t="str">
        <f t="shared" si="454"/>
        <v/>
      </c>
      <c r="CC216" s="586">
        <f t="shared" si="455"/>
        <v>50</v>
      </c>
      <c r="CD216" s="1316" t="str">
        <f t="shared" si="591"/>
        <v/>
      </c>
      <c r="CE216" s="1317" t="str">
        <f t="shared" si="590"/>
        <v/>
      </c>
      <c r="CF216" s="1317" t="str">
        <f t="shared" si="590"/>
        <v/>
      </c>
      <c r="CG216" s="1317" t="str">
        <f t="shared" si="590"/>
        <v/>
      </c>
      <c r="CH216" s="1318" t="str">
        <f t="shared" si="590"/>
        <v/>
      </c>
      <c r="CI216" s="1318" t="str">
        <f t="shared" si="590"/>
        <v/>
      </c>
      <c r="CJ216" s="1317" t="str">
        <f t="shared" si="590"/>
        <v/>
      </c>
      <c r="CK216" s="1317" t="str">
        <f t="shared" si="590"/>
        <v/>
      </c>
      <c r="CL216" s="1317" t="str">
        <f t="shared" si="590"/>
        <v/>
      </c>
      <c r="CM216" s="1316" t="str">
        <f t="shared" si="590"/>
        <v/>
      </c>
      <c r="CN216" s="538" t="str">
        <f t="shared" si="424"/>
        <v/>
      </c>
      <c r="CO216" s="539" t="str">
        <f t="shared" si="425"/>
        <v/>
      </c>
      <c r="CP216" s="539" t="str">
        <f t="shared" si="426"/>
        <v/>
      </c>
      <c r="CQ216" s="539" t="str">
        <f t="shared" si="427"/>
        <v/>
      </c>
      <c r="CR216" s="539" t="str">
        <f t="shared" si="428"/>
        <v/>
      </c>
      <c r="CS216" s="539">
        <f t="shared" si="429"/>
        <v>50</v>
      </c>
      <c r="CT216" s="540">
        <f t="shared" si="430"/>
        <v>50</v>
      </c>
      <c r="CU216" s="540">
        <f t="shared" si="431"/>
        <v>50</v>
      </c>
      <c r="CV216" s="540">
        <f t="shared" si="432"/>
        <v>50</v>
      </c>
      <c r="CW216" s="539">
        <f t="shared" si="433"/>
        <v>50</v>
      </c>
      <c r="CX216" s="539">
        <f t="shared" si="434"/>
        <v>60</v>
      </c>
      <c r="CY216" s="539" t="str">
        <f t="shared" si="435"/>
        <v/>
      </c>
      <c r="CZ216" s="539" t="str">
        <f t="shared" si="436"/>
        <v/>
      </c>
      <c r="DA216" s="539" t="str">
        <f t="shared" si="437"/>
        <v/>
      </c>
      <c r="DB216" s="538" t="str">
        <f t="shared" si="438"/>
        <v/>
      </c>
      <c r="DC216" s="537" t="str">
        <f t="shared" si="439"/>
        <v/>
      </c>
      <c r="DD216" s="641">
        <f t="shared" si="578"/>
        <v>0</v>
      </c>
      <c r="DE216" s="95">
        <f t="shared" si="579"/>
        <v>0</v>
      </c>
      <c r="DF216" s="95">
        <f t="shared" si="580"/>
        <v>0</v>
      </c>
      <c r="DG216" s="95">
        <f t="shared" si="581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183</v>
      </c>
      <c r="B217" s="595" t="str">
        <f t="shared" ref="B217:K217" si="592">IF(B215="","",B215*B216)</f>
        <v/>
      </c>
      <c r="C217" s="595" t="str">
        <f t="shared" si="592"/>
        <v/>
      </c>
      <c r="D217" s="595" t="str">
        <f t="shared" si="592"/>
        <v/>
      </c>
      <c r="E217" s="595" t="str">
        <f t="shared" si="592"/>
        <v/>
      </c>
      <c r="F217" s="595" t="str">
        <f t="shared" si="592"/>
        <v/>
      </c>
      <c r="G217" s="595" t="str">
        <f t="shared" si="592"/>
        <v/>
      </c>
      <c r="H217" s="595" t="str">
        <f t="shared" si="592"/>
        <v/>
      </c>
      <c r="I217" s="595" t="str">
        <f t="shared" si="592"/>
        <v/>
      </c>
      <c r="J217" s="595" t="str">
        <f t="shared" si="592"/>
        <v/>
      </c>
      <c r="K217" s="595" t="str">
        <f t="shared" si="592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3">IF(T215="","",T215*T216)</f>
        <v/>
      </c>
      <c r="U217" s="595" t="str">
        <f t="shared" si="593"/>
        <v/>
      </c>
      <c r="V217" s="595" t="str">
        <f t="shared" si="593"/>
        <v/>
      </c>
      <c r="W217" s="595" t="str">
        <f t="shared" si="593"/>
        <v/>
      </c>
      <c r="X217" s="595" t="str">
        <f t="shared" si="593"/>
        <v/>
      </c>
      <c r="Y217" s="595" t="str">
        <f t="shared" si="593"/>
        <v/>
      </c>
      <c r="Z217" s="595" t="str">
        <f t="shared" si="593"/>
        <v/>
      </c>
      <c r="AA217" s="595" t="str">
        <f t="shared" si="593"/>
        <v/>
      </c>
      <c r="AB217" s="595" t="str">
        <f t="shared" si="593"/>
        <v/>
      </c>
      <c r="AC217" s="595" t="str">
        <f t="shared" si="593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4">IF(AL215="","",AL215*AL216)</f>
        <v/>
      </c>
      <c r="AM217" s="595" t="str">
        <f t="shared" si="594"/>
        <v/>
      </c>
      <c r="AN217" s="595" t="str">
        <f t="shared" si="594"/>
        <v/>
      </c>
      <c r="AO217" s="595" t="str">
        <f t="shared" si="594"/>
        <v/>
      </c>
      <c r="AP217" s="595" t="str">
        <f t="shared" si="594"/>
        <v/>
      </c>
      <c r="AQ217" s="595" t="str">
        <f t="shared" si="594"/>
        <v/>
      </c>
      <c r="AR217" s="595" t="str">
        <f t="shared" si="594"/>
        <v/>
      </c>
      <c r="AS217" s="595" t="str">
        <f t="shared" si="594"/>
        <v/>
      </c>
      <c r="AT217" s="595" t="str">
        <f t="shared" si="594"/>
        <v/>
      </c>
      <c r="AU217" s="595" t="str">
        <f t="shared" si="594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5">IF(BD215="","",BD215*BD216)</f>
        <v>650</v>
      </c>
      <c r="BE217" s="595">
        <f t="shared" si="595"/>
        <v>550</v>
      </c>
      <c r="BF217" s="595">
        <f t="shared" si="595"/>
        <v>0</v>
      </c>
      <c r="BG217" s="595">
        <f t="shared" si="595"/>
        <v>600</v>
      </c>
      <c r="BH217" s="595">
        <f t="shared" si="595"/>
        <v>0</v>
      </c>
      <c r="BI217" s="595">
        <f t="shared" si="595"/>
        <v>500</v>
      </c>
      <c r="BJ217" s="595">
        <f t="shared" si="595"/>
        <v>0</v>
      </c>
      <c r="BK217" s="595">
        <f t="shared" si="595"/>
        <v>0</v>
      </c>
      <c r="BL217" s="595">
        <f t="shared" si="595"/>
        <v>500</v>
      </c>
      <c r="BM217" s="595">
        <f t="shared" si="595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2"/>
        <v/>
      </c>
      <c r="CA217" s="586" t="str">
        <f t="shared" si="453"/>
        <v/>
      </c>
      <c r="CB217" s="586" t="str">
        <f t="shared" si="454"/>
        <v/>
      </c>
      <c r="CC217" s="586">
        <f t="shared" si="455"/>
        <v>350</v>
      </c>
      <c r="CD217" s="1316" t="str">
        <f t="shared" si="591"/>
        <v/>
      </c>
      <c r="CE217" s="1317" t="str">
        <f t="shared" si="590"/>
        <v/>
      </c>
      <c r="CF217" s="1317" t="str">
        <f t="shared" si="590"/>
        <v/>
      </c>
      <c r="CG217" s="1317" t="str">
        <f t="shared" si="590"/>
        <v/>
      </c>
      <c r="CH217" s="1318" t="str">
        <f t="shared" si="590"/>
        <v/>
      </c>
      <c r="CI217" s="1318" t="str">
        <f t="shared" si="590"/>
        <v/>
      </c>
      <c r="CJ217" s="1317" t="str">
        <f t="shared" si="590"/>
        <v/>
      </c>
      <c r="CK217" s="1317" t="str">
        <f t="shared" si="590"/>
        <v/>
      </c>
      <c r="CL217" s="1317" t="str">
        <f t="shared" si="590"/>
        <v/>
      </c>
      <c r="CM217" s="1316" t="str">
        <f t="shared" si="590"/>
        <v/>
      </c>
      <c r="CN217" s="538" t="str">
        <f t="shared" si="424"/>
        <v/>
      </c>
      <c r="CO217" s="539" t="str">
        <f t="shared" si="425"/>
        <v/>
      </c>
      <c r="CP217" s="539" t="str">
        <f t="shared" si="426"/>
        <v/>
      </c>
      <c r="CQ217" s="539">
        <f t="shared" si="427"/>
        <v>0</v>
      </c>
      <c r="CR217" s="539">
        <f t="shared" si="428"/>
        <v>0</v>
      </c>
      <c r="CS217" s="539">
        <f t="shared" si="429"/>
        <v>0</v>
      </c>
      <c r="CT217" s="540">
        <f t="shared" si="430"/>
        <v>0</v>
      </c>
      <c r="CU217" s="540">
        <f t="shared" si="431"/>
        <v>500</v>
      </c>
      <c r="CV217" s="540">
        <f t="shared" si="432"/>
        <v>500</v>
      </c>
      <c r="CW217" s="539">
        <f t="shared" si="433"/>
        <v>550</v>
      </c>
      <c r="CX217" s="539">
        <f t="shared" si="434"/>
        <v>600</v>
      </c>
      <c r="CY217" s="539">
        <f t="shared" si="435"/>
        <v>650</v>
      </c>
      <c r="CZ217" s="539">
        <f t="shared" si="436"/>
        <v>1250</v>
      </c>
      <c r="DA217" s="539" t="str">
        <f t="shared" si="437"/>
        <v/>
      </c>
      <c r="DB217" s="538" t="str">
        <f t="shared" si="438"/>
        <v/>
      </c>
      <c r="DC217" s="537" t="str">
        <f t="shared" si="439"/>
        <v/>
      </c>
      <c r="DD217" s="641">
        <f t="shared" si="578"/>
        <v>0</v>
      </c>
      <c r="DE217" s="95">
        <f t="shared" si="579"/>
        <v>0</v>
      </c>
      <c r="DF217" s="95">
        <f t="shared" si="580"/>
        <v>0</v>
      </c>
      <c r="DG217" s="95">
        <f t="shared" si="581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245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2"/>
        <v/>
      </c>
      <c r="CA218" s="586" t="str">
        <f t="shared" si="453"/>
        <v/>
      </c>
      <c r="CB218" s="586" t="str">
        <f t="shared" si="454"/>
        <v/>
      </c>
      <c r="CC218" s="586">
        <f t="shared" si="455"/>
        <v>0</v>
      </c>
      <c r="CD218" s="1316" t="str">
        <f t="shared" si="591"/>
        <v/>
      </c>
      <c r="CE218" s="1317" t="str">
        <f t="shared" si="590"/>
        <v/>
      </c>
      <c r="CF218" s="1317" t="str">
        <f t="shared" si="590"/>
        <v/>
      </c>
      <c r="CG218" s="1317" t="str">
        <f t="shared" si="590"/>
        <v/>
      </c>
      <c r="CH218" s="1318" t="str">
        <f t="shared" si="590"/>
        <v/>
      </c>
      <c r="CI218" s="1318" t="str">
        <f t="shared" si="590"/>
        <v/>
      </c>
      <c r="CJ218" s="1317" t="str">
        <f t="shared" si="590"/>
        <v/>
      </c>
      <c r="CK218" s="1317" t="str">
        <f t="shared" si="590"/>
        <v/>
      </c>
      <c r="CL218" s="1317" t="str">
        <f t="shared" si="590"/>
        <v/>
      </c>
      <c r="CM218" s="1316" t="str">
        <f t="shared" si="590"/>
        <v/>
      </c>
      <c r="CN218" s="538" t="str">
        <f t="shared" si="424"/>
        <v/>
      </c>
      <c r="CO218" s="539" t="str">
        <f t="shared" si="425"/>
        <v/>
      </c>
      <c r="CP218" s="539" t="str">
        <f t="shared" si="426"/>
        <v/>
      </c>
      <c r="CQ218" s="539" t="str">
        <f t="shared" si="427"/>
        <v/>
      </c>
      <c r="CR218" s="539">
        <f t="shared" si="428"/>
        <v>0</v>
      </c>
      <c r="CS218" s="539">
        <f t="shared" si="429"/>
        <v>0</v>
      </c>
      <c r="CT218" s="540">
        <f t="shared" si="430"/>
        <v>0</v>
      </c>
      <c r="CU218" s="540">
        <f t="shared" si="431"/>
        <v>0</v>
      </c>
      <c r="CV218" s="540">
        <f t="shared" si="432"/>
        <v>0</v>
      </c>
      <c r="CW218" s="539">
        <f t="shared" si="433"/>
        <v>0</v>
      </c>
      <c r="CX218" s="539">
        <f t="shared" si="434"/>
        <v>0</v>
      </c>
      <c r="CY218" s="539">
        <f t="shared" si="435"/>
        <v>0</v>
      </c>
      <c r="CZ218" s="539" t="str">
        <f t="shared" si="436"/>
        <v/>
      </c>
      <c r="DA218" s="539" t="str">
        <f t="shared" si="437"/>
        <v/>
      </c>
      <c r="DB218" s="538" t="str">
        <f t="shared" si="438"/>
        <v/>
      </c>
      <c r="DC218" s="537" t="str">
        <f t="shared" si="439"/>
        <v/>
      </c>
      <c r="DD218" s="641">
        <f t="shared" si="578"/>
        <v>0</v>
      </c>
      <c r="DE218" s="95">
        <f t="shared" si="579"/>
        <v>0</v>
      </c>
      <c r="DF218" s="95">
        <f t="shared" si="580"/>
        <v>0</v>
      </c>
      <c r="DG218" s="95">
        <f t="shared" si="581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181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2"/>
        <v/>
      </c>
      <c r="CA219" s="586" t="str">
        <f t="shared" si="453"/>
        <v/>
      </c>
      <c r="CB219" s="586" t="str">
        <f t="shared" si="454"/>
        <v/>
      </c>
      <c r="CC219" s="586" t="str">
        <f t="shared" si="455"/>
        <v/>
      </c>
      <c r="CD219" s="1316" t="str">
        <f t="shared" si="591"/>
        <v/>
      </c>
      <c r="CE219" s="1317" t="str">
        <f t="shared" si="590"/>
        <v/>
      </c>
      <c r="CF219" s="1317" t="str">
        <f t="shared" si="590"/>
        <v/>
      </c>
      <c r="CG219" s="1317" t="str">
        <f t="shared" si="590"/>
        <v/>
      </c>
      <c r="CH219" s="1318" t="str">
        <f t="shared" si="590"/>
        <v/>
      </c>
      <c r="CI219" s="1318" t="str">
        <f t="shared" si="590"/>
        <v/>
      </c>
      <c r="CJ219" s="1317" t="str">
        <f t="shared" si="590"/>
        <v/>
      </c>
      <c r="CK219" s="1317" t="str">
        <f t="shared" si="590"/>
        <v/>
      </c>
      <c r="CL219" s="1317" t="str">
        <f t="shared" si="590"/>
        <v/>
      </c>
      <c r="CM219" s="1316" t="str">
        <f t="shared" si="590"/>
        <v/>
      </c>
      <c r="CN219" s="538" t="str">
        <f t="shared" si="424"/>
        <v/>
      </c>
      <c r="CO219" s="539" t="str">
        <f t="shared" si="425"/>
        <v/>
      </c>
      <c r="CP219" s="539" t="str">
        <f t="shared" si="426"/>
        <v/>
      </c>
      <c r="CQ219" s="539" t="str">
        <f t="shared" si="427"/>
        <v/>
      </c>
      <c r="CR219" s="539" t="str">
        <f t="shared" si="428"/>
        <v/>
      </c>
      <c r="CS219" s="539" t="str">
        <f t="shared" si="429"/>
        <v/>
      </c>
      <c r="CT219" s="540" t="str">
        <f t="shared" si="430"/>
        <v/>
      </c>
      <c r="CU219" s="540" t="str">
        <f t="shared" si="431"/>
        <v/>
      </c>
      <c r="CV219" s="540" t="str">
        <f t="shared" si="432"/>
        <v/>
      </c>
      <c r="CW219" s="539" t="str">
        <f t="shared" si="433"/>
        <v/>
      </c>
      <c r="CX219" s="539" t="str">
        <f t="shared" si="434"/>
        <v/>
      </c>
      <c r="CY219" s="539" t="str">
        <f t="shared" si="435"/>
        <v/>
      </c>
      <c r="CZ219" s="539" t="str">
        <f t="shared" si="436"/>
        <v/>
      </c>
      <c r="DA219" s="539" t="str">
        <f t="shared" si="437"/>
        <v/>
      </c>
      <c r="DB219" s="538" t="str">
        <f t="shared" si="438"/>
        <v/>
      </c>
      <c r="DC219" s="537" t="str">
        <f t="shared" si="439"/>
        <v/>
      </c>
      <c r="DD219" s="641">
        <f t="shared" si="578"/>
        <v>0</v>
      </c>
      <c r="DE219" s="95">
        <f t="shared" si="579"/>
        <v>0</v>
      </c>
      <c r="DF219" s="95">
        <f t="shared" si="580"/>
        <v>0</v>
      </c>
      <c r="DG219" s="95">
        <f t="shared" si="581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183</v>
      </c>
      <c r="B220" s="595" t="str">
        <f t="shared" ref="B220:K220" si="596">IF(B218="","",B218*B219)</f>
        <v/>
      </c>
      <c r="C220" s="595" t="str">
        <f t="shared" si="596"/>
        <v/>
      </c>
      <c r="D220" s="595" t="str">
        <f t="shared" si="596"/>
        <v/>
      </c>
      <c r="E220" s="595" t="str">
        <f t="shared" si="596"/>
        <v/>
      </c>
      <c r="F220" s="595" t="str">
        <f t="shared" si="596"/>
        <v/>
      </c>
      <c r="G220" s="595" t="str">
        <f t="shared" si="596"/>
        <v/>
      </c>
      <c r="H220" s="595" t="str">
        <f t="shared" si="596"/>
        <v/>
      </c>
      <c r="I220" s="595" t="str">
        <f t="shared" si="596"/>
        <v/>
      </c>
      <c r="J220" s="595" t="str">
        <f t="shared" si="596"/>
        <v/>
      </c>
      <c r="K220" s="595" t="str">
        <f t="shared" si="596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7">IF(T218="","",T218*T219)</f>
        <v/>
      </c>
      <c r="U220" s="595" t="str">
        <f t="shared" si="597"/>
        <v/>
      </c>
      <c r="V220" s="595" t="str">
        <f t="shared" si="597"/>
        <v/>
      </c>
      <c r="W220" s="595" t="str">
        <f t="shared" si="597"/>
        <v/>
      </c>
      <c r="X220" s="595" t="str">
        <f t="shared" si="597"/>
        <v/>
      </c>
      <c r="Y220" s="595" t="str">
        <f t="shared" si="597"/>
        <v/>
      </c>
      <c r="Z220" s="595" t="str">
        <f t="shared" si="597"/>
        <v/>
      </c>
      <c r="AA220" s="595" t="str">
        <f t="shared" si="597"/>
        <v/>
      </c>
      <c r="AB220" s="595" t="str">
        <f t="shared" si="597"/>
        <v/>
      </c>
      <c r="AC220" s="595" t="str">
        <f t="shared" si="597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8">IF(AL218="","",AL218*AL219)</f>
        <v/>
      </c>
      <c r="AM220" s="595" t="str">
        <f t="shared" si="598"/>
        <v/>
      </c>
      <c r="AN220" s="595" t="str">
        <f t="shared" si="598"/>
        <v/>
      </c>
      <c r="AO220" s="595" t="str">
        <f t="shared" si="598"/>
        <v/>
      </c>
      <c r="AP220" s="595" t="str">
        <f t="shared" si="598"/>
        <v/>
      </c>
      <c r="AQ220" s="595" t="str">
        <f t="shared" si="598"/>
        <v/>
      </c>
      <c r="AR220" s="595" t="str">
        <f t="shared" si="598"/>
        <v/>
      </c>
      <c r="AS220" s="595" t="str">
        <f t="shared" si="598"/>
        <v/>
      </c>
      <c r="AT220" s="595" t="str">
        <f t="shared" si="598"/>
        <v/>
      </c>
      <c r="AU220" s="595" t="str">
        <f t="shared" si="598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9">IF(BD218="","",BD218*BD219)</f>
        <v>0</v>
      </c>
      <c r="BE220" s="595">
        <f t="shared" si="599"/>
        <v>0</v>
      </c>
      <c r="BF220" s="595">
        <f t="shared" si="599"/>
        <v>0</v>
      </c>
      <c r="BG220" s="595">
        <f t="shared" si="599"/>
        <v>0</v>
      </c>
      <c r="BH220" s="595">
        <f t="shared" si="599"/>
        <v>0</v>
      </c>
      <c r="BI220" s="595" t="str">
        <f t="shared" si="599"/>
        <v/>
      </c>
      <c r="BJ220" s="595">
        <f t="shared" si="599"/>
        <v>0</v>
      </c>
      <c r="BK220" s="595">
        <f t="shared" si="599"/>
        <v>0</v>
      </c>
      <c r="BL220" s="595">
        <f t="shared" si="599"/>
        <v>0</v>
      </c>
      <c r="BM220" s="595" t="str">
        <f t="shared" si="599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2"/>
        <v/>
      </c>
      <c r="CA220" s="586" t="str">
        <f t="shared" si="453"/>
        <v/>
      </c>
      <c r="CB220" s="586" t="str">
        <f t="shared" si="454"/>
        <v/>
      </c>
      <c r="CC220" s="586">
        <f t="shared" si="455"/>
        <v>0</v>
      </c>
      <c r="CD220" s="1316" t="str">
        <f t="shared" si="591"/>
        <v/>
      </c>
      <c r="CE220" s="1317" t="str">
        <f t="shared" si="590"/>
        <v/>
      </c>
      <c r="CF220" s="1317" t="str">
        <f t="shared" si="590"/>
        <v/>
      </c>
      <c r="CG220" s="1317" t="str">
        <f t="shared" si="590"/>
        <v/>
      </c>
      <c r="CH220" s="1318" t="str">
        <f t="shared" si="590"/>
        <v/>
      </c>
      <c r="CI220" s="1318" t="str">
        <f t="shared" si="590"/>
        <v/>
      </c>
      <c r="CJ220" s="1317" t="str">
        <f t="shared" si="590"/>
        <v/>
      </c>
      <c r="CK220" s="1317" t="str">
        <f t="shared" si="590"/>
        <v/>
      </c>
      <c r="CL220" s="1317" t="str">
        <f t="shared" si="590"/>
        <v/>
      </c>
      <c r="CM220" s="1316" t="str">
        <f t="shared" si="590"/>
        <v/>
      </c>
      <c r="CN220" s="538" t="str">
        <f t="shared" si="424"/>
        <v/>
      </c>
      <c r="CO220" s="539" t="str">
        <f t="shared" si="425"/>
        <v/>
      </c>
      <c r="CP220" s="539" t="str">
        <f t="shared" si="426"/>
        <v/>
      </c>
      <c r="CQ220" s="539" t="str">
        <f t="shared" si="427"/>
        <v/>
      </c>
      <c r="CR220" s="539">
        <f t="shared" si="428"/>
        <v>0</v>
      </c>
      <c r="CS220" s="539">
        <f t="shared" si="429"/>
        <v>0</v>
      </c>
      <c r="CT220" s="540">
        <f t="shared" si="430"/>
        <v>0</v>
      </c>
      <c r="CU220" s="540">
        <f t="shared" si="431"/>
        <v>0</v>
      </c>
      <c r="CV220" s="540">
        <f t="shared" si="432"/>
        <v>0</v>
      </c>
      <c r="CW220" s="539">
        <f t="shared" si="433"/>
        <v>0</v>
      </c>
      <c r="CX220" s="539">
        <f t="shared" si="434"/>
        <v>0</v>
      </c>
      <c r="CY220" s="539">
        <f t="shared" si="435"/>
        <v>0</v>
      </c>
      <c r="CZ220" s="539" t="str">
        <f t="shared" si="436"/>
        <v/>
      </c>
      <c r="DA220" s="539" t="str">
        <f t="shared" si="437"/>
        <v/>
      </c>
      <c r="DB220" s="538" t="str">
        <f t="shared" si="438"/>
        <v/>
      </c>
      <c r="DC220" s="537" t="str">
        <f t="shared" si="439"/>
        <v/>
      </c>
      <c r="DD220" s="641">
        <f t="shared" si="578"/>
        <v>0</v>
      </c>
      <c r="DE220" s="95">
        <f t="shared" si="579"/>
        <v>0</v>
      </c>
      <c r="DF220" s="95">
        <f t="shared" si="580"/>
        <v>0</v>
      </c>
      <c r="DG220" s="95">
        <f t="shared" si="581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2"/>
        <v/>
      </c>
      <c r="CA221" s="586" t="str">
        <f t="shared" si="453"/>
        <v/>
      </c>
      <c r="CB221" s="586" t="str">
        <f t="shared" si="454"/>
        <v/>
      </c>
      <c r="CC221" s="586">
        <f t="shared" si="455"/>
        <v>0</v>
      </c>
      <c r="CD221" s="1316" t="str">
        <f t="shared" si="591"/>
        <v/>
      </c>
      <c r="CE221" s="1317" t="str">
        <f t="shared" si="590"/>
        <v/>
      </c>
      <c r="CF221" s="1317" t="str">
        <f t="shared" si="590"/>
        <v/>
      </c>
      <c r="CG221" s="1317" t="str">
        <f t="shared" si="590"/>
        <v/>
      </c>
      <c r="CH221" s="1318" t="str">
        <f t="shared" si="590"/>
        <v/>
      </c>
      <c r="CI221" s="1318" t="str">
        <f t="shared" si="590"/>
        <v/>
      </c>
      <c r="CJ221" s="1317" t="str">
        <f t="shared" si="590"/>
        <v/>
      </c>
      <c r="CK221" s="1317" t="str">
        <f t="shared" si="590"/>
        <v/>
      </c>
      <c r="CL221" s="1317" t="str">
        <f t="shared" si="590"/>
        <v/>
      </c>
      <c r="CM221" s="1316" t="str">
        <f t="shared" si="590"/>
        <v/>
      </c>
      <c r="CN221" s="538" t="str">
        <f t="shared" si="424"/>
        <v/>
      </c>
      <c r="CO221" s="539" t="str">
        <f t="shared" si="425"/>
        <v/>
      </c>
      <c r="CP221" s="539" t="str">
        <f t="shared" si="426"/>
        <v/>
      </c>
      <c r="CQ221" s="539" t="str">
        <f t="shared" si="427"/>
        <v/>
      </c>
      <c r="CR221" s="539">
        <f t="shared" si="428"/>
        <v>0</v>
      </c>
      <c r="CS221" s="539">
        <f t="shared" si="429"/>
        <v>0</v>
      </c>
      <c r="CT221" s="540">
        <f t="shared" si="430"/>
        <v>0</v>
      </c>
      <c r="CU221" s="540">
        <f t="shared" si="431"/>
        <v>0</v>
      </c>
      <c r="CV221" s="540">
        <f t="shared" si="432"/>
        <v>0</v>
      </c>
      <c r="CW221" s="539">
        <f t="shared" si="433"/>
        <v>0</v>
      </c>
      <c r="CX221" s="539">
        <f t="shared" si="434"/>
        <v>0</v>
      </c>
      <c r="CY221" s="539">
        <f t="shared" si="435"/>
        <v>0</v>
      </c>
      <c r="CZ221" s="539" t="str">
        <f t="shared" si="436"/>
        <v/>
      </c>
      <c r="DA221" s="539" t="str">
        <f t="shared" si="437"/>
        <v/>
      </c>
      <c r="DB221" s="538" t="str">
        <f t="shared" si="438"/>
        <v/>
      </c>
      <c r="DC221" s="537" t="str">
        <f t="shared" si="439"/>
        <v/>
      </c>
      <c r="DD221" s="641">
        <f t="shared" si="578"/>
        <v>0</v>
      </c>
      <c r="DE221" s="95">
        <f t="shared" si="579"/>
        <v>0</v>
      </c>
      <c r="DF221" s="95">
        <f t="shared" si="580"/>
        <v>0</v>
      </c>
      <c r="DG221" s="95">
        <f t="shared" si="581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600">IF(DD222&lt;3,"",(SUM(B222:R222)-MIN(B222:R222)-MAX(B222:R222))/(DD222-2))</f>
        <v/>
      </c>
      <c r="CA222" s="586" t="str">
        <f t="shared" ref="CA222:CA285" si="601">IF(DE222&lt;3,"",(SUM(T222:AJ222)-MIN(T222:AJ222)-MAX(T222:AJ222))/(DE222-2))</f>
        <v/>
      </c>
      <c r="CB222" s="586" t="str">
        <f t="shared" ref="CB222:CB285" si="602">IF(DF222&lt;3,"",(SUM(AL222:BB222)-MIN(AL222:BB222)-MAX(AL222:BB222))/(DF222-2))</f>
        <v/>
      </c>
      <c r="CC222" s="586" t="str">
        <f t="shared" ref="CC222:CC285" si="603">IF(DG222&lt;3,"",(SUM(BD222:BT222)-MIN(BD222:BT222)-MAX(BD222:BT222))/(DG222-2))</f>
        <v/>
      </c>
      <c r="CD222" s="1316" t="str">
        <f t="shared" si="591"/>
        <v/>
      </c>
      <c r="CE222" s="1317" t="str">
        <f t="shared" si="590"/>
        <v/>
      </c>
      <c r="CF222" s="1317" t="str">
        <f t="shared" si="590"/>
        <v/>
      </c>
      <c r="CG222" s="1317" t="str">
        <f t="shared" si="590"/>
        <v/>
      </c>
      <c r="CH222" s="1318" t="str">
        <f t="shared" si="590"/>
        <v/>
      </c>
      <c r="CI222" s="1318" t="str">
        <f t="shared" si="590"/>
        <v/>
      </c>
      <c r="CJ222" s="1317" t="str">
        <f t="shared" si="590"/>
        <v/>
      </c>
      <c r="CK222" s="1317" t="str">
        <f t="shared" si="590"/>
        <v/>
      </c>
      <c r="CL222" s="1317" t="str">
        <f t="shared" si="590"/>
        <v/>
      </c>
      <c r="CM222" s="1316" t="str">
        <f t="shared" si="590"/>
        <v/>
      </c>
      <c r="CN222" s="538" t="str">
        <f t="shared" si="424"/>
        <v/>
      </c>
      <c r="CO222" s="539" t="str">
        <f t="shared" si="425"/>
        <v/>
      </c>
      <c r="CP222" s="539" t="str">
        <f t="shared" si="426"/>
        <v/>
      </c>
      <c r="CQ222" s="539" t="str">
        <f t="shared" si="427"/>
        <v/>
      </c>
      <c r="CR222" s="539" t="str">
        <f t="shared" si="428"/>
        <v/>
      </c>
      <c r="CS222" s="539" t="str">
        <f t="shared" si="429"/>
        <v/>
      </c>
      <c r="CT222" s="540" t="str">
        <f t="shared" si="430"/>
        <v/>
      </c>
      <c r="CU222" s="540" t="str">
        <f t="shared" si="431"/>
        <v/>
      </c>
      <c r="CV222" s="540" t="str">
        <f t="shared" si="432"/>
        <v/>
      </c>
      <c r="CW222" s="539" t="str">
        <f t="shared" si="433"/>
        <v/>
      </c>
      <c r="CX222" s="539" t="str">
        <f t="shared" si="434"/>
        <v/>
      </c>
      <c r="CY222" s="539" t="str">
        <f t="shared" si="435"/>
        <v/>
      </c>
      <c r="CZ222" s="539" t="str">
        <f t="shared" si="436"/>
        <v/>
      </c>
      <c r="DA222" s="539" t="str">
        <f t="shared" si="437"/>
        <v/>
      </c>
      <c r="DB222" s="538" t="str">
        <f t="shared" si="438"/>
        <v/>
      </c>
      <c r="DC222" s="537" t="str">
        <f t="shared" si="439"/>
        <v/>
      </c>
      <c r="DD222" s="641">
        <f t="shared" si="578"/>
        <v>0</v>
      </c>
      <c r="DE222" s="95">
        <f t="shared" si="579"/>
        <v>0</v>
      </c>
      <c r="DF222" s="95">
        <f t="shared" si="580"/>
        <v>0</v>
      </c>
      <c r="DG222" s="95">
        <f t="shared" si="581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183</v>
      </c>
      <c r="B223" s="596" t="str">
        <f t="shared" ref="B223:K223" si="604">IF(B221="","",B221*B222)</f>
        <v/>
      </c>
      <c r="C223" s="596" t="str">
        <f t="shared" si="604"/>
        <v/>
      </c>
      <c r="D223" s="596" t="str">
        <f t="shared" si="604"/>
        <v/>
      </c>
      <c r="E223" s="596" t="str">
        <f t="shared" si="604"/>
        <v/>
      </c>
      <c r="F223" s="596" t="str">
        <f t="shared" si="604"/>
        <v/>
      </c>
      <c r="G223" s="596" t="str">
        <f t="shared" si="604"/>
        <v/>
      </c>
      <c r="H223" s="596" t="str">
        <f t="shared" si="604"/>
        <v/>
      </c>
      <c r="I223" s="596" t="str">
        <f t="shared" si="604"/>
        <v/>
      </c>
      <c r="J223" s="596" t="str">
        <f t="shared" si="604"/>
        <v/>
      </c>
      <c r="K223" s="596" t="str">
        <f t="shared" si="604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5">IF(T221="","",T221*T222)</f>
        <v/>
      </c>
      <c r="U223" s="596" t="str">
        <f t="shared" si="605"/>
        <v/>
      </c>
      <c r="V223" s="596" t="str">
        <f t="shared" si="605"/>
        <v/>
      </c>
      <c r="W223" s="596" t="str">
        <f t="shared" si="605"/>
        <v/>
      </c>
      <c r="X223" s="596" t="str">
        <f t="shared" si="605"/>
        <v/>
      </c>
      <c r="Y223" s="596" t="str">
        <f t="shared" si="605"/>
        <v/>
      </c>
      <c r="Z223" s="596" t="str">
        <f t="shared" si="605"/>
        <v/>
      </c>
      <c r="AA223" s="596" t="str">
        <f t="shared" si="605"/>
        <v/>
      </c>
      <c r="AB223" s="596" t="str">
        <f t="shared" si="605"/>
        <v/>
      </c>
      <c r="AC223" s="596" t="str">
        <f t="shared" si="605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6">IF(AL221="","",AL221*AL222)</f>
        <v/>
      </c>
      <c r="AM223" s="596" t="str">
        <f t="shared" si="606"/>
        <v/>
      </c>
      <c r="AN223" s="596" t="str">
        <f t="shared" si="606"/>
        <v/>
      </c>
      <c r="AO223" s="596" t="str">
        <f t="shared" si="606"/>
        <v/>
      </c>
      <c r="AP223" s="596" t="str">
        <f t="shared" si="606"/>
        <v/>
      </c>
      <c r="AQ223" s="596" t="str">
        <f t="shared" si="606"/>
        <v/>
      </c>
      <c r="AR223" s="596" t="str">
        <f t="shared" si="606"/>
        <v/>
      </c>
      <c r="AS223" s="596" t="str">
        <f t="shared" si="606"/>
        <v/>
      </c>
      <c r="AT223" s="596" t="str">
        <f t="shared" si="606"/>
        <v/>
      </c>
      <c r="AU223" s="596" t="str">
        <f t="shared" si="606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7">IF(BD221="","",BD221*BD222)</f>
        <v>0</v>
      </c>
      <c r="BE223" s="596">
        <f t="shared" si="607"/>
        <v>0</v>
      </c>
      <c r="BF223" s="596">
        <f t="shared" si="607"/>
        <v>0</v>
      </c>
      <c r="BG223" s="596">
        <f t="shared" si="607"/>
        <v>0</v>
      </c>
      <c r="BH223" s="596">
        <f t="shared" si="607"/>
        <v>0</v>
      </c>
      <c r="BI223" s="596" t="str">
        <f t="shared" si="607"/>
        <v/>
      </c>
      <c r="BJ223" s="596">
        <f t="shared" si="607"/>
        <v>0</v>
      </c>
      <c r="BK223" s="596">
        <f t="shared" si="607"/>
        <v>0</v>
      </c>
      <c r="BL223" s="596">
        <f t="shared" si="607"/>
        <v>0</v>
      </c>
      <c r="BM223" s="596" t="str">
        <f t="shared" si="607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600"/>
        <v/>
      </c>
      <c r="CA223" s="586" t="str">
        <f t="shared" si="601"/>
        <v/>
      </c>
      <c r="CB223" s="586" t="str">
        <f t="shared" si="602"/>
        <v/>
      </c>
      <c r="CC223" s="586">
        <f t="shared" si="603"/>
        <v>0</v>
      </c>
      <c r="CD223" s="1316" t="str">
        <f t="shared" si="591"/>
        <v/>
      </c>
      <c r="CE223" s="1317" t="str">
        <f t="shared" si="590"/>
        <v/>
      </c>
      <c r="CF223" s="1317" t="str">
        <f t="shared" si="590"/>
        <v/>
      </c>
      <c r="CG223" s="1317" t="str">
        <f t="shared" si="590"/>
        <v/>
      </c>
      <c r="CH223" s="1318" t="str">
        <f t="shared" si="590"/>
        <v/>
      </c>
      <c r="CI223" s="1318" t="str">
        <f t="shared" si="590"/>
        <v/>
      </c>
      <c r="CJ223" s="1317" t="str">
        <f t="shared" si="590"/>
        <v/>
      </c>
      <c r="CK223" s="1317" t="str">
        <f t="shared" si="590"/>
        <v/>
      </c>
      <c r="CL223" s="1317" t="str">
        <f t="shared" si="590"/>
        <v/>
      </c>
      <c r="CM223" s="1316" t="str">
        <f t="shared" si="590"/>
        <v/>
      </c>
      <c r="CN223" s="538" t="str">
        <f t="shared" si="424"/>
        <v/>
      </c>
      <c r="CO223" s="539" t="str">
        <f t="shared" si="425"/>
        <v/>
      </c>
      <c r="CP223" s="539" t="str">
        <f t="shared" si="426"/>
        <v/>
      </c>
      <c r="CQ223" s="539" t="str">
        <f t="shared" si="427"/>
        <v/>
      </c>
      <c r="CR223" s="539">
        <f t="shared" si="428"/>
        <v>0</v>
      </c>
      <c r="CS223" s="539">
        <f t="shared" si="429"/>
        <v>0</v>
      </c>
      <c r="CT223" s="540">
        <f t="shared" si="430"/>
        <v>0</v>
      </c>
      <c r="CU223" s="540">
        <f t="shared" si="431"/>
        <v>0</v>
      </c>
      <c r="CV223" s="540">
        <f t="shared" si="432"/>
        <v>0</v>
      </c>
      <c r="CW223" s="539">
        <f t="shared" si="433"/>
        <v>0</v>
      </c>
      <c r="CX223" s="539">
        <f t="shared" si="434"/>
        <v>0</v>
      </c>
      <c r="CY223" s="539">
        <f t="shared" si="435"/>
        <v>0</v>
      </c>
      <c r="CZ223" s="539" t="str">
        <f t="shared" si="436"/>
        <v/>
      </c>
      <c r="DA223" s="539" t="str">
        <f t="shared" si="437"/>
        <v/>
      </c>
      <c r="DB223" s="538" t="str">
        <f t="shared" si="438"/>
        <v/>
      </c>
      <c r="DC223" s="537" t="str">
        <f t="shared" si="439"/>
        <v/>
      </c>
      <c r="DD223" s="641">
        <f t="shared" si="578"/>
        <v>0</v>
      </c>
      <c r="DE223" s="95">
        <f t="shared" si="579"/>
        <v>0</v>
      </c>
      <c r="DF223" s="95">
        <f t="shared" si="580"/>
        <v>0</v>
      </c>
      <c r="DG223" s="95">
        <f t="shared" si="581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247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600"/>
        <v/>
      </c>
      <c r="CA224" s="586" t="str">
        <f t="shared" si="601"/>
        <v/>
      </c>
      <c r="CB224" s="586" t="str">
        <f t="shared" si="602"/>
        <v/>
      </c>
      <c r="CC224" s="586" t="str">
        <f t="shared" si="603"/>
        <v/>
      </c>
      <c r="CD224" s="1316" t="str">
        <f t="shared" si="591"/>
        <v/>
      </c>
      <c r="CE224" s="1317" t="str">
        <f t="shared" si="590"/>
        <v/>
      </c>
      <c r="CF224" s="1317" t="str">
        <f t="shared" si="590"/>
        <v/>
      </c>
      <c r="CG224" s="1317" t="str">
        <f t="shared" si="590"/>
        <v/>
      </c>
      <c r="CH224" s="1318" t="str">
        <f t="shared" si="590"/>
        <v/>
      </c>
      <c r="CI224" s="1318" t="str">
        <f t="shared" si="590"/>
        <v/>
      </c>
      <c r="CJ224" s="1317" t="str">
        <f t="shared" si="590"/>
        <v/>
      </c>
      <c r="CK224" s="1317" t="str">
        <f t="shared" si="590"/>
        <v/>
      </c>
      <c r="CL224" s="1317" t="str">
        <f t="shared" si="590"/>
        <v/>
      </c>
      <c r="CM224" s="1316" t="str">
        <f t="shared" si="590"/>
        <v/>
      </c>
      <c r="CN224" s="538" t="str">
        <f t="shared" si="424"/>
        <v/>
      </c>
      <c r="CO224" s="539" t="str">
        <f t="shared" si="425"/>
        <v/>
      </c>
      <c r="CP224" s="539" t="str">
        <f t="shared" si="426"/>
        <v/>
      </c>
      <c r="CQ224" s="539" t="str">
        <f t="shared" si="427"/>
        <v/>
      </c>
      <c r="CR224" s="539" t="str">
        <f t="shared" si="428"/>
        <v/>
      </c>
      <c r="CS224" s="539" t="str">
        <f t="shared" si="429"/>
        <v/>
      </c>
      <c r="CT224" s="540" t="str">
        <f t="shared" si="430"/>
        <v/>
      </c>
      <c r="CU224" s="540" t="str">
        <f t="shared" si="431"/>
        <v/>
      </c>
      <c r="CV224" s="540" t="str">
        <f t="shared" si="432"/>
        <v/>
      </c>
      <c r="CW224" s="539" t="str">
        <f t="shared" si="433"/>
        <v/>
      </c>
      <c r="CX224" s="539" t="str">
        <f t="shared" si="434"/>
        <v/>
      </c>
      <c r="CY224" s="539" t="str">
        <f t="shared" si="435"/>
        <v/>
      </c>
      <c r="CZ224" s="539" t="str">
        <f t="shared" si="436"/>
        <v/>
      </c>
      <c r="DA224" s="539" t="str">
        <f t="shared" si="437"/>
        <v/>
      </c>
      <c r="DB224" s="538" t="str">
        <f t="shared" si="438"/>
        <v/>
      </c>
      <c r="DC224" s="537" t="str">
        <f t="shared" si="439"/>
        <v/>
      </c>
      <c r="DD224" s="641">
        <f t="shared" si="578"/>
        <v>0</v>
      </c>
      <c r="DE224" s="95">
        <f t="shared" si="579"/>
        <v>0</v>
      </c>
      <c r="DF224" s="95">
        <f t="shared" si="580"/>
        <v>0</v>
      </c>
      <c r="DG224" s="95">
        <f t="shared" si="581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248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600"/>
        <v/>
      </c>
      <c r="CA225" s="586" t="str">
        <f t="shared" si="601"/>
        <v/>
      </c>
      <c r="CB225" s="586" t="str">
        <f t="shared" si="602"/>
        <v/>
      </c>
      <c r="CC225" s="586" t="str">
        <f t="shared" si="603"/>
        <v/>
      </c>
      <c r="CD225" s="1316" t="str">
        <f t="shared" si="591"/>
        <v/>
      </c>
      <c r="CE225" s="1317" t="str">
        <f t="shared" si="590"/>
        <v/>
      </c>
      <c r="CF225" s="1317" t="str">
        <f t="shared" si="590"/>
        <v/>
      </c>
      <c r="CG225" s="1317" t="str">
        <f t="shared" si="590"/>
        <v/>
      </c>
      <c r="CH225" s="1318" t="str">
        <f t="shared" si="590"/>
        <v/>
      </c>
      <c r="CI225" s="1318" t="str">
        <f t="shared" si="590"/>
        <v/>
      </c>
      <c r="CJ225" s="1317" t="str">
        <f t="shared" si="590"/>
        <v/>
      </c>
      <c r="CK225" s="1317" t="str">
        <f t="shared" si="590"/>
        <v/>
      </c>
      <c r="CL225" s="1317" t="str">
        <f t="shared" si="590"/>
        <v/>
      </c>
      <c r="CM225" s="1316" t="str">
        <f t="shared" si="590"/>
        <v/>
      </c>
      <c r="CN225" s="538" t="str">
        <f t="shared" si="424"/>
        <v/>
      </c>
      <c r="CO225" s="539" t="str">
        <f t="shared" si="425"/>
        <v/>
      </c>
      <c r="CP225" s="539" t="str">
        <f t="shared" si="426"/>
        <v/>
      </c>
      <c r="CQ225" s="539" t="str">
        <f t="shared" si="427"/>
        <v/>
      </c>
      <c r="CR225" s="539" t="str">
        <f t="shared" si="428"/>
        <v/>
      </c>
      <c r="CS225" s="539" t="str">
        <f t="shared" si="429"/>
        <v/>
      </c>
      <c r="CT225" s="540" t="str">
        <f t="shared" si="430"/>
        <v/>
      </c>
      <c r="CU225" s="540" t="str">
        <f t="shared" si="431"/>
        <v/>
      </c>
      <c r="CV225" s="540" t="str">
        <f t="shared" si="432"/>
        <v/>
      </c>
      <c r="CW225" s="539" t="str">
        <f t="shared" si="433"/>
        <v/>
      </c>
      <c r="CX225" s="539" t="str">
        <f t="shared" si="434"/>
        <v/>
      </c>
      <c r="CY225" s="539" t="str">
        <f t="shared" si="435"/>
        <v/>
      </c>
      <c r="CZ225" s="539" t="str">
        <f t="shared" si="436"/>
        <v/>
      </c>
      <c r="DA225" s="539" t="str">
        <f t="shared" si="437"/>
        <v/>
      </c>
      <c r="DB225" s="538" t="str">
        <f t="shared" si="438"/>
        <v/>
      </c>
      <c r="DC225" s="537" t="str">
        <f t="shared" si="439"/>
        <v/>
      </c>
      <c r="DD225" s="641">
        <f t="shared" si="578"/>
        <v>0</v>
      </c>
      <c r="DE225" s="95">
        <f t="shared" si="579"/>
        <v>0</v>
      </c>
      <c r="DF225" s="95">
        <f t="shared" si="580"/>
        <v>0</v>
      </c>
      <c r="DG225" s="95">
        <f t="shared" si="581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183</v>
      </c>
      <c r="B226" s="596" t="str">
        <f t="shared" ref="B226:K226" si="608">IF(B224="","",B224*B225)</f>
        <v/>
      </c>
      <c r="C226" s="596" t="str">
        <f t="shared" si="608"/>
        <v/>
      </c>
      <c r="D226" s="596" t="str">
        <f t="shared" si="608"/>
        <v/>
      </c>
      <c r="E226" s="596" t="str">
        <f t="shared" si="608"/>
        <v/>
      </c>
      <c r="F226" s="596" t="str">
        <f t="shared" si="608"/>
        <v/>
      </c>
      <c r="G226" s="596" t="str">
        <f t="shared" si="608"/>
        <v/>
      </c>
      <c r="H226" s="596" t="str">
        <f t="shared" si="608"/>
        <v/>
      </c>
      <c r="I226" s="596" t="str">
        <f t="shared" si="608"/>
        <v/>
      </c>
      <c r="J226" s="596" t="str">
        <f t="shared" si="608"/>
        <v/>
      </c>
      <c r="K226" s="596" t="str">
        <f t="shared" si="608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9">IF(T224="","",T224*T225)</f>
        <v/>
      </c>
      <c r="U226" s="596" t="str">
        <f t="shared" si="609"/>
        <v/>
      </c>
      <c r="V226" s="596" t="str">
        <f t="shared" si="609"/>
        <v/>
      </c>
      <c r="W226" s="596" t="str">
        <f t="shared" si="609"/>
        <v/>
      </c>
      <c r="X226" s="596" t="str">
        <f t="shared" si="609"/>
        <v/>
      </c>
      <c r="Y226" s="596" t="str">
        <f t="shared" si="609"/>
        <v/>
      </c>
      <c r="Z226" s="596" t="str">
        <f t="shared" si="609"/>
        <v/>
      </c>
      <c r="AA226" s="596" t="str">
        <f t="shared" si="609"/>
        <v/>
      </c>
      <c r="AB226" s="596" t="str">
        <f t="shared" si="609"/>
        <v/>
      </c>
      <c r="AC226" s="596" t="str">
        <f t="shared" si="609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10">IF(AL224="","",AL224*AL225)</f>
        <v/>
      </c>
      <c r="AM226" s="596" t="str">
        <f t="shared" si="610"/>
        <v/>
      </c>
      <c r="AN226" s="596" t="str">
        <f t="shared" si="610"/>
        <v/>
      </c>
      <c r="AO226" s="596" t="str">
        <f t="shared" si="610"/>
        <v/>
      </c>
      <c r="AP226" s="596" t="str">
        <f t="shared" si="610"/>
        <v/>
      </c>
      <c r="AQ226" s="596" t="str">
        <f t="shared" si="610"/>
        <v/>
      </c>
      <c r="AR226" s="596" t="str">
        <f t="shared" si="610"/>
        <v/>
      </c>
      <c r="AS226" s="596" t="str">
        <f t="shared" si="610"/>
        <v/>
      </c>
      <c r="AT226" s="596" t="str">
        <f t="shared" si="610"/>
        <v/>
      </c>
      <c r="AU226" s="596" t="str">
        <f t="shared" si="610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11">IF(BD224="","",BD224*BD225)</f>
        <v/>
      </c>
      <c r="BE226" s="596" t="str">
        <f t="shared" si="611"/>
        <v/>
      </c>
      <c r="BF226" s="596" t="str">
        <f t="shared" si="611"/>
        <v/>
      </c>
      <c r="BG226" s="596" t="str">
        <f t="shared" si="611"/>
        <v/>
      </c>
      <c r="BH226" s="596" t="str">
        <f t="shared" si="611"/>
        <v/>
      </c>
      <c r="BI226" s="596" t="str">
        <f t="shared" si="611"/>
        <v/>
      </c>
      <c r="BJ226" s="596" t="str">
        <f t="shared" si="611"/>
        <v/>
      </c>
      <c r="BK226" s="596" t="str">
        <f t="shared" si="611"/>
        <v/>
      </c>
      <c r="BL226" s="596" t="str">
        <f t="shared" si="611"/>
        <v/>
      </c>
      <c r="BM226" s="596" t="str">
        <f t="shared" si="611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600"/>
        <v/>
      </c>
      <c r="CA226" s="586" t="str">
        <f t="shared" si="601"/>
        <v/>
      </c>
      <c r="CB226" s="586" t="str">
        <f t="shared" si="602"/>
        <v/>
      </c>
      <c r="CC226" s="586" t="str">
        <f t="shared" si="603"/>
        <v/>
      </c>
      <c r="CD226" s="1316" t="str">
        <f t="shared" si="591"/>
        <v/>
      </c>
      <c r="CE226" s="1317" t="str">
        <f t="shared" si="590"/>
        <v/>
      </c>
      <c r="CF226" s="1317" t="str">
        <f t="shared" si="590"/>
        <v/>
      </c>
      <c r="CG226" s="1317" t="str">
        <f t="shared" si="590"/>
        <v/>
      </c>
      <c r="CH226" s="1318" t="str">
        <f t="shared" si="590"/>
        <v/>
      </c>
      <c r="CI226" s="1318" t="str">
        <f t="shared" si="590"/>
        <v/>
      </c>
      <c r="CJ226" s="1317" t="str">
        <f t="shared" si="590"/>
        <v/>
      </c>
      <c r="CK226" s="1317" t="str">
        <f t="shared" si="590"/>
        <v/>
      </c>
      <c r="CL226" s="1317" t="str">
        <f t="shared" si="590"/>
        <v/>
      </c>
      <c r="CM226" s="1316" t="str">
        <f t="shared" si="590"/>
        <v/>
      </c>
      <c r="CN226" s="538" t="str">
        <f t="shared" si="424"/>
        <v/>
      </c>
      <c r="CO226" s="539" t="str">
        <f t="shared" si="425"/>
        <v/>
      </c>
      <c r="CP226" s="539" t="str">
        <f t="shared" si="426"/>
        <v/>
      </c>
      <c r="CQ226" s="539" t="str">
        <f t="shared" si="427"/>
        <v/>
      </c>
      <c r="CR226" s="539" t="str">
        <f t="shared" si="428"/>
        <v/>
      </c>
      <c r="CS226" s="539" t="str">
        <f t="shared" si="429"/>
        <v/>
      </c>
      <c r="CT226" s="540" t="str">
        <f t="shared" si="430"/>
        <v/>
      </c>
      <c r="CU226" s="540" t="str">
        <f t="shared" si="431"/>
        <v/>
      </c>
      <c r="CV226" s="540" t="str">
        <f t="shared" si="432"/>
        <v/>
      </c>
      <c r="CW226" s="539" t="str">
        <f t="shared" si="433"/>
        <v/>
      </c>
      <c r="CX226" s="539" t="str">
        <f t="shared" si="434"/>
        <v/>
      </c>
      <c r="CY226" s="539" t="str">
        <f t="shared" si="435"/>
        <v/>
      </c>
      <c r="CZ226" s="539" t="str">
        <f t="shared" si="436"/>
        <v/>
      </c>
      <c r="DA226" s="539" t="str">
        <f t="shared" si="437"/>
        <v/>
      </c>
      <c r="DB226" s="538" t="str">
        <f t="shared" si="438"/>
        <v/>
      </c>
      <c r="DC226" s="537" t="str">
        <f t="shared" si="439"/>
        <v/>
      </c>
      <c r="DD226" s="641">
        <f t="shared" si="578"/>
        <v>0</v>
      </c>
      <c r="DE226" s="95">
        <f t="shared" si="579"/>
        <v>0</v>
      </c>
      <c r="DF226" s="95">
        <f t="shared" si="580"/>
        <v>0</v>
      </c>
      <c r="DG226" s="95">
        <f t="shared" si="581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249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600"/>
        <v/>
      </c>
      <c r="CA227" s="578" t="str">
        <f t="shared" si="601"/>
        <v/>
      </c>
      <c r="CB227" s="578" t="str">
        <f t="shared" si="602"/>
        <v/>
      </c>
      <c r="CC227" s="675" t="str">
        <f t="shared" si="603"/>
        <v/>
      </c>
      <c r="CD227" s="1322"/>
      <c r="CE227" s="1322"/>
      <c r="CF227" s="1322"/>
      <c r="CG227" s="1322"/>
      <c r="CH227" s="1322"/>
      <c r="CI227" s="1322"/>
      <c r="CJ227" s="1322"/>
      <c r="CK227" s="1322"/>
      <c r="CL227" s="1322"/>
      <c r="CM227" s="1322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250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600"/>
        <v>2.625</v>
      </c>
      <c r="CA228" s="586">
        <f t="shared" si="601"/>
        <v>2.625</v>
      </c>
      <c r="CB228" s="586">
        <f t="shared" si="602"/>
        <v>2.875</v>
      </c>
      <c r="CC228" s="676">
        <f t="shared" si="603"/>
        <v>2.6124999999999998</v>
      </c>
      <c r="CD228" s="1316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17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7">
        <f t="shared" si="613"/>
        <v>3</v>
      </c>
      <c r="CG228" s="1317">
        <f t="shared" si="613"/>
        <v>3</v>
      </c>
      <c r="CH228" s="1318">
        <f t="shared" si="613"/>
        <v>3</v>
      </c>
      <c r="CI228" s="1318">
        <f t="shared" si="613"/>
        <v>3</v>
      </c>
      <c r="CJ228" s="1317">
        <f t="shared" si="613"/>
        <v>3</v>
      </c>
      <c r="CK228" s="1317">
        <f t="shared" si="613"/>
        <v>3</v>
      </c>
      <c r="CL228" s="1317">
        <f t="shared" si="613"/>
        <v>3</v>
      </c>
      <c r="CM228" s="1316">
        <f t="shared" si="613"/>
        <v>3</v>
      </c>
      <c r="CN228" s="538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30">COUNT(B228:R228)</f>
        <v>10</v>
      </c>
      <c r="DE228" s="95">
        <f t="shared" ref="DE228:DE259" si="631">COUNT(T228:AJ228)</f>
        <v>10</v>
      </c>
      <c r="DF228" s="95">
        <f t="shared" ref="DF228:DF259" si="632">COUNT(AL228:BB228)</f>
        <v>10</v>
      </c>
      <c r="DG228" s="95">
        <f t="shared" ref="DG228:DG259" si="633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251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600"/>
        <v>0.17374999999999999</v>
      </c>
      <c r="CA229" s="586">
        <f t="shared" si="601"/>
        <v>0.16999999999999998</v>
      </c>
      <c r="CB229" s="586">
        <f t="shared" si="602"/>
        <v>0.18124999999999997</v>
      </c>
      <c r="CC229" s="676">
        <f t="shared" si="603"/>
        <v>0.21875</v>
      </c>
      <c r="CD229" s="1319">
        <f t="shared" si="612"/>
        <v>0.17</v>
      </c>
      <c r="CE229" s="1320">
        <f t="shared" si="613"/>
        <v>0.17</v>
      </c>
      <c r="CF229" s="1320">
        <f t="shared" si="613"/>
        <v>0.17</v>
      </c>
      <c r="CG229" s="1320">
        <f t="shared" si="613"/>
        <v>0.17</v>
      </c>
      <c r="CH229" s="1321">
        <f t="shared" si="613"/>
        <v>0.17</v>
      </c>
      <c r="CI229" s="1321">
        <f t="shared" si="613"/>
        <v>0.17</v>
      </c>
      <c r="CJ229" s="1320">
        <f t="shared" si="613"/>
        <v>0.2</v>
      </c>
      <c r="CK229" s="1320">
        <f t="shared" si="613"/>
        <v>0.2</v>
      </c>
      <c r="CL229" s="1320">
        <f t="shared" si="613"/>
        <v>0.2</v>
      </c>
      <c r="CM229" s="1319">
        <f t="shared" si="613"/>
        <v>0.25</v>
      </c>
      <c r="CN229" s="538" t="str">
        <f t="shared" si="614"/>
        <v/>
      </c>
      <c r="CO229" s="539" t="str">
        <f t="shared" si="615"/>
        <v/>
      </c>
      <c r="CP229" s="539" t="str">
        <f t="shared" si="616"/>
        <v/>
      </c>
      <c r="CQ229" s="539">
        <f t="shared" si="617"/>
        <v>0.17</v>
      </c>
      <c r="CR229" s="539">
        <f t="shared" si="618"/>
        <v>0.2</v>
      </c>
      <c r="CS229" s="539">
        <f t="shared" si="619"/>
        <v>0.2</v>
      </c>
      <c r="CT229" s="540">
        <f t="shared" si="620"/>
        <v>0.2</v>
      </c>
      <c r="CU229" s="540">
        <f t="shared" si="621"/>
        <v>0.2</v>
      </c>
      <c r="CV229" s="540">
        <f t="shared" si="622"/>
        <v>0.2</v>
      </c>
      <c r="CW229" s="539">
        <f t="shared" si="623"/>
        <v>0.25</v>
      </c>
      <c r="CX229" s="539">
        <f t="shared" si="624"/>
        <v>0.25</v>
      </c>
      <c r="CY229" s="539">
        <f t="shared" si="625"/>
        <v>0.25</v>
      </c>
      <c r="CZ229" s="539">
        <f t="shared" si="626"/>
        <v>0.33</v>
      </c>
      <c r="DA229" s="539" t="str">
        <f t="shared" si="627"/>
        <v/>
      </c>
      <c r="DB229" s="538" t="str">
        <f t="shared" si="628"/>
        <v/>
      </c>
      <c r="DC229" s="537" t="str">
        <f t="shared" si="629"/>
        <v/>
      </c>
      <c r="DD229" s="641">
        <f t="shared" si="630"/>
        <v>10</v>
      </c>
      <c r="DE229" s="95">
        <f t="shared" si="631"/>
        <v>10</v>
      </c>
      <c r="DF229" s="95">
        <f t="shared" si="632"/>
        <v>10</v>
      </c>
      <c r="DG229" s="95">
        <f t="shared" si="633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252</v>
      </c>
      <c r="B230" s="621">
        <f t="shared" ref="B230:K230" si="634">IF(B228="","",(B228/12)*B229)</f>
        <v>0.05</v>
      </c>
      <c r="C230" s="621">
        <f t="shared" si="634"/>
        <v>4.2500000000000003E-2</v>
      </c>
      <c r="D230" s="621">
        <f t="shared" si="634"/>
        <v>4.2500000000000003E-2</v>
      </c>
      <c r="E230" s="621">
        <f t="shared" si="634"/>
        <v>4.2500000000000003E-2</v>
      </c>
      <c r="F230" s="621">
        <f t="shared" si="634"/>
        <v>2.8333333333333335E-2</v>
      </c>
      <c r="G230" s="621">
        <f t="shared" si="634"/>
        <v>2.8333333333333335E-2</v>
      </c>
      <c r="H230" s="621">
        <f t="shared" si="634"/>
        <v>4.2500000000000003E-2</v>
      </c>
      <c r="I230" s="621">
        <f t="shared" si="634"/>
        <v>4.2500000000000003E-2</v>
      </c>
      <c r="J230" s="621">
        <f t="shared" si="634"/>
        <v>3.3333333333333333E-2</v>
      </c>
      <c r="K230" s="621">
        <f t="shared" si="634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5">IF(T228="","",(T228/12)*T229)</f>
        <v>4.2500000000000003E-2</v>
      </c>
      <c r="U230" s="621">
        <f t="shared" si="635"/>
        <v>2.8333333333333335E-2</v>
      </c>
      <c r="V230" s="621">
        <f t="shared" si="635"/>
        <v>4.2500000000000003E-2</v>
      </c>
      <c r="W230" s="621">
        <f t="shared" si="635"/>
        <v>4.2500000000000003E-2</v>
      </c>
      <c r="X230" s="621">
        <f t="shared" si="635"/>
        <v>4.2500000000000003E-2</v>
      </c>
      <c r="Y230" s="621">
        <f t="shared" si="635"/>
        <v>0.05</v>
      </c>
      <c r="Z230" s="621">
        <f t="shared" si="635"/>
        <v>2.8333333333333335E-2</v>
      </c>
      <c r="AA230" s="621">
        <f t="shared" si="635"/>
        <v>2.8333333333333335E-2</v>
      </c>
      <c r="AB230" s="621">
        <f t="shared" si="635"/>
        <v>2.8333333333333335E-2</v>
      </c>
      <c r="AC230" s="621">
        <f t="shared" si="635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6">IF(AL228="","",(AL228/12)*AL229)</f>
        <v>6.25E-2</v>
      </c>
      <c r="AM230" s="621">
        <f t="shared" si="636"/>
        <v>4.2500000000000003E-2</v>
      </c>
      <c r="AN230" s="621">
        <f t="shared" si="636"/>
        <v>2.8333333333333335E-2</v>
      </c>
      <c r="AO230" s="621">
        <f t="shared" si="636"/>
        <v>0.05</v>
      </c>
      <c r="AP230" s="621">
        <f t="shared" si="636"/>
        <v>0.05</v>
      </c>
      <c r="AQ230" s="621">
        <f t="shared" si="636"/>
        <v>0.05</v>
      </c>
      <c r="AR230" s="621">
        <f t="shared" si="636"/>
        <v>4.2500000000000003E-2</v>
      </c>
      <c r="AS230" s="621">
        <f t="shared" si="636"/>
        <v>4.2500000000000003E-2</v>
      </c>
      <c r="AT230" s="621">
        <f t="shared" si="636"/>
        <v>2.8333333333333335E-2</v>
      </c>
      <c r="AU230" s="621">
        <f t="shared" si="636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7">IF(BD228="","",(BD228/12)*BD229)</f>
        <v>4.2500000000000003E-2</v>
      </c>
      <c r="BE230" s="621">
        <f t="shared" si="637"/>
        <v>3.3333333333333333E-2</v>
      </c>
      <c r="BF230" s="621">
        <f t="shared" si="637"/>
        <v>3.3333333333333333E-2</v>
      </c>
      <c r="BG230" s="621">
        <f t="shared" si="637"/>
        <v>4.1666666666666671E-2</v>
      </c>
      <c r="BH230" s="621">
        <f t="shared" si="637"/>
        <v>0.04</v>
      </c>
      <c r="BI230" s="621">
        <f t="shared" si="637"/>
        <v>0.05</v>
      </c>
      <c r="BJ230" s="621">
        <f t="shared" si="637"/>
        <v>6.25E-2</v>
      </c>
      <c r="BK230" s="621">
        <f t="shared" si="637"/>
        <v>6.25E-2</v>
      </c>
      <c r="BL230" s="621">
        <f t="shared" si="637"/>
        <v>6.25E-2</v>
      </c>
      <c r="BM230" s="621">
        <f t="shared" si="637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600"/>
        <v>3.7812499999999999E-2</v>
      </c>
      <c r="CA230" s="611">
        <f t="shared" si="601"/>
        <v>3.7187499999999998E-2</v>
      </c>
      <c r="CB230" s="611">
        <f t="shared" si="602"/>
        <v>4.3541666666666659E-2</v>
      </c>
      <c r="CC230" s="679">
        <f t="shared" si="603"/>
        <v>4.8437500000000001E-2</v>
      </c>
      <c r="CD230" s="1319">
        <f t="shared" si="612"/>
        <v>2.8333333333333335E-2</v>
      </c>
      <c r="CE230" s="1320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0">
        <f t="shared" si="638"/>
        <v>4.2500000000000003E-2</v>
      </c>
      <c r="CG230" s="1320">
        <f t="shared" si="638"/>
        <v>4.2500000000000003E-2</v>
      </c>
      <c r="CH230" s="1321">
        <f t="shared" si="638"/>
        <v>4.2500000000000003E-2</v>
      </c>
      <c r="CI230" s="1321">
        <f t="shared" si="638"/>
        <v>4.2500000000000003E-2</v>
      </c>
      <c r="CJ230" s="1320">
        <f t="shared" si="638"/>
        <v>0.05</v>
      </c>
      <c r="CK230" s="1320">
        <f t="shared" si="638"/>
        <v>0.05</v>
      </c>
      <c r="CL230" s="1320">
        <f t="shared" si="638"/>
        <v>0.05</v>
      </c>
      <c r="CM230" s="1319">
        <f t="shared" si="638"/>
        <v>6.25E-2</v>
      </c>
      <c r="CN230" s="526" t="str">
        <f t="shared" si="614"/>
        <v/>
      </c>
      <c r="CO230" s="527" t="str">
        <f t="shared" si="615"/>
        <v/>
      </c>
      <c r="CP230" s="527" t="str">
        <f t="shared" si="616"/>
        <v/>
      </c>
      <c r="CQ230" s="527">
        <f t="shared" si="617"/>
        <v>3.3333333333333333E-2</v>
      </c>
      <c r="CR230" s="527">
        <f t="shared" si="618"/>
        <v>3.3333333333333333E-2</v>
      </c>
      <c r="CS230" s="527">
        <f t="shared" si="619"/>
        <v>0.04</v>
      </c>
      <c r="CT230" s="528">
        <f t="shared" si="620"/>
        <v>4.1666666666666671E-2</v>
      </c>
      <c r="CU230" s="528">
        <f t="shared" si="621"/>
        <v>4.2500000000000003E-2</v>
      </c>
      <c r="CV230" s="528">
        <f t="shared" si="622"/>
        <v>0.05</v>
      </c>
      <c r="CW230" s="527">
        <f t="shared" si="623"/>
        <v>5.5E-2</v>
      </c>
      <c r="CX230" s="527">
        <f t="shared" si="624"/>
        <v>6.25E-2</v>
      </c>
      <c r="CY230" s="527">
        <f t="shared" si="625"/>
        <v>6.25E-2</v>
      </c>
      <c r="CZ230" s="527">
        <f t="shared" si="626"/>
        <v>6.25E-2</v>
      </c>
      <c r="DA230" s="527" t="str">
        <f t="shared" si="627"/>
        <v/>
      </c>
      <c r="DB230" s="526" t="str">
        <f t="shared" si="628"/>
        <v/>
      </c>
      <c r="DC230" s="525" t="str">
        <f t="shared" si="629"/>
        <v/>
      </c>
      <c r="DD230" s="641">
        <f t="shared" si="630"/>
        <v>10</v>
      </c>
      <c r="DE230" s="95">
        <f t="shared" si="631"/>
        <v>10</v>
      </c>
      <c r="DF230" s="95">
        <f t="shared" si="632"/>
        <v>10</v>
      </c>
      <c r="DG230" s="95">
        <f t="shared" si="633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253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600"/>
        <v/>
      </c>
      <c r="CA231" s="586" t="str">
        <f t="shared" si="601"/>
        <v/>
      </c>
      <c r="CB231" s="586" t="str">
        <f t="shared" si="602"/>
        <v/>
      </c>
      <c r="CC231" s="676">
        <f t="shared" si="603"/>
        <v>0</v>
      </c>
      <c r="CD231" s="1316" t="str">
        <f t="shared" si="612"/>
        <v/>
      </c>
      <c r="CE231" s="1317" t="str">
        <f t="shared" si="638"/>
        <v/>
      </c>
      <c r="CF231" s="1317" t="str">
        <f t="shared" si="638"/>
        <v/>
      </c>
      <c r="CG231" s="1317" t="str">
        <f t="shared" si="638"/>
        <v/>
      </c>
      <c r="CH231" s="1318" t="str">
        <f t="shared" si="638"/>
        <v/>
      </c>
      <c r="CI231" s="1318" t="str">
        <f t="shared" si="638"/>
        <v/>
      </c>
      <c r="CJ231" s="1317" t="str">
        <f t="shared" si="638"/>
        <v/>
      </c>
      <c r="CK231" s="1317" t="str">
        <f t="shared" si="638"/>
        <v/>
      </c>
      <c r="CL231" s="1317" t="str">
        <f t="shared" si="638"/>
        <v/>
      </c>
      <c r="CM231" s="1316" t="str">
        <f t="shared" si="638"/>
        <v/>
      </c>
      <c r="CN231" s="538" t="str">
        <f t="shared" si="614"/>
        <v/>
      </c>
      <c r="CO231" s="539" t="str">
        <f t="shared" si="615"/>
        <v/>
      </c>
      <c r="CP231" s="539" t="str">
        <f t="shared" si="616"/>
        <v/>
      </c>
      <c r="CQ231" s="539" t="str">
        <f t="shared" si="617"/>
        <v/>
      </c>
      <c r="CR231" s="539" t="str">
        <f t="shared" si="618"/>
        <v/>
      </c>
      <c r="CS231" s="539">
        <f t="shared" si="619"/>
        <v>0</v>
      </c>
      <c r="CT231" s="540">
        <f t="shared" si="620"/>
        <v>0</v>
      </c>
      <c r="CU231" s="540">
        <f t="shared" si="621"/>
        <v>0</v>
      </c>
      <c r="CV231" s="540">
        <f t="shared" si="622"/>
        <v>0</v>
      </c>
      <c r="CW231" s="539">
        <f t="shared" si="623"/>
        <v>0</v>
      </c>
      <c r="CX231" s="539">
        <f t="shared" si="624"/>
        <v>0</v>
      </c>
      <c r="CY231" s="539" t="str">
        <f t="shared" si="625"/>
        <v/>
      </c>
      <c r="CZ231" s="539" t="str">
        <f t="shared" si="626"/>
        <v/>
      </c>
      <c r="DA231" s="539" t="str">
        <f t="shared" si="627"/>
        <v/>
      </c>
      <c r="DB231" s="538" t="str">
        <f t="shared" si="628"/>
        <v/>
      </c>
      <c r="DC231" s="537" t="str">
        <f t="shared" si="629"/>
        <v/>
      </c>
      <c r="DD231" s="641">
        <f t="shared" si="630"/>
        <v>0</v>
      </c>
      <c r="DE231" s="95">
        <f t="shared" si="631"/>
        <v>0</v>
      </c>
      <c r="DF231" s="95">
        <f t="shared" si="632"/>
        <v>0</v>
      </c>
      <c r="DG231" s="95">
        <f t="shared" si="633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251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600"/>
        <v/>
      </c>
      <c r="CA232" s="586" t="str">
        <f t="shared" si="601"/>
        <v/>
      </c>
      <c r="CB232" s="586" t="str">
        <f t="shared" si="602"/>
        <v/>
      </c>
      <c r="CC232" s="676">
        <f t="shared" si="603"/>
        <v>0</v>
      </c>
      <c r="CD232" s="1319" t="str">
        <f t="shared" si="612"/>
        <v/>
      </c>
      <c r="CE232" s="1320" t="str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0" t="str">
        <f t="shared" si="639"/>
        <v/>
      </c>
      <c r="CG232" s="1320" t="str">
        <f t="shared" si="639"/>
        <v/>
      </c>
      <c r="CH232" s="1321" t="str">
        <f t="shared" si="639"/>
        <v/>
      </c>
      <c r="CI232" s="1321" t="str">
        <f t="shared" si="639"/>
        <v/>
      </c>
      <c r="CJ232" s="1320" t="str">
        <f t="shared" si="639"/>
        <v/>
      </c>
      <c r="CK232" s="1320" t="str">
        <f t="shared" si="639"/>
        <v/>
      </c>
      <c r="CL232" s="1320" t="str">
        <f t="shared" si="639"/>
        <v/>
      </c>
      <c r="CM232" s="1319" t="str">
        <f t="shared" si="639"/>
        <v/>
      </c>
      <c r="CN232" s="538" t="str">
        <f t="shared" si="614"/>
        <v/>
      </c>
      <c r="CO232" s="539" t="str">
        <f t="shared" si="615"/>
        <v/>
      </c>
      <c r="CP232" s="539" t="str">
        <f t="shared" si="616"/>
        <v/>
      </c>
      <c r="CQ232" s="539">
        <f t="shared" si="617"/>
        <v>0</v>
      </c>
      <c r="CR232" s="539">
        <f t="shared" si="618"/>
        <v>0</v>
      </c>
      <c r="CS232" s="539">
        <f t="shared" si="619"/>
        <v>0</v>
      </c>
      <c r="CT232" s="540">
        <f t="shared" si="620"/>
        <v>0</v>
      </c>
      <c r="CU232" s="540">
        <f t="shared" si="621"/>
        <v>0</v>
      </c>
      <c r="CV232" s="540">
        <f t="shared" si="622"/>
        <v>0</v>
      </c>
      <c r="CW232" s="539">
        <f t="shared" si="623"/>
        <v>0</v>
      </c>
      <c r="CX232" s="539">
        <f t="shared" si="624"/>
        <v>0</v>
      </c>
      <c r="CY232" s="539">
        <f t="shared" si="625"/>
        <v>0</v>
      </c>
      <c r="CZ232" s="539" t="str">
        <f t="shared" si="626"/>
        <v/>
      </c>
      <c r="DA232" s="539" t="str">
        <f t="shared" si="627"/>
        <v/>
      </c>
      <c r="DB232" s="538" t="str">
        <f t="shared" si="628"/>
        <v/>
      </c>
      <c r="DC232" s="537" t="str">
        <f t="shared" si="629"/>
        <v/>
      </c>
      <c r="DD232" s="641">
        <f t="shared" si="630"/>
        <v>0</v>
      </c>
      <c r="DE232" s="95">
        <f t="shared" si="631"/>
        <v>0</v>
      </c>
      <c r="DF232" s="95">
        <f t="shared" si="632"/>
        <v>0</v>
      </c>
      <c r="DG232" s="95">
        <f t="shared" si="633"/>
        <v>9</v>
      </c>
      <c r="DH232" s="681"/>
      <c r="DI232" s="682"/>
      <c r="DJ232" s="682" t="s">
        <v>603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252</v>
      </c>
      <c r="B233" s="621" t="str">
        <f t="shared" ref="B233:K233" si="640">IF(B231="","",(B231/12)*B232)</f>
        <v/>
      </c>
      <c r="C233" s="621" t="str">
        <f t="shared" si="640"/>
        <v/>
      </c>
      <c r="D233" s="621" t="str">
        <f t="shared" si="640"/>
        <v/>
      </c>
      <c r="E233" s="621" t="str">
        <f t="shared" si="640"/>
        <v/>
      </c>
      <c r="F233" s="621" t="str">
        <f t="shared" si="640"/>
        <v/>
      </c>
      <c r="G233" s="621" t="str">
        <f t="shared" si="640"/>
        <v/>
      </c>
      <c r="H233" s="621" t="str">
        <f t="shared" si="640"/>
        <v/>
      </c>
      <c r="I233" s="621" t="str">
        <f t="shared" si="640"/>
        <v/>
      </c>
      <c r="J233" s="621" t="str">
        <f t="shared" si="640"/>
        <v/>
      </c>
      <c r="K233" s="621" t="str">
        <f t="shared" si="640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41">IF(T231="","",(T231/12)*T232)</f>
        <v/>
      </c>
      <c r="U233" s="621" t="str">
        <f t="shared" si="641"/>
        <v/>
      </c>
      <c r="V233" s="621" t="str">
        <f t="shared" si="641"/>
        <v/>
      </c>
      <c r="W233" s="621" t="str">
        <f t="shared" si="641"/>
        <v/>
      </c>
      <c r="X233" s="621" t="str">
        <f t="shared" si="641"/>
        <v/>
      </c>
      <c r="Y233" s="621" t="str">
        <f t="shared" si="641"/>
        <v/>
      </c>
      <c r="Z233" s="621" t="str">
        <f t="shared" si="641"/>
        <v/>
      </c>
      <c r="AA233" s="621" t="str">
        <f t="shared" si="641"/>
        <v/>
      </c>
      <c r="AB233" s="621" t="str">
        <f t="shared" si="641"/>
        <v/>
      </c>
      <c r="AC233" s="621" t="str">
        <f t="shared" si="641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2">IF(AL231="","",(AL231/12)*AL232)</f>
        <v/>
      </c>
      <c r="AM233" s="621" t="str">
        <f t="shared" si="642"/>
        <v/>
      </c>
      <c r="AN233" s="621" t="str">
        <f t="shared" si="642"/>
        <v/>
      </c>
      <c r="AO233" s="621" t="str">
        <f t="shared" si="642"/>
        <v/>
      </c>
      <c r="AP233" s="621" t="str">
        <f t="shared" si="642"/>
        <v/>
      </c>
      <c r="AQ233" s="621" t="str">
        <f t="shared" si="642"/>
        <v/>
      </c>
      <c r="AR233" s="621" t="str">
        <f t="shared" si="642"/>
        <v/>
      </c>
      <c r="AS233" s="621" t="str">
        <f t="shared" si="642"/>
        <v/>
      </c>
      <c r="AT233" s="621" t="str">
        <f t="shared" si="642"/>
        <v/>
      </c>
      <c r="AU233" s="621" t="str">
        <f t="shared" si="642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3">IF(BD231="","",(BD231/12)*BD232)</f>
        <v>0</v>
      </c>
      <c r="BE233" s="621">
        <f t="shared" si="643"/>
        <v>0</v>
      </c>
      <c r="BF233" s="621">
        <f t="shared" si="643"/>
        <v>0</v>
      </c>
      <c r="BG233" s="621">
        <f t="shared" si="643"/>
        <v>0</v>
      </c>
      <c r="BH233" s="621">
        <f t="shared" si="643"/>
        <v>0</v>
      </c>
      <c r="BI233" s="621">
        <f t="shared" si="643"/>
        <v>0</v>
      </c>
      <c r="BJ233" s="621" t="str">
        <f t="shared" si="643"/>
        <v/>
      </c>
      <c r="BK233" s="621" t="str">
        <f t="shared" si="643"/>
        <v/>
      </c>
      <c r="BL233" s="621" t="str">
        <f t="shared" si="643"/>
        <v/>
      </c>
      <c r="BM233" s="621" t="str">
        <f t="shared" si="643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600"/>
        <v/>
      </c>
      <c r="CA233" s="611" t="str">
        <f t="shared" si="601"/>
        <v/>
      </c>
      <c r="CB233" s="611" t="str">
        <f t="shared" si="602"/>
        <v/>
      </c>
      <c r="CC233" s="679">
        <f t="shared" si="603"/>
        <v>0</v>
      </c>
      <c r="CD233" s="1319" t="str">
        <f t="shared" si="612"/>
        <v/>
      </c>
      <c r="CE233" s="1320" t="str">
        <f t="shared" si="639"/>
        <v/>
      </c>
      <c r="CF233" s="1320" t="str">
        <f t="shared" si="639"/>
        <v/>
      </c>
      <c r="CG233" s="1320" t="str">
        <f t="shared" si="639"/>
        <v/>
      </c>
      <c r="CH233" s="1321" t="str">
        <f t="shared" si="639"/>
        <v/>
      </c>
      <c r="CI233" s="1321" t="str">
        <f t="shared" si="639"/>
        <v/>
      </c>
      <c r="CJ233" s="1320" t="str">
        <f t="shared" si="639"/>
        <v/>
      </c>
      <c r="CK233" s="1320" t="str">
        <f t="shared" si="639"/>
        <v/>
      </c>
      <c r="CL233" s="1320" t="str">
        <f t="shared" si="639"/>
        <v/>
      </c>
      <c r="CM233" s="1319" t="str">
        <f t="shared" si="639"/>
        <v/>
      </c>
      <c r="CN233" s="526" t="str">
        <f t="shared" si="614"/>
        <v/>
      </c>
      <c r="CO233" s="527" t="str">
        <f t="shared" si="615"/>
        <v/>
      </c>
      <c r="CP233" s="527" t="str">
        <f t="shared" si="616"/>
        <v/>
      </c>
      <c r="CQ233" s="527" t="str">
        <f t="shared" si="617"/>
        <v/>
      </c>
      <c r="CR233" s="527" t="str">
        <f t="shared" si="618"/>
        <v/>
      </c>
      <c r="CS233" s="527">
        <f t="shared" si="619"/>
        <v>0</v>
      </c>
      <c r="CT233" s="528">
        <f t="shared" si="620"/>
        <v>0</v>
      </c>
      <c r="CU233" s="528">
        <f t="shared" si="621"/>
        <v>0</v>
      </c>
      <c r="CV233" s="528">
        <f t="shared" si="622"/>
        <v>0</v>
      </c>
      <c r="CW233" s="527">
        <f t="shared" si="623"/>
        <v>0</v>
      </c>
      <c r="CX233" s="527">
        <f t="shared" si="624"/>
        <v>0</v>
      </c>
      <c r="CY233" s="527" t="str">
        <f t="shared" si="625"/>
        <v/>
      </c>
      <c r="CZ233" s="527" t="str">
        <f t="shared" si="626"/>
        <v/>
      </c>
      <c r="DA233" s="527" t="str">
        <f t="shared" si="627"/>
        <v/>
      </c>
      <c r="DB233" s="526" t="str">
        <f t="shared" si="628"/>
        <v/>
      </c>
      <c r="DC233" s="525" t="str">
        <f t="shared" si="629"/>
        <v/>
      </c>
      <c r="DD233" s="641">
        <f t="shared" si="630"/>
        <v>0</v>
      </c>
      <c r="DE233" s="95">
        <f t="shared" si="631"/>
        <v>0</v>
      </c>
      <c r="DF233" s="95">
        <f t="shared" si="632"/>
        <v>0</v>
      </c>
      <c r="DG233" s="95">
        <f t="shared" si="633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254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600"/>
        <v>0</v>
      </c>
      <c r="CA234" s="586">
        <f t="shared" si="601"/>
        <v>0</v>
      </c>
      <c r="CB234" s="586" t="str">
        <f t="shared" si="602"/>
        <v/>
      </c>
      <c r="CC234" s="676">
        <f t="shared" si="603"/>
        <v>0</v>
      </c>
      <c r="CD234" s="1316" t="str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7" t="str">
        <f t="shared" si="639"/>
        <v/>
      </c>
      <c r="CF234" s="1317" t="str">
        <f t="shared" si="639"/>
        <v/>
      </c>
      <c r="CG234" s="1317" t="str">
        <f t="shared" si="639"/>
        <v/>
      </c>
      <c r="CH234" s="1318">
        <f t="shared" si="639"/>
        <v>0</v>
      </c>
      <c r="CI234" s="1318" t="str">
        <f t="shared" si="639"/>
        <v/>
      </c>
      <c r="CJ234" s="1317" t="str">
        <f t="shared" si="639"/>
        <v/>
      </c>
      <c r="CK234" s="1317" t="str">
        <f t="shared" si="639"/>
        <v/>
      </c>
      <c r="CL234" s="1317" t="str">
        <f t="shared" si="639"/>
        <v/>
      </c>
      <c r="CM234" s="1316" t="str">
        <f t="shared" si="639"/>
        <v/>
      </c>
      <c r="CN234" s="538" t="str">
        <f t="shared" si="614"/>
        <v/>
      </c>
      <c r="CO234" s="539" t="str">
        <f t="shared" si="615"/>
        <v/>
      </c>
      <c r="CP234" s="539" t="str">
        <f t="shared" si="616"/>
        <v/>
      </c>
      <c r="CQ234" s="539">
        <f t="shared" si="617"/>
        <v>0</v>
      </c>
      <c r="CR234" s="539">
        <f t="shared" si="618"/>
        <v>0</v>
      </c>
      <c r="CS234" s="539">
        <f t="shared" si="619"/>
        <v>0</v>
      </c>
      <c r="CT234" s="540">
        <f t="shared" si="620"/>
        <v>0</v>
      </c>
      <c r="CU234" s="540">
        <f t="shared" si="621"/>
        <v>0</v>
      </c>
      <c r="CV234" s="540">
        <f t="shared" si="622"/>
        <v>0</v>
      </c>
      <c r="CW234" s="539">
        <f t="shared" si="623"/>
        <v>0</v>
      </c>
      <c r="CX234" s="539">
        <f t="shared" si="624"/>
        <v>0</v>
      </c>
      <c r="CY234" s="539">
        <f t="shared" si="625"/>
        <v>0</v>
      </c>
      <c r="CZ234" s="539">
        <f t="shared" si="626"/>
        <v>0</v>
      </c>
      <c r="DA234" s="539" t="str">
        <f t="shared" si="627"/>
        <v/>
      </c>
      <c r="DB234" s="538" t="str">
        <f t="shared" si="628"/>
        <v/>
      </c>
      <c r="DC234" s="537" t="str">
        <f t="shared" si="629"/>
        <v/>
      </c>
      <c r="DD234" s="641">
        <f t="shared" si="630"/>
        <v>10</v>
      </c>
      <c r="DE234" s="95">
        <f t="shared" si="631"/>
        <v>4</v>
      </c>
      <c r="DF234" s="95">
        <f t="shared" si="632"/>
        <v>1</v>
      </c>
      <c r="DG234" s="95">
        <f t="shared" si="633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600"/>
        <v/>
      </c>
      <c r="CA235" s="586" t="str">
        <f t="shared" si="601"/>
        <v/>
      </c>
      <c r="CB235" s="586" t="str">
        <f t="shared" si="602"/>
        <v/>
      </c>
      <c r="CC235" s="676" t="str">
        <f t="shared" si="603"/>
        <v/>
      </c>
      <c r="CD235" s="1316" t="str">
        <f t="shared" si="644"/>
        <v/>
      </c>
      <c r="CE235" s="1317" t="str">
        <f t="shared" si="639"/>
        <v/>
      </c>
      <c r="CF235" s="1317" t="str">
        <f t="shared" si="639"/>
        <v/>
      </c>
      <c r="CG235" s="1317" t="str">
        <f t="shared" si="639"/>
        <v/>
      </c>
      <c r="CH235" s="1318" t="str">
        <f t="shared" si="639"/>
        <v/>
      </c>
      <c r="CI235" s="1318" t="str">
        <f t="shared" si="639"/>
        <v/>
      </c>
      <c r="CJ235" s="1317" t="str">
        <f t="shared" si="639"/>
        <v/>
      </c>
      <c r="CK235" s="1317" t="str">
        <f t="shared" si="639"/>
        <v/>
      </c>
      <c r="CL235" s="1317" t="str">
        <f t="shared" si="639"/>
        <v/>
      </c>
      <c r="CM235" s="1316" t="str">
        <f t="shared" si="639"/>
        <v/>
      </c>
      <c r="CN235" s="538" t="str">
        <f t="shared" si="614"/>
        <v/>
      </c>
      <c r="CO235" s="539" t="str">
        <f t="shared" si="615"/>
        <v/>
      </c>
      <c r="CP235" s="539" t="str">
        <f t="shared" si="616"/>
        <v/>
      </c>
      <c r="CQ235" s="539" t="str">
        <f t="shared" si="617"/>
        <v/>
      </c>
      <c r="CR235" s="539" t="str">
        <f t="shared" si="618"/>
        <v/>
      </c>
      <c r="CS235" s="539" t="str">
        <f t="shared" si="619"/>
        <v/>
      </c>
      <c r="CT235" s="540" t="str">
        <f t="shared" si="620"/>
        <v/>
      </c>
      <c r="CU235" s="540" t="str">
        <f t="shared" si="621"/>
        <v/>
      </c>
      <c r="CV235" s="540" t="str">
        <f t="shared" si="622"/>
        <v/>
      </c>
      <c r="CW235" s="539" t="str">
        <f t="shared" si="623"/>
        <v/>
      </c>
      <c r="CX235" s="539" t="str">
        <f t="shared" si="624"/>
        <v/>
      </c>
      <c r="CY235" s="539" t="str">
        <f t="shared" si="625"/>
        <v/>
      </c>
      <c r="CZ235" s="539" t="str">
        <f t="shared" si="626"/>
        <v/>
      </c>
      <c r="DA235" s="539" t="str">
        <f t="shared" si="627"/>
        <v/>
      </c>
      <c r="DB235" s="538" t="str">
        <f t="shared" si="628"/>
        <v/>
      </c>
      <c r="DC235" s="537" t="str">
        <f t="shared" si="629"/>
        <v/>
      </c>
      <c r="DD235" s="641">
        <f t="shared" si="630"/>
        <v>0</v>
      </c>
      <c r="DE235" s="95">
        <f t="shared" si="631"/>
        <v>0</v>
      </c>
      <c r="DF235" s="95">
        <f t="shared" si="632"/>
        <v>0</v>
      </c>
      <c r="DG235" s="95">
        <f t="shared" si="633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183</v>
      </c>
      <c r="B236" s="618">
        <f t="shared" ref="B236:K236" si="645">IF(B234="","",B234*B235)</f>
        <v>0</v>
      </c>
      <c r="C236" s="618">
        <f t="shared" si="645"/>
        <v>0</v>
      </c>
      <c r="D236" s="618">
        <f t="shared" si="645"/>
        <v>0</v>
      </c>
      <c r="E236" s="618">
        <f t="shared" si="645"/>
        <v>0</v>
      </c>
      <c r="F236" s="618">
        <f t="shared" si="645"/>
        <v>0</v>
      </c>
      <c r="G236" s="618">
        <f t="shared" si="645"/>
        <v>0</v>
      </c>
      <c r="H236" s="618">
        <f t="shared" si="645"/>
        <v>0</v>
      </c>
      <c r="I236" s="618">
        <f t="shared" si="645"/>
        <v>0</v>
      </c>
      <c r="J236" s="618">
        <f t="shared" si="645"/>
        <v>0</v>
      </c>
      <c r="K236" s="618">
        <f t="shared" si="645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6">IF(T234="","",T234*T235)</f>
        <v>0</v>
      </c>
      <c r="U236" s="618" t="str">
        <f t="shared" si="646"/>
        <v/>
      </c>
      <c r="V236" s="618">
        <f t="shared" si="646"/>
        <v>0</v>
      </c>
      <c r="W236" s="618">
        <f t="shared" si="646"/>
        <v>0</v>
      </c>
      <c r="X236" s="618">
        <f t="shared" si="646"/>
        <v>0</v>
      </c>
      <c r="Y236" s="618" t="str">
        <f t="shared" si="646"/>
        <v/>
      </c>
      <c r="Z236" s="618" t="str">
        <f t="shared" si="646"/>
        <v/>
      </c>
      <c r="AA236" s="618" t="str">
        <f t="shared" si="646"/>
        <v/>
      </c>
      <c r="AB236" s="618" t="str">
        <f t="shared" si="646"/>
        <v/>
      </c>
      <c r="AC236" s="618" t="str">
        <f t="shared" si="646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7">IF(AL234="","",AL234*AL235)</f>
        <v/>
      </c>
      <c r="AM236" s="618">
        <f t="shared" si="647"/>
        <v>0</v>
      </c>
      <c r="AN236" s="618" t="str">
        <f t="shared" si="647"/>
        <v/>
      </c>
      <c r="AO236" s="618" t="str">
        <f t="shared" si="647"/>
        <v/>
      </c>
      <c r="AP236" s="618" t="str">
        <f t="shared" si="647"/>
        <v/>
      </c>
      <c r="AQ236" s="618" t="str">
        <f t="shared" si="647"/>
        <v/>
      </c>
      <c r="AR236" s="618" t="str">
        <f t="shared" si="647"/>
        <v/>
      </c>
      <c r="AS236" s="618" t="str">
        <f t="shared" si="647"/>
        <v/>
      </c>
      <c r="AT236" s="618" t="str">
        <f t="shared" si="647"/>
        <v/>
      </c>
      <c r="AU236" s="618" t="str">
        <f t="shared" si="647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8">IF(BD234="","",BD234*BD235)</f>
        <v>0</v>
      </c>
      <c r="BE236" s="618">
        <f t="shared" si="648"/>
        <v>0</v>
      </c>
      <c r="BF236" s="618">
        <f t="shared" si="648"/>
        <v>0</v>
      </c>
      <c r="BG236" s="618">
        <f t="shared" si="648"/>
        <v>0</v>
      </c>
      <c r="BH236" s="618">
        <f t="shared" si="648"/>
        <v>0</v>
      </c>
      <c r="BI236" s="618">
        <f t="shared" si="648"/>
        <v>0</v>
      </c>
      <c r="BJ236" s="618">
        <f t="shared" si="648"/>
        <v>0</v>
      </c>
      <c r="BK236" s="618">
        <f t="shared" si="648"/>
        <v>0</v>
      </c>
      <c r="BL236" s="618">
        <f t="shared" si="648"/>
        <v>0</v>
      </c>
      <c r="BM236" s="618">
        <f t="shared" si="648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600"/>
        <v>0</v>
      </c>
      <c r="CA236" s="586">
        <f t="shared" si="601"/>
        <v>0</v>
      </c>
      <c r="CB236" s="586" t="str">
        <f t="shared" si="602"/>
        <v/>
      </c>
      <c r="CC236" s="676">
        <f t="shared" si="603"/>
        <v>0</v>
      </c>
      <c r="CD236" s="1316" t="str">
        <f t="shared" si="644"/>
        <v/>
      </c>
      <c r="CE236" s="1317" t="str">
        <f t="shared" si="639"/>
        <v/>
      </c>
      <c r="CF236" s="1317" t="str">
        <f t="shared" si="639"/>
        <v/>
      </c>
      <c r="CG236" s="1317" t="str">
        <f t="shared" si="639"/>
        <v/>
      </c>
      <c r="CH236" s="1318">
        <f t="shared" si="639"/>
        <v>0</v>
      </c>
      <c r="CI236" s="1318" t="str">
        <f t="shared" si="639"/>
        <v/>
      </c>
      <c r="CJ236" s="1317" t="str">
        <f t="shared" si="639"/>
        <v/>
      </c>
      <c r="CK236" s="1317" t="str">
        <f t="shared" si="639"/>
        <v/>
      </c>
      <c r="CL236" s="1317" t="str">
        <f t="shared" si="639"/>
        <v/>
      </c>
      <c r="CM236" s="1316" t="str">
        <f t="shared" si="639"/>
        <v/>
      </c>
      <c r="CN236" s="538" t="str">
        <f t="shared" si="614"/>
        <v/>
      </c>
      <c r="CO236" s="539" t="str">
        <f t="shared" si="615"/>
        <v/>
      </c>
      <c r="CP236" s="539" t="str">
        <f t="shared" si="616"/>
        <v/>
      </c>
      <c r="CQ236" s="539">
        <f t="shared" si="617"/>
        <v>0</v>
      </c>
      <c r="CR236" s="539">
        <f t="shared" si="618"/>
        <v>0</v>
      </c>
      <c r="CS236" s="539">
        <f t="shared" si="619"/>
        <v>0</v>
      </c>
      <c r="CT236" s="540">
        <f t="shared" si="620"/>
        <v>0</v>
      </c>
      <c r="CU236" s="540">
        <f t="shared" si="621"/>
        <v>0</v>
      </c>
      <c r="CV236" s="540">
        <f t="shared" si="622"/>
        <v>0</v>
      </c>
      <c r="CW236" s="539">
        <f t="shared" si="623"/>
        <v>0</v>
      </c>
      <c r="CX236" s="539">
        <f t="shared" si="624"/>
        <v>0</v>
      </c>
      <c r="CY236" s="539">
        <f t="shared" si="625"/>
        <v>0</v>
      </c>
      <c r="CZ236" s="539">
        <f t="shared" si="626"/>
        <v>0</v>
      </c>
      <c r="DA236" s="539" t="str">
        <f t="shared" si="627"/>
        <v/>
      </c>
      <c r="DB236" s="538" t="str">
        <f t="shared" si="628"/>
        <v/>
      </c>
      <c r="DC236" s="537" t="str">
        <f t="shared" si="629"/>
        <v/>
      </c>
      <c r="DD236" s="641">
        <f t="shared" si="630"/>
        <v>10</v>
      </c>
      <c r="DE236" s="95">
        <f t="shared" si="631"/>
        <v>4</v>
      </c>
      <c r="DF236" s="95">
        <f t="shared" si="632"/>
        <v>1</v>
      </c>
      <c r="DG236" s="95">
        <f t="shared" si="633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255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600"/>
        <v>252.5</v>
      </c>
      <c r="CA237" s="586">
        <f t="shared" si="601"/>
        <v>197.5</v>
      </c>
      <c r="CB237" s="586">
        <f t="shared" si="602"/>
        <v>357.14285714285717</v>
      </c>
      <c r="CC237" s="676">
        <f t="shared" si="603"/>
        <v>547.5</v>
      </c>
      <c r="CD237" s="1316">
        <f t="shared" si="644"/>
        <v>120</v>
      </c>
      <c r="CE237" s="1317">
        <f t="shared" si="639"/>
        <v>250</v>
      </c>
      <c r="CF237" s="1317">
        <f t="shared" si="639"/>
        <v>250</v>
      </c>
      <c r="CG237" s="1317">
        <f t="shared" si="639"/>
        <v>300</v>
      </c>
      <c r="CH237" s="1318">
        <f t="shared" si="639"/>
        <v>350</v>
      </c>
      <c r="CI237" s="1318">
        <f t="shared" si="639"/>
        <v>400</v>
      </c>
      <c r="CJ237" s="1317">
        <f t="shared" si="639"/>
        <v>450</v>
      </c>
      <c r="CK237" s="1317">
        <f t="shared" si="639"/>
        <v>500</v>
      </c>
      <c r="CL237" s="1317">
        <f t="shared" si="639"/>
        <v>550</v>
      </c>
      <c r="CM237" s="1316" t="str">
        <f t="shared" si="639"/>
        <v/>
      </c>
      <c r="CN237" s="538" t="str">
        <f t="shared" si="614"/>
        <v/>
      </c>
      <c r="CO237" s="539" t="str">
        <f t="shared" si="615"/>
        <v/>
      </c>
      <c r="CP237" s="539" t="str">
        <f t="shared" si="616"/>
        <v/>
      </c>
      <c r="CQ237" s="539">
        <f t="shared" si="617"/>
        <v>200</v>
      </c>
      <c r="CR237" s="539">
        <f t="shared" si="618"/>
        <v>200</v>
      </c>
      <c r="CS237" s="539">
        <f t="shared" si="619"/>
        <v>300</v>
      </c>
      <c r="CT237" s="540">
        <f t="shared" si="620"/>
        <v>400</v>
      </c>
      <c r="CU237" s="540">
        <f t="shared" si="621"/>
        <v>500</v>
      </c>
      <c r="CV237" s="540">
        <f t="shared" si="622"/>
        <v>500</v>
      </c>
      <c r="CW237" s="539">
        <f t="shared" si="623"/>
        <v>800</v>
      </c>
      <c r="CX237" s="539">
        <f t="shared" si="624"/>
        <v>830</v>
      </c>
      <c r="CY237" s="539">
        <f t="shared" si="625"/>
        <v>850</v>
      </c>
      <c r="CZ237" s="539">
        <f t="shared" si="626"/>
        <v>1000</v>
      </c>
      <c r="DA237" s="539" t="str">
        <f t="shared" si="627"/>
        <v/>
      </c>
      <c r="DB237" s="538" t="str">
        <f t="shared" si="628"/>
        <v/>
      </c>
      <c r="DC237" s="537" t="str">
        <f t="shared" si="629"/>
        <v/>
      </c>
      <c r="DD237" s="641">
        <f t="shared" si="630"/>
        <v>10</v>
      </c>
      <c r="DE237" s="95">
        <f t="shared" si="631"/>
        <v>10</v>
      </c>
      <c r="DF237" s="95">
        <f t="shared" si="632"/>
        <v>9</v>
      </c>
      <c r="DG237" s="95">
        <f t="shared" si="633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256</v>
      </c>
      <c r="B238" s="690">
        <f>3630*$K$1</f>
        <v>15198.083999999999</v>
      </c>
      <c r="C238" s="690">
        <f t="shared" ref="C238:K238" si="649">3630*$K$1</f>
        <v>15198.083999999999</v>
      </c>
      <c r="D238" s="690">
        <f t="shared" si="649"/>
        <v>15198.083999999999</v>
      </c>
      <c r="E238" s="690">
        <f t="shared" si="649"/>
        <v>15198.083999999999</v>
      </c>
      <c r="F238" s="690">
        <f t="shared" si="649"/>
        <v>15198.083999999999</v>
      </c>
      <c r="G238" s="690">
        <f t="shared" si="649"/>
        <v>15198.083999999999</v>
      </c>
      <c r="H238" s="690">
        <f t="shared" si="649"/>
        <v>15198.083999999999</v>
      </c>
      <c r="I238" s="690">
        <f t="shared" si="649"/>
        <v>15198.083999999999</v>
      </c>
      <c r="J238" s="690">
        <f t="shared" si="649"/>
        <v>15198.083999999999</v>
      </c>
      <c r="K238" s="690">
        <f t="shared" si="649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50">3630*$K$1</f>
        <v>15198.083999999999</v>
      </c>
      <c r="V238" s="690">
        <f t="shared" si="650"/>
        <v>15198.083999999999</v>
      </c>
      <c r="W238" s="690">
        <f t="shared" si="650"/>
        <v>15198.083999999999</v>
      </c>
      <c r="X238" s="690">
        <f t="shared" si="650"/>
        <v>15198.083999999999</v>
      </c>
      <c r="Y238" s="690">
        <f t="shared" si="650"/>
        <v>15198.083999999999</v>
      </c>
      <c r="Z238" s="690">
        <f t="shared" si="650"/>
        <v>15198.083999999999</v>
      </c>
      <c r="AA238" s="690">
        <f t="shared" si="650"/>
        <v>15198.083999999999</v>
      </c>
      <c r="AB238" s="690">
        <f t="shared" si="650"/>
        <v>15198.083999999999</v>
      </c>
      <c r="AC238" s="690">
        <f t="shared" si="650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51">3630*$K$1</f>
        <v>15198.083999999999</v>
      </c>
      <c r="AN238" s="690">
        <f t="shared" si="651"/>
        <v>15198.083999999999</v>
      </c>
      <c r="AO238" s="690">
        <f t="shared" si="651"/>
        <v>15198.083999999999</v>
      </c>
      <c r="AP238" s="690">
        <f t="shared" si="651"/>
        <v>15198.083999999999</v>
      </c>
      <c r="AQ238" s="690">
        <f t="shared" si="651"/>
        <v>15198.083999999999</v>
      </c>
      <c r="AR238" s="690">
        <f t="shared" si="651"/>
        <v>15198.083999999999</v>
      </c>
      <c r="AS238" s="690">
        <f t="shared" si="651"/>
        <v>15198.083999999999</v>
      </c>
      <c r="AT238" s="690">
        <f t="shared" si="651"/>
        <v>15198.083999999999</v>
      </c>
      <c r="AU238" s="690">
        <f t="shared" si="651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2">3630*$K$1</f>
        <v>15198.083999999999</v>
      </c>
      <c r="BF238" s="690">
        <f t="shared" si="652"/>
        <v>15198.083999999999</v>
      </c>
      <c r="BG238" s="690">
        <f t="shared" si="652"/>
        <v>15198.083999999999</v>
      </c>
      <c r="BH238" s="690">
        <f t="shared" si="652"/>
        <v>15198.083999999999</v>
      </c>
      <c r="BI238" s="690">
        <f t="shared" si="652"/>
        <v>15198.083999999999</v>
      </c>
      <c r="BJ238" s="690">
        <f t="shared" si="652"/>
        <v>15198.083999999999</v>
      </c>
      <c r="BK238" s="690">
        <f t="shared" si="652"/>
        <v>15198.083999999999</v>
      </c>
      <c r="BL238" s="690">
        <f t="shared" si="652"/>
        <v>15198.083999999999</v>
      </c>
      <c r="BM238" s="690">
        <f t="shared" si="652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2"/>
        <v>15198.083999999999</v>
      </c>
      <c r="BW238" s="690">
        <f t="shared" si="652"/>
        <v>15198.083999999999</v>
      </c>
      <c r="BX238" s="690">
        <f t="shared" si="652"/>
        <v>15198.083999999999</v>
      </c>
      <c r="BY238" s="690">
        <f t="shared" si="652"/>
        <v>15198.083999999999</v>
      </c>
      <c r="BZ238" s="586">
        <f t="shared" si="600"/>
        <v>15198.083999999999</v>
      </c>
      <c r="CA238" s="586">
        <f t="shared" si="601"/>
        <v>15198.083999999999</v>
      </c>
      <c r="CB238" s="586">
        <f t="shared" si="602"/>
        <v>15198.083999999999</v>
      </c>
      <c r="CC238" s="676">
        <f t="shared" si="603"/>
        <v>15198.083999999999</v>
      </c>
      <c r="CD238" s="1316">
        <f t="shared" si="644"/>
        <v>15198.083999999999</v>
      </c>
      <c r="CE238" s="1317">
        <f t="shared" si="639"/>
        <v>15198.083999999999</v>
      </c>
      <c r="CF238" s="1317">
        <f t="shared" si="639"/>
        <v>15198.083999999999</v>
      </c>
      <c r="CG238" s="1317">
        <f t="shared" si="639"/>
        <v>15198.083999999999</v>
      </c>
      <c r="CH238" s="1318">
        <f t="shared" si="639"/>
        <v>15198.083999999999</v>
      </c>
      <c r="CI238" s="1318">
        <f t="shared" si="639"/>
        <v>15198.083999999999</v>
      </c>
      <c r="CJ238" s="1317">
        <f t="shared" si="639"/>
        <v>15198.083999999999</v>
      </c>
      <c r="CK238" s="1317">
        <f t="shared" si="639"/>
        <v>15198.083999999999</v>
      </c>
      <c r="CL238" s="1317">
        <f t="shared" si="639"/>
        <v>15198.083999999999</v>
      </c>
      <c r="CM238" s="1316">
        <f t="shared" si="639"/>
        <v>15198.083999999999</v>
      </c>
      <c r="CN238" s="538" t="str">
        <f t="shared" si="614"/>
        <v/>
      </c>
      <c r="CO238" s="539" t="str">
        <f t="shared" si="615"/>
        <v/>
      </c>
      <c r="CP238" s="539" t="str">
        <f t="shared" si="616"/>
        <v/>
      </c>
      <c r="CQ238" s="539">
        <f t="shared" si="617"/>
        <v>15198.083999999999</v>
      </c>
      <c r="CR238" s="539">
        <f t="shared" si="618"/>
        <v>15198.083999999999</v>
      </c>
      <c r="CS238" s="539">
        <f t="shared" si="619"/>
        <v>15198.083999999999</v>
      </c>
      <c r="CT238" s="540">
        <f t="shared" si="620"/>
        <v>15198.083999999999</v>
      </c>
      <c r="CU238" s="540">
        <f t="shared" si="621"/>
        <v>15198.083999999999</v>
      </c>
      <c r="CV238" s="540">
        <f t="shared" si="622"/>
        <v>15198.083999999999</v>
      </c>
      <c r="CW238" s="539">
        <f t="shared" si="623"/>
        <v>15198.083999999999</v>
      </c>
      <c r="CX238" s="539">
        <f t="shared" si="624"/>
        <v>15198.083999999999</v>
      </c>
      <c r="CY238" s="539">
        <f t="shared" si="625"/>
        <v>15198.083999999999</v>
      </c>
      <c r="CZ238" s="539">
        <f t="shared" si="626"/>
        <v>15198.083999999999</v>
      </c>
      <c r="DA238" s="539" t="str">
        <f t="shared" si="627"/>
        <v/>
      </c>
      <c r="DB238" s="538" t="str">
        <f t="shared" si="628"/>
        <v/>
      </c>
      <c r="DC238" s="537" t="str">
        <f t="shared" si="629"/>
        <v/>
      </c>
      <c r="DD238" s="641">
        <f t="shared" si="630"/>
        <v>10</v>
      </c>
      <c r="DE238" s="693">
        <f t="shared" si="631"/>
        <v>10</v>
      </c>
      <c r="DF238" s="693">
        <f t="shared" si="632"/>
        <v>10</v>
      </c>
      <c r="DG238" s="693">
        <f t="shared" si="633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257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600"/>
        <v>43.333333333333336</v>
      </c>
      <c r="CA239" s="586">
        <f t="shared" si="601"/>
        <v>6.875</v>
      </c>
      <c r="CB239" s="586">
        <f t="shared" si="602"/>
        <v>158.33333333333334</v>
      </c>
      <c r="CC239" s="676">
        <f t="shared" si="603"/>
        <v>131.25</v>
      </c>
      <c r="CD239" s="1316" t="str">
        <f t="shared" si="644"/>
        <v/>
      </c>
      <c r="CE239" s="1317">
        <f t="shared" si="639"/>
        <v>0</v>
      </c>
      <c r="CF239" s="1317">
        <f t="shared" si="639"/>
        <v>0</v>
      </c>
      <c r="CG239" s="1317">
        <f t="shared" si="639"/>
        <v>100</v>
      </c>
      <c r="CH239" s="1318">
        <f t="shared" si="639"/>
        <v>100</v>
      </c>
      <c r="CI239" s="1318">
        <f t="shared" si="639"/>
        <v>150</v>
      </c>
      <c r="CJ239" s="1317">
        <f t="shared" si="639"/>
        <v>300</v>
      </c>
      <c r="CK239" s="1317">
        <f t="shared" si="639"/>
        <v>300</v>
      </c>
      <c r="CL239" s="1317">
        <f t="shared" si="639"/>
        <v>350</v>
      </c>
      <c r="CM239" s="1316" t="str">
        <f t="shared" si="639"/>
        <v/>
      </c>
      <c r="CN239" s="538" t="str">
        <f t="shared" si="614"/>
        <v/>
      </c>
      <c r="CO239" s="539" t="str">
        <f t="shared" si="615"/>
        <v/>
      </c>
      <c r="CP239" s="539" t="str">
        <f t="shared" si="616"/>
        <v/>
      </c>
      <c r="CQ239" s="539">
        <f t="shared" si="617"/>
        <v>0</v>
      </c>
      <c r="CR239" s="539">
        <f t="shared" si="618"/>
        <v>0</v>
      </c>
      <c r="CS239" s="539">
        <f t="shared" si="619"/>
        <v>0</v>
      </c>
      <c r="CT239" s="540">
        <f t="shared" si="620"/>
        <v>0</v>
      </c>
      <c r="CU239" s="540">
        <f t="shared" si="621"/>
        <v>50</v>
      </c>
      <c r="CV239" s="540">
        <f t="shared" si="622"/>
        <v>150</v>
      </c>
      <c r="CW239" s="539">
        <f t="shared" si="623"/>
        <v>150</v>
      </c>
      <c r="CX239" s="539">
        <f t="shared" si="624"/>
        <v>300</v>
      </c>
      <c r="CY239" s="539">
        <f t="shared" si="625"/>
        <v>400</v>
      </c>
      <c r="CZ239" s="539">
        <f t="shared" si="626"/>
        <v>700</v>
      </c>
      <c r="DA239" s="539" t="str">
        <f t="shared" si="627"/>
        <v/>
      </c>
      <c r="DB239" s="538" t="str">
        <f t="shared" si="628"/>
        <v/>
      </c>
      <c r="DC239" s="537" t="str">
        <f t="shared" si="629"/>
        <v/>
      </c>
      <c r="DD239" s="641">
        <f t="shared" si="630"/>
        <v>8</v>
      </c>
      <c r="DE239" s="95">
        <f t="shared" si="631"/>
        <v>10</v>
      </c>
      <c r="DF239" s="95">
        <f t="shared" si="632"/>
        <v>8</v>
      </c>
      <c r="DG239" s="95">
        <f t="shared" si="633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181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4</v>
      </c>
      <c r="BY240" s="150">
        <v>5</v>
      </c>
      <c r="BZ240" s="1298" t="str">
        <f t="shared" si="600"/>
        <v/>
      </c>
      <c r="CA240" s="1298" t="str">
        <f t="shared" si="601"/>
        <v/>
      </c>
      <c r="CB240" s="1298">
        <f t="shared" si="602"/>
        <v>4</v>
      </c>
      <c r="CC240" s="1299">
        <f t="shared" si="603"/>
        <v>4.1199999999999992</v>
      </c>
      <c r="CD240" s="1335" t="str">
        <f t="shared" si="644"/>
        <v/>
      </c>
      <c r="CE240" s="1336" t="str">
        <f t="shared" si="639"/>
        <v/>
      </c>
      <c r="CF240" s="1336">
        <f t="shared" si="639"/>
        <v>3</v>
      </c>
      <c r="CG240" s="1336">
        <f t="shared" si="639"/>
        <v>3</v>
      </c>
      <c r="CH240" s="1337">
        <f t="shared" si="639"/>
        <v>4</v>
      </c>
      <c r="CI240" s="1337">
        <f t="shared" si="639"/>
        <v>5</v>
      </c>
      <c r="CJ240" s="1336">
        <f t="shared" si="639"/>
        <v>12</v>
      </c>
      <c r="CK240" s="1336" t="str">
        <f t="shared" si="639"/>
        <v/>
      </c>
      <c r="CL240" s="1336" t="str">
        <f t="shared" si="639"/>
        <v/>
      </c>
      <c r="CM240" s="1335" t="str">
        <f t="shared" si="639"/>
        <v/>
      </c>
      <c r="CN240" s="538" t="str">
        <f t="shared" si="614"/>
        <v/>
      </c>
      <c r="CO240" s="539" t="str">
        <f t="shared" si="615"/>
        <v/>
      </c>
      <c r="CP240" s="539" t="str">
        <f t="shared" si="616"/>
        <v/>
      </c>
      <c r="CQ240" s="539" t="str">
        <f t="shared" si="617"/>
        <v/>
      </c>
      <c r="CR240" s="539">
        <f t="shared" si="618"/>
        <v>0</v>
      </c>
      <c r="CS240" s="539">
        <f t="shared" si="619"/>
        <v>2.4</v>
      </c>
      <c r="CT240" s="540">
        <f t="shared" si="620"/>
        <v>3.2</v>
      </c>
      <c r="CU240" s="540">
        <f t="shared" si="621"/>
        <v>5</v>
      </c>
      <c r="CV240" s="540">
        <f t="shared" si="622"/>
        <v>5</v>
      </c>
      <c r="CW240" s="539">
        <f t="shared" si="623"/>
        <v>5</v>
      </c>
      <c r="CX240" s="539">
        <f t="shared" si="624"/>
        <v>5</v>
      </c>
      <c r="CY240" s="539" t="str">
        <f t="shared" si="625"/>
        <v/>
      </c>
      <c r="CZ240" s="539" t="str">
        <f t="shared" si="626"/>
        <v/>
      </c>
      <c r="DA240" s="539" t="str">
        <f t="shared" si="627"/>
        <v/>
      </c>
      <c r="DB240" s="538" t="str">
        <f t="shared" si="628"/>
        <v/>
      </c>
      <c r="DC240" s="537" t="str">
        <f t="shared" si="629"/>
        <v/>
      </c>
      <c r="DD240" s="641">
        <f t="shared" si="630"/>
        <v>2</v>
      </c>
      <c r="DE240" s="95">
        <f t="shared" si="631"/>
        <v>1</v>
      </c>
      <c r="DF240" s="95">
        <f t="shared" si="632"/>
        <v>5</v>
      </c>
      <c r="DG240" s="95">
        <f t="shared" si="633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183</v>
      </c>
      <c r="B241" s="618">
        <f t="shared" ref="B241:K241" si="653">IF(B239="","",B239*B240)</f>
        <v>0</v>
      </c>
      <c r="C241" s="618">
        <f t="shared" si="653"/>
        <v>0</v>
      </c>
      <c r="D241" s="618">
        <f t="shared" si="653"/>
        <v>900</v>
      </c>
      <c r="E241" s="618">
        <f t="shared" si="653"/>
        <v>0</v>
      </c>
      <c r="F241" s="618">
        <f t="shared" si="653"/>
        <v>500</v>
      </c>
      <c r="G241" s="618">
        <f t="shared" si="653"/>
        <v>0</v>
      </c>
      <c r="H241" s="618">
        <f t="shared" si="653"/>
        <v>0</v>
      </c>
      <c r="I241" s="618">
        <f t="shared" si="653"/>
        <v>0</v>
      </c>
      <c r="J241" s="618" t="str">
        <f t="shared" si="653"/>
        <v/>
      </c>
      <c r="K241" s="618" t="str">
        <f t="shared" si="653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4">IF(T239="","",T239*T240)</f>
        <v>70</v>
      </c>
      <c r="U241" s="618">
        <f t="shared" si="654"/>
        <v>0</v>
      </c>
      <c r="V241" s="618">
        <f t="shared" si="654"/>
        <v>0</v>
      </c>
      <c r="W241" s="618">
        <f t="shared" si="654"/>
        <v>0</v>
      </c>
      <c r="X241" s="618">
        <f t="shared" si="654"/>
        <v>0</v>
      </c>
      <c r="Y241" s="618">
        <f t="shared" si="654"/>
        <v>0</v>
      </c>
      <c r="Z241" s="618">
        <f t="shared" si="654"/>
        <v>0</v>
      </c>
      <c r="AA241" s="618">
        <f t="shared" si="654"/>
        <v>0</v>
      </c>
      <c r="AB241" s="618">
        <f t="shared" si="654"/>
        <v>0</v>
      </c>
      <c r="AC241" s="618">
        <f t="shared" si="654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5">IF(AL239="","",AL239*AL240)</f>
        <v>1050</v>
      </c>
      <c r="AM241" s="618">
        <f t="shared" si="655"/>
        <v>0</v>
      </c>
      <c r="AN241" s="618" t="str">
        <f t="shared" si="655"/>
        <v/>
      </c>
      <c r="AO241" s="618" t="str">
        <f t="shared" si="655"/>
        <v/>
      </c>
      <c r="AP241" s="618">
        <f t="shared" si="655"/>
        <v>0</v>
      </c>
      <c r="AQ241" s="618">
        <f t="shared" si="655"/>
        <v>3600</v>
      </c>
      <c r="AR241" s="618">
        <f t="shared" si="655"/>
        <v>450</v>
      </c>
      <c r="AS241" s="618">
        <f t="shared" si="655"/>
        <v>0</v>
      </c>
      <c r="AT241" s="618">
        <f t="shared" si="655"/>
        <v>400</v>
      </c>
      <c r="AU241" s="618">
        <f t="shared" si="655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6">IF(BD239="","",BD239*BD240)</f>
        <v>1500</v>
      </c>
      <c r="BE241" s="618">
        <f t="shared" si="656"/>
        <v>0</v>
      </c>
      <c r="BF241" s="618">
        <f t="shared" si="656"/>
        <v>0</v>
      </c>
      <c r="BG241" s="618">
        <f t="shared" si="656"/>
        <v>0</v>
      </c>
      <c r="BH241" s="618">
        <f t="shared" si="656"/>
        <v>480</v>
      </c>
      <c r="BI241" s="618">
        <f t="shared" si="656"/>
        <v>2000</v>
      </c>
      <c r="BJ241" s="618">
        <f t="shared" si="656"/>
        <v>0</v>
      </c>
      <c r="BK241" s="618">
        <f t="shared" si="656"/>
        <v>3500</v>
      </c>
      <c r="BL241" s="618">
        <f t="shared" si="656"/>
        <v>750</v>
      </c>
      <c r="BM241" s="618">
        <f t="shared" si="656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500</v>
      </c>
      <c r="BY241" s="618">
        <f>IF(BY239="","",BY239*BY240)</f>
        <v>655</v>
      </c>
      <c r="BZ241" s="586">
        <f t="shared" si="600"/>
        <v>83.333333333333329</v>
      </c>
      <c r="CA241" s="586">
        <f t="shared" si="601"/>
        <v>0</v>
      </c>
      <c r="CB241" s="586">
        <f t="shared" si="602"/>
        <v>566.66666666666663</v>
      </c>
      <c r="CC241" s="676">
        <f t="shared" si="603"/>
        <v>606.25</v>
      </c>
      <c r="CD241" s="1316" t="str">
        <f t="shared" si="644"/>
        <v/>
      </c>
      <c r="CE241" s="1317">
        <f t="shared" si="639"/>
        <v>0</v>
      </c>
      <c r="CF241" s="1317">
        <f t="shared" si="639"/>
        <v>0</v>
      </c>
      <c r="CG241" s="1317">
        <f t="shared" si="639"/>
        <v>0</v>
      </c>
      <c r="CH241" s="1318">
        <f t="shared" si="639"/>
        <v>400</v>
      </c>
      <c r="CI241" s="1318">
        <f t="shared" si="639"/>
        <v>450</v>
      </c>
      <c r="CJ241" s="1317">
        <f t="shared" si="639"/>
        <v>1050</v>
      </c>
      <c r="CK241" s="1317">
        <f t="shared" si="639"/>
        <v>1500</v>
      </c>
      <c r="CL241" s="1317">
        <f t="shared" si="639"/>
        <v>3600</v>
      </c>
      <c r="CM241" s="1316" t="str">
        <f t="shared" si="639"/>
        <v/>
      </c>
      <c r="CN241" s="538" t="str">
        <f t="shared" si="614"/>
        <v/>
      </c>
      <c r="CO241" s="539" t="str">
        <f t="shared" si="615"/>
        <v/>
      </c>
      <c r="CP241" s="539" t="str">
        <f t="shared" si="616"/>
        <v/>
      </c>
      <c r="CQ241" s="539">
        <f t="shared" si="617"/>
        <v>0</v>
      </c>
      <c r="CR241" s="539">
        <f t="shared" si="618"/>
        <v>0</v>
      </c>
      <c r="CS241" s="539">
        <f t="shared" si="619"/>
        <v>0</v>
      </c>
      <c r="CT241" s="540">
        <f t="shared" si="620"/>
        <v>0</v>
      </c>
      <c r="CU241" s="540">
        <f t="shared" si="621"/>
        <v>120</v>
      </c>
      <c r="CV241" s="540">
        <f t="shared" si="622"/>
        <v>480</v>
      </c>
      <c r="CW241" s="539">
        <f t="shared" si="623"/>
        <v>750</v>
      </c>
      <c r="CX241" s="539">
        <f t="shared" si="624"/>
        <v>1500</v>
      </c>
      <c r="CY241" s="539">
        <f t="shared" si="625"/>
        <v>2000</v>
      </c>
      <c r="CZ241" s="539">
        <f t="shared" si="626"/>
        <v>3500</v>
      </c>
      <c r="DA241" s="539" t="str">
        <f t="shared" si="627"/>
        <v/>
      </c>
      <c r="DB241" s="538" t="str">
        <f t="shared" si="628"/>
        <v/>
      </c>
      <c r="DC241" s="537" t="str">
        <f t="shared" si="629"/>
        <v/>
      </c>
      <c r="DD241" s="641">
        <f t="shared" si="630"/>
        <v>8</v>
      </c>
      <c r="DE241" s="95">
        <f t="shared" si="631"/>
        <v>10</v>
      </c>
      <c r="DF241" s="95">
        <f t="shared" si="632"/>
        <v>8</v>
      </c>
      <c r="DG241" s="95">
        <f t="shared" si="633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258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600"/>
        <v>50.142857142857146</v>
      </c>
      <c r="CA242" s="586">
        <f t="shared" si="601"/>
        <v>38.75</v>
      </c>
      <c r="CB242" s="586">
        <f t="shared" si="602"/>
        <v>26.571428571428573</v>
      </c>
      <c r="CC242" s="676">
        <f t="shared" si="603"/>
        <v>83.75</v>
      </c>
      <c r="CD242" s="1316">
        <f t="shared" si="644"/>
        <v>0</v>
      </c>
      <c r="CE242" s="1317">
        <f t="shared" si="639"/>
        <v>0</v>
      </c>
      <c r="CF242" s="1317">
        <f t="shared" si="639"/>
        <v>1</v>
      </c>
      <c r="CG242" s="1317">
        <f t="shared" si="639"/>
        <v>5</v>
      </c>
      <c r="CH242" s="1318">
        <f t="shared" si="639"/>
        <v>10</v>
      </c>
      <c r="CI242" s="1318">
        <f t="shared" si="639"/>
        <v>20</v>
      </c>
      <c r="CJ242" s="1317">
        <f t="shared" si="639"/>
        <v>50</v>
      </c>
      <c r="CK242" s="1317">
        <f t="shared" si="639"/>
        <v>100</v>
      </c>
      <c r="CL242" s="1317">
        <f t="shared" si="639"/>
        <v>150</v>
      </c>
      <c r="CM242" s="1316" t="str">
        <f t="shared" si="639"/>
        <v/>
      </c>
      <c r="CN242" s="538" t="str">
        <f t="shared" si="614"/>
        <v/>
      </c>
      <c r="CO242" s="539" t="str">
        <f t="shared" si="615"/>
        <v/>
      </c>
      <c r="CP242" s="539" t="str">
        <f t="shared" si="616"/>
        <v/>
      </c>
      <c r="CQ242" s="539">
        <f t="shared" si="617"/>
        <v>10</v>
      </c>
      <c r="CR242" s="539">
        <f t="shared" si="618"/>
        <v>40</v>
      </c>
      <c r="CS242" s="539">
        <f t="shared" si="619"/>
        <v>50</v>
      </c>
      <c r="CT242" s="540">
        <f t="shared" si="620"/>
        <v>50</v>
      </c>
      <c r="CU242" s="540">
        <f t="shared" si="621"/>
        <v>60</v>
      </c>
      <c r="CV242" s="540">
        <f t="shared" si="622"/>
        <v>70</v>
      </c>
      <c r="CW242" s="539">
        <f t="shared" si="623"/>
        <v>100</v>
      </c>
      <c r="CX242" s="539">
        <f t="shared" si="624"/>
        <v>100</v>
      </c>
      <c r="CY242" s="539">
        <f t="shared" si="625"/>
        <v>200</v>
      </c>
      <c r="CZ242" s="539">
        <f t="shared" si="626"/>
        <v>547.5</v>
      </c>
      <c r="DA242" s="539" t="str">
        <f t="shared" si="627"/>
        <v/>
      </c>
      <c r="DB242" s="538" t="str">
        <f t="shared" si="628"/>
        <v/>
      </c>
      <c r="DC242" s="537" t="str">
        <f t="shared" si="629"/>
        <v/>
      </c>
      <c r="DD242" s="641">
        <f t="shared" si="630"/>
        <v>9</v>
      </c>
      <c r="DE242" s="95">
        <f t="shared" si="631"/>
        <v>10</v>
      </c>
      <c r="DF242" s="95">
        <f t="shared" si="632"/>
        <v>9</v>
      </c>
      <c r="DG242" s="95">
        <f t="shared" si="633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227</v>
      </c>
      <c r="B243" s="621">
        <f t="shared" ref="B243:K243" si="657">IF(B237="","",(B237-B239-B242)*B238/B$46/365/$G$1)</f>
        <v>0.14668138356164381</v>
      </c>
      <c r="C243" s="621">
        <f t="shared" si="657"/>
        <v>6.759510763209392E-2</v>
      </c>
      <c r="D243" s="621">
        <f t="shared" si="657"/>
        <v>2.9572859589041094E-2</v>
      </c>
      <c r="E243" s="621">
        <f t="shared" si="657"/>
        <v>7.0974863013698611E-2</v>
      </c>
      <c r="F243" s="621">
        <f t="shared" si="657"/>
        <v>0.10139266144814088</v>
      </c>
      <c r="G243" s="621">
        <f t="shared" si="657"/>
        <v>8.8718578767123274E-2</v>
      </c>
      <c r="H243" s="621">
        <f t="shared" si="657"/>
        <v>7.8860958904109574E-2</v>
      </c>
      <c r="I243" s="621">
        <f t="shared" si="657"/>
        <v>0.14100339452054794</v>
      </c>
      <c r="J243" s="621">
        <f t="shared" si="657"/>
        <v>0.11829143835616437</v>
      </c>
      <c r="K243" s="621">
        <f t="shared" si="657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8">IF(T237="","",(T237-T239-T242)*T238/T$46/365/$G$1)</f>
        <v>0.17447987157534242</v>
      </c>
      <c r="U243" s="621">
        <f t="shared" si="658"/>
        <v>6.0835596868884532E-2</v>
      </c>
      <c r="V243" s="621">
        <f t="shared" si="658"/>
        <v>0.13143493150684929</v>
      </c>
      <c r="W243" s="621">
        <f t="shared" si="658"/>
        <v>7.5706520547945202E-2</v>
      </c>
      <c r="X243" s="621">
        <f t="shared" si="658"/>
        <v>0.11237686643835616</v>
      </c>
      <c r="Y243" s="621">
        <f t="shared" si="658"/>
        <v>0.10409646575342466</v>
      </c>
      <c r="Z243" s="621">
        <f t="shared" si="658"/>
        <v>5.2573972602739716E-2</v>
      </c>
      <c r="AA243" s="621">
        <f t="shared" si="658"/>
        <v>6.1511547945205483E-2</v>
      </c>
      <c r="AB243" s="621">
        <f t="shared" si="658"/>
        <v>4.731657534246575E-2</v>
      </c>
      <c r="AC243" s="621">
        <f t="shared" si="658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9">IF(AL237="","",(AL237-AL239-AL242)*AL238/AL$46/365/$G$1)</f>
        <v>0.10139266144814088</v>
      </c>
      <c r="AM243" s="621">
        <f t="shared" si="659"/>
        <v>5.9145719178082187E-2</v>
      </c>
      <c r="AN243" s="621" t="str">
        <f t="shared" si="659"/>
        <v/>
      </c>
      <c r="AO243" s="621">
        <f t="shared" si="659"/>
        <v>0.11829143835616437</v>
      </c>
      <c r="AP243" s="621">
        <f t="shared" si="659"/>
        <v>0.14194972602739722</v>
      </c>
      <c r="AQ243" s="621">
        <f t="shared" si="659"/>
        <v>8.5169835616438358E-2</v>
      </c>
      <c r="AR243" s="621">
        <f t="shared" si="659"/>
        <v>6.759510763209392E-2</v>
      </c>
      <c r="AS243" s="621">
        <f t="shared" si="659"/>
        <v>0.1414765602739726</v>
      </c>
      <c r="AT243" s="621">
        <f t="shared" si="659"/>
        <v>9.46331506849315E-2</v>
      </c>
      <c r="AU243" s="621">
        <f t="shared" si="659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60">IF(BD237="","",(BD237-BD239-BD242)*BD238/BD$46/365/$G$1)</f>
        <v>0.20503849315068493</v>
      </c>
      <c r="BE243" s="621">
        <f t="shared" si="660"/>
        <v>7.688943493150685E-2</v>
      </c>
      <c r="BF243" s="621">
        <f t="shared" si="660"/>
        <v>0.17842291952054795</v>
      </c>
      <c r="BG243" s="621">
        <f t="shared" si="660"/>
        <v>0.13519021526418784</v>
      </c>
      <c r="BH243" s="621">
        <f t="shared" si="660"/>
        <v>0.12904520547945203</v>
      </c>
      <c r="BI243" s="621">
        <f t="shared" si="660"/>
        <v>0.14194972602739722</v>
      </c>
      <c r="BJ243" s="621">
        <f t="shared" si="660"/>
        <v>5.9145719178082187E-2</v>
      </c>
      <c r="BK243" s="621">
        <f t="shared" si="660"/>
        <v>6.0835596868884532E-2</v>
      </c>
      <c r="BL243" s="621">
        <f t="shared" si="660"/>
        <v>0.12904520547945203</v>
      </c>
      <c r="BM243" s="621">
        <f t="shared" si="660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600"/>
        <v>0.10025340223825832</v>
      </c>
      <c r="CA243" s="611">
        <f t="shared" si="601"/>
        <v>8.0731559625733862E-2</v>
      </c>
      <c r="CB243" s="611">
        <f t="shared" si="602"/>
        <v>9.6738255465473863E-2</v>
      </c>
      <c r="CC243" s="679">
        <f t="shared" si="603"/>
        <v>0.12416600369985319</v>
      </c>
      <c r="CD243" s="1319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0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0">
        <f t="shared" si="661"/>
        <v>6.8609034246575343E-2</v>
      </c>
      <c r="CG243" s="1320">
        <f t="shared" si="661"/>
        <v>8.5169835616438358E-2</v>
      </c>
      <c r="CH243" s="1321">
        <f t="shared" si="661"/>
        <v>9.46331506849315E-2</v>
      </c>
      <c r="CI243" s="1321">
        <f t="shared" si="661"/>
        <v>0.10139266144814088</v>
      </c>
      <c r="CJ243" s="1320">
        <f t="shared" si="661"/>
        <v>0.11829143835616437</v>
      </c>
      <c r="CK243" s="1320">
        <f t="shared" si="661"/>
        <v>0.1414765602739726</v>
      </c>
      <c r="CL243" s="1320">
        <f t="shared" si="661"/>
        <v>0.14194972602739722</v>
      </c>
      <c r="CM243" s="1319" t="str">
        <f t="shared" si="661"/>
        <v/>
      </c>
      <c r="CN243" s="526" t="str">
        <f t="shared" si="614"/>
        <v/>
      </c>
      <c r="CO243" s="527" t="str">
        <f t="shared" si="615"/>
        <v/>
      </c>
      <c r="CP243" s="527" t="str">
        <f t="shared" si="616"/>
        <v/>
      </c>
      <c r="CQ243" s="527">
        <f t="shared" si="617"/>
        <v>5.9145719178082187E-2</v>
      </c>
      <c r="CR243" s="527">
        <f t="shared" si="618"/>
        <v>6.0835596868884532E-2</v>
      </c>
      <c r="CS243" s="527">
        <f t="shared" si="619"/>
        <v>7.688943493150685E-2</v>
      </c>
      <c r="CT243" s="528">
        <f t="shared" si="620"/>
        <v>0.12904520547945203</v>
      </c>
      <c r="CU243" s="528">
        <f t="shared" si="621"/>
        <v>0.12904520547945203</v>
      </c>
      <c r="CV243" s="528">
        <f t="shared" si="622"/>
        <v>0.13519021526418784</v>
      </c>
      <c r="CW243" s="527">
        <f t="shared" si="623"/>
        <v>0.14194972602739722</v>
      </c>
      <c r="CX243" s="527">
        <f t="shared" si="624"/>
        <v>0.14194972602739725</v>
      </c>
      <c r="CY243" s="527">
        <f t="shared" si="625"/>
        <v>0.17842291952054795</v>
      </c>
      <c r="CZ243" s="527">
        <f t="shared" si="626"/>
        <v>0.20503849315068493</v>
      </c>
      <c r="DA243" s="527" t="str">
        <f t="shared" si="627"/>
        <v/>
      </c>
      <c r="DB243" s="526" t="str">
        <f t="shared" si="628"/>
        <v/>
      </c>
      <c r="DC243" s="525" t="str">
        <f t="shared" si="629"/>
        <v/>
      </c>
      <c r="DD243" s="641">
        <f t="shared" si="630"/>
        <v>10</v>
      </c>
      <c r="DE243" s="95">
        <f t="shared" si="631"/>
        <v>10</v>
      </c>
      <c r="DF243" s="95">
        <f t="shared" si="632"/>
        <v>9</v>
      </c>
      <c r="DG243" s="95">
        <f t="shared" si="633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259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600"/>
        <v/>
      </c>
      <c r="CA244" s="586" t="str">
        <f t="shared" si="601"/>
        <v/>
      </c>
      <c r="CB244" s="586" t="str">
        <f t="shared" si="602"/>
        <v/>
      </c>
      <c r="CC244" s="676">
        <f t="shared" si="603"/>
        <v>75</v>
      </c>
      <c r="CD244" s="1316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7" t="str">
        <f t="shared" si="661"/>
        <v/>
      </c>
      <c r="CF244" s="1317" t="str">
        <f t="shared" si="661"/>
        <v/>
      </c>
      <c r="CG244" s="1317" t="str">
        <f t="shared" si="661"/>
        <v/>
      </c>
      <c r="CH244" s="1318">
        <f t="shared" si="661"/>
        <v>150</v>
      </c>
      <c r="CI244" s="1318">
        <f t="shared" si="661"/>
        <v>250</v>
      </c>
      <c r="CJ244" s="1317" t="str">
        <f t="shared" si="661"/>
        <v/>
      </c>
      <c r="CK244" s="1317" t="str">
        <f t="shared" si="661"/>
        <v/>
      </c>
      <c r="CL244" s="1317" t="str">
        <f t="shared" si="661"/>
        <v/>
      </c>
      <c r="CM244" s="1316" t="str">
        <f t="shared" si="661"/>
        <v/>
      </c>
      <c r="CN244" s="538" t="str">
        <f t="shared" si="614"/>
        <v/>
      </c>
      <c r="CO244" s="539" t="str">
        <f t="shared" si="615"/>
        <v/>
      </c>
      <c r="CP244" s="539" t="str">
        <f t="shared" si="616"/>
        <v/>
      </c>
      <c r="CQ244" s="539" t="str">
        <f t="shared" si="617"/>
        <v/>
      </c>
      <c r="CR244" s="539" t="str">
        <f t="shared" si="618"/>
        <v/>
      </c>
      <c r="CS244" s="539" t="str">
        <f t="shared" si="619"/>
        <v/>
      </c>
      <c r="CT244" s="540">
        <f t="shared" si="620"/>
        <v>50</v>
      </c>
      <c r="CU244" s="540">
        <f t="shared" si="621"/>
        <v>75</v>
      </c>
      <c r="CV244" s="540">
        <f t="shared" si="622"/>
        <v>100</v>
      </c>
      <c r="CW244" s="539" t="str">
        <f t="shared" si="623"/>
        <v/>
      </c>
      <c r="CX244" s="539" t="str">
        <f t="shared" si="624"/>
        <v/>
      </c>
      <c r="CY244" s="539" t="str">
        <f t="shared" si="625"/>
        <v/>
      </c>
      <c r="CZ244" s="539" t="str">
        <f t="shared" si="626"/>
        <v/>
      </c>
      <c r="DA244" s="539" t="str">
        <f t="shared" si="627"/>
        <v/>
      </c>
      <c r="DB244" s="538" t="str">
        <f t="shared" si="628"/>
        <v/>
      </c>
      <c r="DC244" s="537" t="str">
        <f t="shared" si="629"/>
        <v/>
      </c>
      <c r="DD244" s="641">
        <f t="shared" si="630"/>
        <v>2</v>
      </c>
      <c r="DE244" s="95">
        <f t="shared" si="631"/>
        <v>2</v>
      </c>
      <c r="DF244" s="95">
        <f t="shared" si="632"/>
        <v>2</v>
      </c>
      <c r="DG244" s="95">
        <f t="shared" si="633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260</v>
      </c>
      <c r="B245" s="690">
        <f>3550*$K$1</f>
        <v>14863.14</v>
      </c>
      <c r="C245" s="690">
        <f t="shared" ref="C245:K245" si="663">3550*$K$1</f>
        <v>14863.14</v>
      </c>
      <c r="D245" s="690">
        <f t="shared" si="663"/>
        <v>14863.14</v>
      </c>
      <c r="E245" s="690">
        <f t="shared" si="663"/>
        <v>14863.14</v>
      </c>
      <c r="F245" s="690">
        <f t="shared" si="663"/>
        <v>14863.14</v>
      </c>
      <c r="G245" s="690">
        <f t="shared" si="663"/>
        <v>14863.14</v>
      </c>
      <c r="H245" s="690">
        <f t="shared" si="663"/>
        <v>14863.14</v>
      </c>
      <c r="I245" s="690">
        <f t="shared" si="663"/>
        <v>14863.14</v>
      </c>
      <c r="J245" s="690">
        <f t="shared" si="663"/>
        <v>14863.14</v>
      </c>
      <c r="K245" s="690">
        <f t="shared" si="663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4">3550*$K$1</f>
        <v>14863.14</v>
      </c>
      <c r="V245" s="690">
        <f t="shared" si="664"/>
        <v>14863.14</v>
      </c>
      <c r="W245" s="690">
        <f t="shared" si="664"/>
        <v>14863.14</v>
      </c>
      <c r="X245" s="690">
        <f t="shared" si="664"/>
        <v>14863.14</v>
      </c>
      <c r="Y245" s="690">
        <f t="shared" si="664"/>
        <v>14863.14</v>
      </c>
      <c r="Z245" s="690">
        <f t="shared" si="664"/>
        <v>14863.14</v>
      </c>
      <c r="AA245" s="690">
        <f t="shared" si="664"/>
        <v>14863.14</v>
      </c>
      <c r="AB245" s="690">
        <f t="shared" si="664"/>
        <v>14863.14</v>
      </c>
      <c r="AC245" s="690">
        <f t="shared" si="664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5">3550*$K$1</f>
        <v>14863.14</v>
      </c>
      <c r="AN245" s="690">
        <f t="shared" si="665"/>
        <v>14863.14</v>
      </c>
      <c r="AO245" s="690">
        <f t="shared" si="665"/>
        <v>14863.14</v>
      </c>
      <c r="AP245" s="690">
        <f t="shared" si="665"/>
        <v>14863.14</v>
      </c>
      <c r="AQ245" s="690">
        <f t="shared" si="665"/>
        <v>14863.14</v>
      </c>
      <c r="AR245" s="690">
        <f t="shared" si="665"/>
        <v>14863.14</v>
      </c>
      <c r="AS245" s="690">
        <f t="shared" si="665"/>
        <v>14863.14</v>
      </c>
      <c r="AT245" s="690">
        <f t="shared" si="665"/>
        <v>14863.14</v>
      </c>
      <c r="AU245" s="690">
        <f t="shared" si="665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6">3550*$K$1</f>
        <v>14863.14</v>
      </c>
      <c r="BF245" s="690">
        <f t="shared" si="666"/>
        <v>14863.14</v>
      </c>
      <c r="BG245" s="690">
        <f t="shared" si="666"/>
        <v>14863.14</v>
      </c>
      <c r="BH245" s="690">
        <f t="shared" si="666"/>
        <v>14863.14</v>
      </c>
      <c r="BI245" s="690">
        <f t="shared" si="666"/>
        <v>14863.14</v>
      </c>
      <c r="BJ245" s="690">
        <f t="shared" si="666"/>
        <v>14863.14</v>
      </c>
      <c r="BK245" s="690">
        <f t="shared" si="666"/>
        <v>14863.14</v>
      </c>
      <c r="BL245" s="690">
        <f t="shared" si="666"/>
        <v>14863.14</v>
      </c>
      <c r="BM245" s="690">
        <f t="shared" si="666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6"/>
        <v>14863.14</v>
      </c>
      <c r="BW245" s="690">
        <f t="shared" si="666"/>
        <v>14863.14</v>
      </c>
      <c r="BX245" s="690">
        <f t="shared" si="666"/>
        <v>14863.14</v>
      </c>
      <c r="BY245" s="690">
        <f t="shared" si="666"/>
        <v>14863.14</v>
      </c>
      <c r="BZ245" s="586">
        <f t="shared" si="600"/>
        <v>14863.140000000001</v>
      </c>
      <c r="CA245" s="586">
        <f t="shared" si="601"/>
        <v>14863.140000000001</v>
      </c>
      <c r="CB245" s="586">
        <f t="shared" si="602"/>
        <v>14863.140000000001</v>
      </c>
      <c r="CC245" s="676">
        <f t="shared" si="603"/>
        <v>14863.140000000001</v>
      </c>
      <c r="CD245" s="1316">
        <f t="shared" si="662"/>
        <v>14863.14</v>
      </c>
      <c r="CE245" s="1317">
        <f t="shared" si="661"/>
        <v>14863.14</v>
      </c>
      <c r="CF245" s="1317">
        <f t="shared" si="661"/>
        <v>14863.14</v>
      </c>
      <c r="CG245" s="1317">
        <f t="shared" si="661"/>
        <v>14863.14</v>
      </c>
      <c r="CH245" s="1318">
        <f t="shared" si="661"/>
        <v>14863.14</v>
      </c>
      <c r="CI245" s="1318">
        <f t="shared" si="661"/>
        <v>14863.14</v>
      </c>
      <c r="CJ245" s="1317">
        <f t="shared" si="661"/>
        <v>14863.14</v>
      </c>
      <c r="CK245" s="1317">
        <f t="shared" si="661"/>
        <v>14863.14</v>
      </c>
      <c r="CL245" s="1317">
        <f t="shared" si="661"/>
        <v>14863.14</v>
      </c>
      <c r="CM245" s="1316">
        <f t="shared" si="661"/>
        <v>14863.14</v>
      </c>
      <c r="CN245" s="538" t="str">
        <f t="shared" si="614"/>
        <v/>
      </c>
      <c r="CO245" s="539" t="str">
        <f t="shared" si="615"/>
        <v/>
      </c>
      <c r="CP245" s="539" t="str">
        <f t="shared" si="616"/>
        <v/>
      </c>
      <c r="CQ245" s="539">
        <f t="shared" si="617"/>
        <v>14863.14</v>
      </c>
      <c r="CR245" s="539">
        <f t="shared" si="618"/>
        <v>14863.14</v>
      </c>
      <c r="CS245" s="539">
        <f t="shared" si="619"/>
        <v>14863.14</v>
      </c>
      <c r="CT245" s="540">
        <f t="shared" si="620"/>
        <v>14863.14</v>
      </c>
      <c r="CU245" s="540">
        <f t="shared" si="621"/>
        <v>14863.14</v>
      </c>
      <c r="CV245" s="540">
        <f t="shared" si="622"/>
        <v>14863.14</v>
      </c>
      <c r="CW245" s="539">
        <f t="shared" si="623"/>
        <v>14863.14</v>
      </c>
      <c r="CX245" s="539">
        <f t="shared" si="624"/>
        <v>14863.14</v>
      </c>
      <c r="CY245" s="539">
        <f t="shared" si="625"/>
        <v>14863.14</v>
      </c>
      <c r="CZ245" s="539">
        <f t="shared" si="626"/>
        <v>14863.14</v>
      </c>
      <c r="DA245" s="539" t="str">
        <f t="shared" si="627"/>
        <v/>
      </c>
      <c r="DB245" s="538" t="str">
        <f t="shared" si="628"/>
        <v/>
      </c>
      <c r="DC245" s="537" t="str">
        <f t="shared" si="629"/>
        <v/>
      </c>
      <c r="DD245" s="641">
        <f t="shared" si="630"/>
        <v>10</v>
      </c>
      <c r="DE245" s="95">
        <f t="shared" si="631"/>
        <v>10</v>
      </c>
      <c r="DF245" s="95">
        <f t="shared" si="632"/>
        <v>10</v>
      </c>
      <c r="DG245" s="95">
        <f t="shared" si="633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257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600"/>
        <v/>
      </c>
      <c r="CA246" s="586" t="str">
        <f t="shared" si="601"/>
        <v/>
      </c>
      <c r="CB246" s="586" t="str">
        <f t="shared" si="602"/>
        <v/>
      </c>
      <c r="CC246" s="676" t="str">
        <f t="shared" si="603"/>
        <v/>
      </c>
      <c r="CD246" s="1316" t="str">
        <f t="shared" si="662"/>
        <v/>
      </c>
      <c r="CE246" s="1317" t="str">
        <f t="shared" si="661"/>
        <v/>
      </c>
      <c r="CF246" s="1317" t="str">
        <f t="shared" si="661"/>
        <v/>
      </c>
      <c r="CG246" s="1317" t="str">
        <f t="shared" si="661"/>
        <v/>
      </c>
      <c r="CH246" s="1318">
        <f t="shared" si="661"/>
        <v>50</v>
      </c>
      <c r="CI246" s="1318" t="str">
        <f t="shared" si="661"/>
        <v/>
      </c>
      <c r="CJ246" s="1317" t="str">
        <f t="shared" si="661"/>
        <v/>
      </c>
      <c r="CK246" s="1317" t="str">
        <f t="shared" si="661"/>
        <v/>
      </c>
      <c r="CL246" s="1317" t="str">
        <f t="shared" si="661"/>
        <v/>
      </c>
      <c r="CM246" s="1316" t="str">
        <f t="shared" si="661"/>
        <v/>
      </c>
      <c r="CN246" s="538" t="str">
        <f t="shared" si="614"/>
        <v/>
      </c>
      <c r="CO246" s="539" t="str">
        <f t="shared" si="615"/>
        <v/>
      </c>
      <c r="CP246" s="539" t="str">
        <f t="shared" si="616"/>
        <v/>
      </c>
      <c r="CQ246" s="539" t="str">
        <f t="shared" si="617"/>
        <v/>
      </c>
      <c r="CR246" s="539" t="str">
        <f t="shared" si="618"/>
        <v/>
      </c>
      <c r="CS246" s="539" t="str">
        <f t="shared" si="619"/>
        <v/>
      </c>
      <c r="CT246" s="540" t="str">
        <f t="shared" si="620"/>
        <v/>
      </c>
      <c r="CU246" s="540">
        <f t="shared" si="621"/>
        <v>0</v>
      </c>
      <c r="CV246" s="540">
        <f t="shared" si="622"/>
        <v>0</v>
      </c>
      <c r="CW246" s="539" t="str">
        <f t="shared" si="623"/>
        <v/>
      </c>
      <c r="CX246" s="539" t="str">
        <f t="shared" si="624"/>
        <v/>
      </c>
      <c r="CY246" s="539" t="str">
        <f t="shared" si="625"/>
        <v/>
      </c>
      <c r="CZ246" s="539" t="str">
        <f t="shared" si="626"/>
        <v/>
      </c>
      <c r="DA246" s="539" t="str">
        <f t="shared" si="627"/>
        <v/>
      </c>
      <c r="DB246" s="538" t="str">
        <f t="shared" si="628"/>
        <v/>
      </c>
      <c r="DC246" s="537" t="str">
        <f t="shared" si="629"/>
        <v/>
      </c>
      <c r="DD246" s="641">
        <f t="shared" si="630"/>
        <v>2</v>
      </c>
      <c r="DE246" s="95">
        <f t="shared" si="631"/>
        <v>1</v>
      </c>
      <c r="DF246" s="95">
        <f t="shared" si="632"/>
        <v>1</v>
      </c>
      <c r="DG246" s="95">
        <f t="shared" si="633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600"/>
        <v/>
      </c>
      <c r="CA247" s="586" t="str">
        <f t="shared" si="601"/>
        <v/>
      </c>
      <c r="CB247" s="586" t="str">
        <f t="shared" si="602"/>
        <v/>
      </c>
      <c r="CC247" s="676" t="str">
        <f t="shared" si="603"/>
        <v/>
      </c>
      <c r="CD247" s="1316" t="str">
        <f t="shared" si="662"/>
        <v/>
      </c>
      <c r="CE247" s="1317" t="str">
        <f t="shared" si="661"/>
        <v/>
      </c>
      <c r="CF247" s="1317" t="str">
        <f t="shared" si="661"/>
        <v/>
      </c>
      <c r="CG247" s="1317" t="str">
        <f t="shared" si="661"/>
        <v/>
      </c>
      <c r="CH247" s="1318">
        <f t="shared" si="661"/>
        <v>3</v>
      </c>
      <c r="CI247" s="1318" t="str">
        <f t="shared" si="661"/>
        <v/>
      </c>
      <c r="CJ247" s="1317" t="str">
        <f t="shared" si="661"/>
        <v/>
      </c>
      <c r="CK247" s="1317" t="str">
        <f t="shared" si="661"/>
        <v/>
      </c>
      <c r="CL247" s="1317" t="str">
        <f t="shared" si="661"/>
        <v/>
      </c>
      <c r="CM247" s="1316" t="str">
        <f t="shared" si="661"/>
        <v/>
      </c>
      <c r="CN247" s="538" t="str">
        <f t="shared" si="614"/>
        <v/>
      </c>
      <c r="CO247" s="539" t="str">
        <f t="shared" si="615"/>
        <v/>
      </c>
      <c r="CP247" s="539" t="str">
        <f t="shared" si="616"/>
        <v/>
      </c>
      <c r="CQ247" s="539" t="str">
        <f t="shared" si="617"/>
        <v/>
      </c>
      <c r="CR247" s="539" t="str">
        <f t="shared" si="618"/>
        <v/>
      </c>
      <c r="CS247" s="539" t="str">
        <f t="shared" si="619"/>
        <v/>
      </c>
      <c r="CT247" s="540" t="str">
        <f t="shared" si="620"/>
        <v/>
      </c>
      <c r="CU247" s="540" t="str">
        <f t="shared" si="621"/>
        <v/>
      </c>
      <c r="CV247" s="540" t="str">
        <f t="shared" si="622"/>
        <v/>
      </c>
      <c r="CW247" s="539" t="str">
        <f t="shared" si="623"/>
        <v/>
      </c>
      <c r="CX247" s="539" t="str">
        <f t="shared" si="624"/>
        <v/>
      </c>
      <c r="CY247" s="539" t="str">
        <f t="shared" si="625"/>
        <v/>
      </c>
      <c r="CZ247" s="539" t="str">
        <f t="shared" si="626"/>
        <v/>
      </c>
      <c r="DA247" s="539" t="str">
        <f t="shared" si="627"/>
        <v/>
      </c>
      <c r="DB247" s="538" t="str">
        <f t="shared" si="628"/>
        <v/>
      </c>
      <c r="DC247" s="537" t="str">
        <f t="shared" si="629"/>
        <v/>
      </c>
      <c r="DD247" s="641">
        <f t="shared" si="630"/>
        <v>0</v>
      </c>
      <c r="DE247" s="95">
        <f t="shared" si="631"/>
        <v>0</v>
      </c>
      <c r="DF247" s="95">
        <f t="shared" si="632"/>
        <v>1</v>
      </c>
      <c r="DG247" s="95">
        <f t="shared" si="633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183</v>
      </c>
      <c r="B248" s="618" t="str">
        <f t="shared" ref="B248:K248" si="667">IF(B246="","",B246*B247)</f>
        <v/>
      </c>
      <c r="C248" s="618" t="str">
        <f t="shared" si="667"/>
        <v/>
      </c>
      <c r="D248" s="618" t="str">
        <f t="shared" si="667"/>
        <v/>
      </c>
      <c r="E248" s="618">
        <f t="shared" si="667"/>
        <v>0</v>
      </c>
      <c r="F248" s="618" t="str">
        <f t="shared" si="667"/>
        <v/>
      </c>
      <c r="G248" s="618" t="str">
        <f t="shared" si="667"/>
        <v/>
      </c>
      <c r="H248" s="618">
        <f t="shared" si="667"/>
        <v>0</v>
      </c>
      <c r="I248" s="618" t="str">
        <f t="shared" si="667"/>
        <v/>
      </c>
      <c r="J248" s="618" t="str">
        <f t="shared" si="667"/>
        <v/>
      </c>
      <c r="K248" s="618" t="str">
        <f t="shared" si="667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8">IF(T246="","",T246*T247)</f>
        <v/>
      </c>
      <c r="U248" s="618" t="str">
        <f t="shared" si="668"/>
        <v/>
      </c>
      <c r="V248" s="618" t="str">
        <f t="shared" si="668"/>
        <v/>
      </c>
      <c r="W248" s="618" t="str">
        <f t="shared" si="668"/>
        <v/>
      </c>
      <c r="X248" s="618" t="str">
        <f t="shared" si="668"/>
        <v/>
      </c>
      <c r="Y248" s="618" t="str">
        <f t="shared" si="668"/>
        <v/>
      </c>
      <c r="Z248" s="618">
        <f t="shared" si="668"/>
        <v>0</v>
      </c>
      <c r="AA248" s="618" t="str">
        <f t="shared" si="668"/>
        <v/>
      </c>
      <c r="AB248" s="618" t="str">
        <f t="shared" si="668"/>
        <v/>
      </c>
      <c r="AC248" s="618" t="str">
        <f t="shared" si="668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9">IF(AL246="","",AL246*AL247)</f>
        <v/>
      </c>
      <c r="AM248" s="618" t="str">
        <f t="shared" si="669"/>
        <v/>
      </c>
      <c r="AN248" s="618" t="str">
        <f t="shared" si="669"/>
        <v/>
      </c>
      <c r="AO248" s="618" t="str">
        <f t="shared" si="669"/>
        <v/>
      </c>
      <c r="AP248" s="618" t="str">
        <f t="shared" si="669"/>
        <v/>
      </c>
      <c r="AQ248" s="618" t="str">
        <f t="shared" si="669"/>
        <v/>
      </c>
      <c r="AR248" s="618">
        <f t="shared" si="669"/>
        <v>150</v>
      </c>
      <c r="AS248" s="618" t="str">
        <f t="shared" si="669"/>
        <v/>
      </c>
      <c r="AT248" s="618" t="str">
        <f t="shared" si="669"/>
        <v/>
      </c>
      <c r="AU248" s="618" t="str">
        <f t="shared" si="669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70">IF(BD246="","",BD246*BD247)</f>
        <v/>
      </c>
      <c r="BE248" s="618" t="str">
        <f t="shared" si="670"/>
        <v/>
      </c>
      <c r="BF248" s="618" t="str">
        <f t="shared" si="670"/>
        <v/>
      </c>
      <c r="BG248" s="618">
        <f t="shared" si="670"/>
        <v>0</v>
      </c>
      <c r="BH248" s="618" t="str">
        <f t="shared" si="670"/>
        <v/>
      </c>
      <c r="BI248" s="618">
        <f t="shared" si="670"/>
        <v>0</v>
      </c>
      <c r="BJ248" s="618" t="str">
        <f t="shared" si="670"/>
        <v/>
      </c>
      <c r="BK248" s="618" t="str">
        <f t="shared" si="670"/>
        <v/>
      </c>
      <c r="BL248" s="618" t="str">
        <f t="shared" si="670"/>
        <v/>
      </c>
      <c r="BM248" s="618" t="str">
        <f t="shared" si="670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600"/>
        <v/>
      </c>
      <c r="CA248" s="586" t="str">
        <f t="shared" si="601"/>
        <v/>
      </c>
      <c r="CB248" s="586" t="str">
        <f t="shared" si="602"/>
        <v/>
      </c>
      <c r="CC248" s="676" t="str">
        <f t="shared" si="603"/>
        <v/>
      </c>
      <c r="CD248" s="1316" t="str">
        <f t="shared" si="662"/>
        <v/>
      </c>
      <c r="CE248" s="1317" t="str">
        <f t="shared" si="661"/>
        <v/>
      </c>
      <c r="CF248" s="1317" t="str">
        <f t="shared" si="661"/>
        <v/>
      </c>
      <c r="CG248" s="1317" t="str">
        <f t="shared" si="661"/>
        <v/>
      </c>
      <c r="CH248" s="1318">
        <f t="shared" si="661"/>
        <v>150</v>
      </c>
      <c r="CI248" s="1318" t="str">
        <f t="shared" si="661"/>
        <v/>
      </c>
      <c r="CJ248" s="1317" t="str">
        <f t="shared" si="661"/>
        <v/>
      </c>
      <c r="CK248" s="1317" t="str">
        <f t="shared" si="661"/>
        <v/>
      </c>
      <c r="CL248" s="1317" t="str">
        <f t="shared" si="661"/>
        <v/>
      </c>
      <c r="CM248" s="1316" t="str">
        <f t="shared" si="661"/>
        <v/>
      </c>
      <c r="CN248" s="538" t="str">
        <f t="shared" si="614"/>
        <v/>
      </c>
      <c r="CO248" s="539" t="str">
        <f t="shared" si="615"/>
        <v/>
      </c>
      <c r="CP248" s="539" t="str">
        <f t="shared" si="616"/>
        <v/>
      </c>
      <c r="CQ248" s="539" t="str">
        <f t="shared" si="617"/>
        <v/>
      </c>
      <c r="CR248" s="539" t="str">
        <f t="shared" si="618"/>
        <v/>
      </c>
      <c r="CS248" s="539" t="str">
        <f t="shared" si="619"/>
        <v/>
      </c>
      <c r="CT248" s="540" t="str">
        <f t="shared" si="620"/>
        <v/>
      </c>
      <c r="CU248" s="540">
        <f t="shared" si="621"/>
        <v>0</v>
      </c>
      <c r="CV248" s="540">
        <f t="shared" si="622"/>
        <v>0</v>
      </c>
      <c r="CW248" s="539" t="str">
        <f t="shared" si="623"/>
        <v/>
      </c>
      <c r="CX248" s="539" t="str">
        <f t="shared" si="624"/>
        <v/>
      </c>
      <c r="CY248" s="539" t="str">
        <f t="shared" si="625"/>
        <v/>
      </c>
      <c r="CZ248" s="539" t="str">
        <f t="shared" si="626"/>
        <v/>
      </c>
      <c r="DA248" s="539" t="str">
        <f t="shared" si="627"/>
        <v/>
      </c>
      <c r="DB248" s="538" t="str">
        <f t="shared" si="628"/>
        <v/>
      </c>
      <c r="DC248" s="537" t="str">
        <f t="shared" si="629"/>
        <v/>
      </c>
      <c r="DD248" s="641">
        <f t="shared" si="630"/>
        <v>2</v>
      </c>
      <c r="DE248" s="95">
        <f t="shared" si="631"/>
        <v>1</v>
      </c>
      <c r="DF248" s="95">
        <f t="shared" si="632"/>
        <v>1</v>
      </c>
      <c r="DG248" s="95">
        <f t="shared" si="633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258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600"/>
        <v/>
      </c>
      <c r="CA249" s="586" t="str">
        <f t="shared" si="601"/>
        <v/>
      </c>
      <c r="CB249" s="586" t="str">
        <f t="shared" si="602"/>
        <v/>
      </c>
      <c r="CC249" s="676" t="str">
        <f t="shared" si="603"/>
        <v/>
      </c>
      <c r="CD249" s="1316" t="str">
        <f t="shared" si="662"/>
        <v/>
      </c>
      <c r="CE249" s="1317" t="str">
        <f t="shared" si="661"/>
        <v/>
      </c>
      <c r="CF249" s="1317" t="str">
        <f t="shared" si="661"/>
        <v/>
      </c>
      <c r="CG249" s="1317" t="str">
        <f t="shared" si="661"/>
        <v/>
      </c>
      <c r="CH249" s="1318">
        <f t="shared" si="661"/>
        <v>0</v>
      </c>
      <c r="CI249" s="1318">
        <f t="shared" si="661"/>
        <v>50</v>
      </c>
      <c r="CJ249" s="1317" t="str">
        <f t="shared" si="661"/>
        <v/>
      </c>
      <c r="CK249" s="1317" t="str">
        <f t="shared" si="661"/>
        <v/>
      </c>
      <c r="CL249" s="1317" t="str">
        <f t="shared" si="661"/>
        <v/>
      </c>
      <c r="CM249" s="1316" t="str">
        <f t="shared" si="661"/>
        <v/>
      </c>
      <c r="CN249" s="538" t="str">
        <f t="shared" si="614"/>
        <v/>
      </c>
      <c r="CO249" s="539" t="str">
        <f t="shared" si="615"/>
        <v/>
      </c>
      <c r="CP249" s="539" t="str">
        <f t="shared" si="616"/>
        <v/>
      </c>
      <c r="CQ249" s="539" t="str">
        <f t="shared" si="617"/>
        <v/>
      </c>
      <c r="CR249" s="539" t="str">
        <f t="shared" si="618"/>
        <v/>
      </c>
      <c r="CS249" s="539" t="str">
        <f t="shared" si="619"/>
        <v/>
      </c>
      <c r="CT249" s="540" t="str">
        <f t="shared" si="620"/>
        <v/>
      </c>
      <c r="CU249" s="540">
        <f t="shared" si="621"/>
        <v>25</v>
      </c>
      <c r="CV249" s="540" t="str">
        <f t="shared" si="622"/>
        <v/>
      </c>
      <c r="CW249" s="539" t="str">
        <f t="shared" si="623"/>
        <v/>
      </c>
      <c r="CX249" s="539" t="str">
        <f t="shared" si="624"/>
        <v/>
      </c>
      <c r="CY249" s="539" t="str">
        <f t="shared" si="625"/>
        <v/>
      </c>
      <c r="CZ249" s="539" t="str">
        <f t="shared" si="626"/>
        <v/>
      </c>
      <c r="DA249" s="539" t="str">
        <f t="shared" si="627"/>
        <v/>
      </c>
      <c r="DB249" s="538" t="str">
        <f t="shared" si="628"/>
        <v/>
      </c>
      <c r="DC249" s="537" t="str">
        <f t="shared" si="629"/>
        <v/>
      </c>
      <c r="DD249" s="641">
        <f t="shared" si="630"/>
        <v>0</v>
      </c>
      <c r="DE249" s="95">
        <f t="shared" si="631"/>
        <v>2</v>
      </c>
      <c r="DF249" s="95">
        <f t="shared" si="632"/>
        <v>2</v>
      </c>
      <c r="DG249" s="95">
        <f t="shared" si="633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227</v>
      </c>
      <c r="B250" s="621" t="str">
        <f t="shared" ref="B250:K250" si="671">IF(B244="","",(B244-B246-B249)*B245/B$46/365/$G$1)</f>
        <v/>
      </c>
      <c r="C250" s="621" t="str">
        <f t="shared" si="671"/>
        <v/>
      </c>
      <c r="D250" s="621" t="str">
        <f t="shared" si="671"/>
        <v/>
      </c>
      <c r="E250" s="621">
        <f t="shared" si="671"/>
        <v>4.6273785803237856E-2</v>
      </c>
      <c r="F250" s="621" t="str">
        <f t="shared" si="671"/>
        <v/>
      </c>
      <c r="G250" s="621" t="str">
        <f t="shared" si="671"/>
        <v/>
      </c>
      <c r="H250" s="621">
        <f t="shared" si="671"/>
        <v>5.141531755915317E-2</v>
      </c>
      <c r="I250" s="621" t="str">
        <f t="shared" si="671"/>
        <v/>
      </c>
      <c r="J250" s="621" t="str">
        <f t="shared" si="671"/>
        <v/>
      </c>
      <c r="K250" s="621" t="str">
        <f t="shared" si="671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2">IF(T244="","",(T244-T246-T249)*T245/T$46/365/$G$1)</f>
        <v/>
      </c>
      <c r="U250" s="621" t="str">
        <f t="shared" si="672"/>
        <v/>
      </c>
      <c r="V250" s="621" t="str">
        <f t="shared" si="672"/>
        <v/>
      </c>
      <c r="W250" s="621">
        <f t="shared" si="672"/>
        <v>4.6273785803237856E-2</v>
      </c>
      <c r="X250" s="621" t="str">
        <f t="shared" si="672"/>
        <v/>
      </c>
      <c r="Y250" s="621" t="str">
        <f t="shared" si="672"/>
        <v/>
      </c>
      <c r="Z250" s="621">
        <f t="shared" si="672"/>
        <v>5.141531755915317E-2</v>
      </c>
      <c r="AA250" s="621" t="str">
        <f t="shared" si="672"/>
        <v/>
      </c>
      <c r="AB250" s="621" t="str">
        <f t="shared" si="672"/>
        <v/>
      </c>
      <c r="AC250" s="621" t="str">
        <f t="shared" si="672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3">IF(AL244="","",(AL244-AL246-AL249)*AL245/AL$46/365/$G$1)</f>
        <v/>
      </c>
      <c r="AM250" s="621" t="str">
        <f t="shared" si="673"/>
        <v/>
      </c>
      <c r="AN250" s="621" t="str">
        <f t="shared" si="673"/>
        <v/>
      </c>
      <c r="AO250" s="621">
        <f t="shared" si="673"/>
        <v>9.2547571606475712E-2</v>
      </c>
      <c r="AP250" s="621" t="str">
        <f t="shared" si="673"/>
        <v/>
      </c>
      <c r="AQ250" s="621" t="str">
        <f t="shared" si="673"/>
        <v/>
      </c>
      <c r="AR250" s="621">
        <f t="shared" si="673"/>
        <v>6.6105408290339798E-2</v>
      </c>
      <c r="AS250" s="621" t="str">
        <f t="shared" si="673"/>
        <v/>
      </c>
      <c r="AT250" s="621" t="str">
        <f t="shared" si="673"/>
        <v/>
      </c>
      <c r="AU250" s="621" t="str">
        <f t="shared" si="673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4">IF(BD244="","",(BD244-BD246-BD249)*BD245/BD$46/365/$G$1)</f>
        <v/>
      </c>
      <c r="BE250" s="621" t="str">
        <f t="shared" si="674"/>
        <v/>
      </c>
      <c r="BF250" s="621" t="str">
        <f t="shared" si="674"/>
        <v/>
      </c>
      <c r="BG250" s="621">
        <f t="shared" si="674"/>
        <v>4.9579056217754852E-2</v>
      </c>
      <c r="BH250" s="621" t="str">
        <f t="shared" si="674"/>
        <v/>
      </c>
      <c r="BI250" s="621">
        <f t="shared" si="674"/>
        <v>3.4705339352428401E-2</v>
      </c>
      <c r="BJ250" s="621">
        <f t="shared" si="674"/>
        <v>2.8921116127023663E-2</v>
      </c>
      <c r="BK250" s="621" t="str">
        <f t="shared" si="674"/>
        <v/>
      </c>
      <c r="BL250" s="621" t="str">
        <f t="shared" si="674"/>
        <v/>
      </c>
      <c r="BM250" s="621" t="str">
        <f t="shared" si="674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600"/>
        <v/>
      </c>
      <c r="CA250" s="611" t="str">
        <f t="shared" si="601"/>
        <v/>
      </c>
      <c r="CB250" s="611" t="str">
        <f t="shared" si="602"/>
        <v/>
      </c>
      <c r="CC250" s="679">
        <f t="shared" si="603"/>
        <v>3.4705339352428394E-2</v>
      </c>
      <c r="CD250" s="1319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0" t="str">
        <f t="shared" si="675"/>
        <v/>
      </c>
      <c r="CG250" s="1320" t="str">
        <f t="shared" si="675"/>
        <v/>
      </c>
      <c r="CH250" s="1321">
        <f t="shared" si="675"/>
        <v>6.6105408290339798E-2</v>
      </c>
      <c r="CI250" s="1321">
        <f t="shared" si="675"/>
        <v>9.2547571606475712E-2</v>
      </c>
      <c r="CJ250" s="1320" t="str">
        <f t="shared" si="675"/>
        <v/>
      </c>
      <c r="CK250" s="1320" t="str">
        <f t="shared" si="675"/>
        <v/>
      </c>
      <c r="CL250" s="1320" t="str">
        <f t="shared" si="675"/>
        <v/>
      </c>
      <c r="CM250" s="1319" t="str">
        <f t="shared" si="675"/>
        <v/>
      </c>
      <c r="CN250" s="526" t="str">
        <f t="shared" si="614"/>
        <v/>
      </c>
      <c r="CO250" s="527" t="str">
        <f t="shared" si="615"/>
        <v/>
      </c>
      <c r="CP250" s="527" t="str">
        <f t="shared" si="616"/>
        <v/>
      </c>
      <c r="CQ250" s="527" t="str">
        <f t="shared" si="617"/>
        <v/>
      </c>
      <c r="CR250" s="527" t="str">
        <f t="shared" si="618"/>
        <v/>
      </c>
      <c r="CS250" s="527" t="str">
        <f t="shared" si="619"/>
        <v/>
      </c>
      <c r="CT250" s="528">
        <f t="shared" si="620"/>
        <v>2.8921116127023663E-2</v>
      </c>
      <c r="CU250" s="528">
        <f t="shared" si="621"/>
        <v>3.4705339352428401E-2</v>
      </c>
      <c r="CV250" s="528">
        <f t="shared" si="622"/>
        <v>4.9579056217754852E-2</v>
      </c>
      <c r="CW250" s="527" t="str">
        <f t="shared" si="623"/>
        <v/>
      </c>
      <c r="CX250" s="527" t="str">
        <f t="shared" si="624"/>
        <v/>
      </c>
      <c r="CY250" s="527" t="str">
        <f t="shared" si="625"/>
        <v/>
      </c>
      <c r="CZ250" s="527" t="str">
        <f t="shared" si="626"/>
        <v/>
      </c>
      <c r="DA250" s="527" t="str">
        <f t="shared" si="627"/>
        <v/>
      </c>
      <c r="DB250" s="526" t="str">
        <f t="shared" si="628"/>
        <v/>
      </c>
      <c r="DC250" s="525" t="str">
        <f t="shared" si="629"/>
        <v/>
      </c>
      <c r="DD250" s="641">
        <f t="shared" si="630"/>
        <v>2</v>
      </c>
      <c r="DE250" s="95">
        <f t="shared" si="631"/>
        <v>2</v>
      </c>
      <c r="DF250" s="95">
        <f t="shared" si="632"/>
        <v>2</v>
      </c>
      <c r="DG250" s="95">
        <f t="shared" si="633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261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600"/>
        <v/>
      </c>
      <c r="CA251" s="586" t="str">
        <f t="shared" si="601"/>
        <v/>
      </c>
      <c r="CB251" s="586" t="str">
        <f t="shared" si="602"/>
        <v/>
      </c>
      <c r="CC251" s="676" t="str">
        <f t="shared" si="603"/>
        <v/>
      </c>
      <c r="CD251" s="1316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7" t="str">
        <f t="shared" si="675"/>
        <v/>
      </c>
      <c r="CF251" s="1317" t="str">
        <f t="shared" si="675"/>
        <v/>
      </c>
      <c r="CG251" s="1317" t="str">
        <f t="shared" si="675"/>
        <v/>
      </c>
      <c r="CH251" s="1318" t="str">
        <f t="shared" si="675"/>
        <v/>
      </c>
      <c r="CI251" s="1318" t="str">
        <f t="shared" si="675"/>
        <v/>
      </c>
      <c r="CJ251" s="1317" t="str">
        <f t="shared" si="675"/>
        <v/>
      </c>
      <c r="CK251" s="1317" t="str">
        <f t="shared" si="675"/>
        <v/>
      </c>
      <c r="CL251" s="1317" t="str">
        <f t="shared" si="675"/>
        <v/>
      </c>
      <c r="CM251" s="1316" t="str">
        <f t="shared" si="675"/>
        <v/>
      </c>
      <c r="CN251" s="538" t="str">
        <f t="shared" si="614"/>
        <v/>
      </c>
      <c r="CO251" s="539" t="str">
        <f t="shared" si="615"/>
        <v/>
      </c>
      <c r="CP251" s="539" t="str">
        <f t="shared" si="616"/>
        <v/>
      </c>
      <c r="CQ251" s="539" t="str">
        <f t="shared" si="617"/>
        <v/>
      </c>
      <c r="CR251" s="539" t="str">
        <f t="shared" si="618"/>
        <v/>
      </c>
      <c r="CS251" s="539" t="str">
        <f t="shared" si="619"/>
        <v/>
      </c>
      <c r="CT251" s="540" t="str">
        <f t="shared" si="620"/>
        <v/>
      </c>
      <c r="CU251" s="540" t="str">
        <f t="shared" si="621"/>
        <v/>
      </c>
      <c r="CV251" s="540" t="str">
        <f t="shared" si="622"/>
        <v/>
      </c>
      <c r="CW251" s="539" t="str">
        <f t="shared" si="623"/>
        <v/>
      </c>
      <c r="CX251" s="539" t="str">
        <f t="shared" si="624"/>
        <v/>
      </c>
      <c r="CY251" s="539" t="str">
        <f t="shared" si="625"/>
        <v/>
      </c>
      <c r="CZ251" s="539" t="str">
        <f t="shared" si="626"/>
        <v/>
      </c>
      <c r="DA251" s="539" t="str">
        <f t="shared" si="627"/>
        <v/>
      </c>
      <c r="DB251" s="538" t="str">
        <f t="shared" si="628"/>
        <v/>
      </c>
      <c r="DC251" s="537" t="str">
        <f t="shared" si="629"/>
        <v/>
      </c>
      <c r="DD251" s="641">
        <f t="shared" si="630"/>
        <v>0</v>
      </c>
      <c r="DE251" s="95">
        <f t="shared" si="631"/>
        <v>0</v>
      </c>
      <c r="DF251" s="95">
        <f t="shared" si="632"/>
        <v>0</v>
      </c>
      <c r="DG251" s="95">
        <f t="shared" si="633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260</v>
      </c>
      <c r="B252" s="690">
        <f>3450*$K$1</f>
        <v>14444.46</v>
      </c>
      <c r="C252" s="690">
        <f t="shared" ref="C252:K252" si="677">3450*$K$1</f>
        <v>14444.46</v>
      </c>
      <c r="D252" s="690">
        <f t="shared" si="677"/>
        <v>14444.46</v>
      </c>
      <c r="E252" s="690">
        <f t="shared" si="677"/>
        <v>14444.46</v>
      </c>
      <c r="F252" s="690">
        <f t="shared" si="677"/>
        <v>14444.46</v>
      </c>
      <c r="G252" s="690">
        <f t="shared" si="677"/>
        <v>14444.46</v>
      </c>
      <c r="H252" s="690">
        <f t="shared" si="677"/>
        <v>14444.46</v>
      </c>
      <c r="I252" s="690">
        <f t="shared" si="677"/>
        <v>14444.46</v>
      </c>
      <c r="J252" s="690">
        <f t="shared" si="677"/>
        <v>14444.46</v>
      </c>
      <c r="K252" s="690">
        <f t="shared" si="677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8">3450*$K$1</f>
        <v>14444.46</v>
      </c>
      <c r="V252" s="690">
        <f t="shared" si="678"/>
        <v>14444.46</v>
      </c>
      <c r="W252" s="690">
        <f t="shared" si="678"/>
        <v>14444.46</v>
      </c>
      <c r="X252" s="690">
        <f t="shared" si="678"/>
        <v>14444.46</v>
      </c>
      <c r="Y252" s="690">
        <f t="shared" si="678"/>
        <v>14444.46</v>
      </c>
      <c r="Z252" s="690">
        <f t="shared" si="678"/>
        <v>14444.46</v>
      </c>
      <c r="AA252" s="690">
        <f t="shared" si="678"/>
        <v>14444.46</v>
      </c>
      <c r="AB252" s="690">
        <f t="shared" si="678"/>
        <v>14444.46</v>
      </c>
      <c r="AC252" s="690">
        <f t="shared" si="678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9">3450*$K$1</f>
        <v>14444.46</v>
      </c>
      <c r="AN252" s="690">
        <f t="shared" si="679"/>
        <v>14444.46</v>
      </c>
      <c r="AO252" s="690">
        <f t="shared" si="679"/>
        <v>14444.46</v>
      </c>
      <c r="AP252" s="690">
        <f t="shared" si="679"/>
        <v>14444.46</v>
      </c>
      <c r="AQ252" s="690">
        <f t="shared" si="679"/>
        <v>14444.46</v>
      </c>
      <c r="AR252" s="690">
        <f t="shared" si="679"/>
        <v>14444.46</v>
      </c>
      <c r="AS252" s="690">
        <f t="shared" si="679"/>
        <v>14444.46</v>
      </c>
      <c r="AT252" s="690">
        <f t="shared" si="679"/>
        <v>14444.46</v>
      </c>
      <c r="AU252" s="690">
        <f t="shared" si="679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80">3450*$K$1</f>
        <v>14444.46</v>
      </c>
      <c r="BF252" s="690">
        <f t="shared" si="680"/>
        <v>14444.46</v>
      </c>
      <c r="BG252" s="690">
        <f t="shared" si="680"/>
        <v>14444.46</v>
      </c>
      <c r="BH252" s="690">
        <f t="shared" si="680"/>
        <v>14444.46</v>
      </c>
      <c r="BI252" s="690">
        <f t="shared" si="680"/>
        <v>14444.46</v>
      </c>
      <c r="BJ252" s="690">
        <f t="shared" si="680"/>
        <v>14444.46</v>
      </c>
      <c r="BK252" s="690">
        <f t="shared" si="680"/>
        <v>14444.46</v>
      </c>
      <c r="BL252" s="690">
        <f t="shared" si="680"/>
        <v>14444.46</v>
      </c>
      <c r="BM252" s="690">
        <f t="shared" si="680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80"/>
        <v>14444.46</v>
      </c>
      <c r="BW252" s="690">
        <f t="shared" si="680"/>
        <v>14444.46</v>
      </c>
      <c r="BX252" s="690">
        <f t="shared" si="680"/>
        <v>14444.46</v>
      </c>
      <c r="BY252" s="690">
        <f t="shared" si="680"/>
        <v>14444.46</v>
      </c>
      <c r="BZ252" s="586">
        <f t="shared" si="600"/>
        <v>14444.459999999995</v>
      </c>
      <c r="CA252" s="586">
        <f t="shared" si="601"/>
        <v>14444.459999999995</v>
      </c>
      <c r="CB252" s="586">
        <f t="shared" si="602"/>
        <v>14444.459999999995</v>
      </c>
      <c r="CC252" s="676">
        <f t="shared" si="603"/>
        <v>14444.459999999995</v>
      </c>
      <c r="CD252" s="1316">
        <f t="shared" si="676"/>
        <v>14444.46</v>
      </c>
      <c r="CE252" s="1317">
        <f t="shared" si="675"/>
        <v>14444.46</v>
      </c>
      <c r="CF252" s="1317">
        <f t="shared" si="675"/>
        <v>14444.46</v>
      </c>
      <c r="CG252" s="1317">
        <f t="shared" si="675"/>
        <v>14444.46</v>
      </c>
      <c r="CH252" s="1318">
        <f t="shared" si="675"/>
        <v>14444.46</v>
      </c>
      <c r="CI252" s="1318">
        <f t="shared" si="675"/>
        <v>14444.46</v>
      </c>
      <c r="CJ252" s="1317">
        <f t="shared" si="675"/>
        <v>14444.46</v>
      </c>
      <c r="CK252" s="1317">
        <f t="shared" si="675"/>
        <v>14444.46</v>
      </c>
      <c r="CL252" s="1317">
        <f t="shared" si="675"/>
        <v>14444.46</v>
      </c>
      <c r="CM252" s="1316">
        <f t="shared" si="675"/>
        <v>14444.46</v>
      </c>
      <c r="CN252" s="538" t="str">
        <f t="shared" si="614"/>
        <v/>
      </c>
      <c r="CO252" s="539" t="str">
        <f t="shared" si="615"/>
        <v/>
      </c>
      <c r="CP252" s="539" t="str">
        <f t="shared" si="616"/>
        <v/>
      </c>
      <c r="CQ252" s="539">
        <f t="shared" si="617"/>
        <v>14444.46</v>
      </c>
      <c r="CR252" s="539">
        <f t="shared" si="618"/>
        <v>14444.46</v>
      </c>
      <c r="CS252" s="539">
        <f t="shared" si="619"/>
        <v>14444.46</v>
      </c>
      <c r="CT252" s="540">
        <f t="shared" si="620"/>
        <v>14444.46</v>
      </c>
      <c r="CU252" s="540">
        <f t="shared" si="621"/>
        <v>14444.46</v>
      </c>
      <c r="CV252" s="540">
        <f t="shared" si="622"/>
        <v>14444.46</v>
      </c>
      <c r="CW252" s="539">
        <f t="shared" si="623"/>
        <v>14444.46</v>
      </c>
      <c r="CX252" s="539">
        <f t="shared" si="624"/>
        <v>14444.46</v>
      </c>
      <c r="CY252" s="539">
        <f t="shared" si="625"/>
        <v>14444.46</v>
      </c>
      <c r="CZ252" s="539">
        <f t="shared" si="626"/>
        <v>14444.46</v>
      </c>
      <c r="DA252" s="539" t="str">
        <f t="shared" si="627"/>
        <v/>
      </c>
      <c r="DB252" s="538" t="str">
        <f t="shared" si="628"/>
        <v/>
      </c>
      <c r="DC252" s="537" t="str">
        <f t="shared" si="629"/>
        <v/>
      </c>
      <c r="DD252" s="641">
        <f t="shared" si="630"/>
        <v>10</v>
      </c>
      <c r="DE252" s="95">
        <f t="shared" si="631"/>
        <v>10</v>
      </c>
      <c r="DF252" s="95">
        <f t="shared" si="632"/>
        <v>10</v>
      </c>
      <c r="DG252" s="95">
        <f t="shared" si="633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257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600"/>
        <v/>
      </c>
      <c r="CA253" s="586" t="str">
        <f t="shared" si="601"/>
        <v/>
      </c>
      <c r="CB253" s="586" t="str">
        <f t="shared" si="602"/>
        <v/>
      </c>
      <c r="CC253" s="676" t="str">
        <f t="shared" si="603"/>
        <v/>
      </c>
      <c r="CD253" s="1316" t="str">
        <f t="shared" si="676"/>
        <v/>
      </c>
      <c r="CE253" s="1317" t="str">
        <f t="shared" si="675"/>
        <v/>
      </c>
      <c r="CF253" s="1317" t="str">
        <f t="shared" si="675"/>
        <v/>
      </c>
      <c r="CG253" s="1317" t="str">
        <f t="shared" si="675"/>
        <v/>
      </c>
      <c r="CH253" s="1318" t="str">
        <f t="shared" si="675"/>
        <v/>
      </c>
      <c r="CI253" s="1318" t="str">
        <f t="shared" si="675"/>
        <v/>
      </c>
      <c r="CJ253" s="1317" t="str">
        <f t="shared" si="675"/>
        <v/>
      </c>
      <c r="CK253" s="1317" t="str">
        <f t="shared" si="675"/>
        <v/>
      </c>
      <c r="CL253" s="1317" t="str">
        <f t="shared" si="675"/>
        <v/>
      </c>
      <c r="CM253" s="1316" t="str">
        <f t="shared" si="675"/>
        <v/>
      </c>
      <c r="CN253" s="538" t="str">
        <f t="shared" si="614"/>
        <v/>
      </c>
      <c r="CO253" s="539" t="str">
        <f t="shared" si="615"/>
        <v/>
      </c>
      <c r="CP253" s="539" t="str">
        <f t="shared" si="616"/>
        <v/>
      </c>
      <c r="CQ253" s="539" t="str">
        <f t="shared" si="617"/>
        <v/>
      </c>
      <c r="CR253" s="539" t="str">
        <f t="shared" si="618"/>
        <v/>
      </c>
      <c r="CS253" s="539" t="str">
        <f t="shared" si="619"/>
        <v/>
      </c>
      <c r="CT253" s="540" t="str">
        <f t="shared" si="620"/>
        <v/>
      </c>
      <c r="CU253" s="540" t="str">
        <f t="shared" si="621"/>
        <v/>
      </c>
      <c r="CV253" s="540" t="str">
        <f t="shared" si="622"/>
        <v/>
      </c>
      <c r="CW253" s="539" t="str">
        <f t="shared" si="623"/>
        <v/>
      </c>
      <c r="CX253" s="539" t="str">
        <f t="shared" si="624"/>
        <v/>
      </c>
      <c r="CY253" s="539" t="str">
        <f t="shared" si="625"/>
        <v/>
      </c>
      <c r="CZ253" s="539" t="str">
        <f t="shared" si="626"/>
        <v/>
      </c>
      <c r="DA253" s="539" t="str">
        <f t="shared" si="627"/>
        <v/>
      </c>
      <c r="DB253" s="538" t="str">
        <f t="shared" si="628"/>
        <v/>
      </c>
      <c r="DC253" s="537" t="str">
        <f t="shared" si="629"/>
        <v/>
      </c>
      <c r="DD253" s="641">
        <f t="shared" si="630"/>
        <v>0</v>
      </c>
      <c r="DE253" s="95">
        <f t="shared" si="631"/>
        <v>0</v>
      </c>
      <c r="DF253" s="95">
        <f t="shared" si="632"/>
        <v>0</v>
      </c>
      <c r="DG253" s="95">
        <f t="shared" si="633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181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600"/>
        <v/>
      </c>
      <c r="CA254" s="586" t="str">
        <f t="shared" si="601"/>
        <v/>
      </c>
      <c r="CB254" s="586" t="str">
        <f t="shared" si="602"/>
        <v/>
      </c>
      <c r="CC254" s="676" t="str">
        <f t="shared" si="603"/>
        <v/>
      </c>
      <c r="CD254" s="1316" t="str">
        <f t="shared" si="676"/>
        <v/>
      </c>
      <c r="CE254" s="1317" t="str">
        <f t="shared" si="675"/>
        <v/>
      </c>
      <c r="CF254" s="1317" t="str">
        <f t="shared" si="675"/>
        <v/>
      </c>
      <c r="CG254" s="1317" t="str">
        <f t="shared" si="675"/>
        <v/>
      </c>
      <c r="CH254" s="1318" t="str">
        <f t="shared" si="675"/>
        <v/>
      </c>
      <c r="CI254" s="1318" t="str">
        <f t="shared" si="675"/>
        <v/>
      </c>
      <c r="CJ254" s="1317" t="str">
        <f t="shared" si="675"/>
        <v/>
      </c>
      <c r="CK254" s="1317" t="str">
        <f t="shared" si="675"/>
        <v/>
      </c>
      <c r="CL254" s="1317" t="str">
        <f t="shared" si="675"/>
        <v/>
      </c>
      <c r="CM254" s="1316" t="str">
        <f t="shared" si="675"/>
        <v/>
      </c>
      <c r="CN254" s="538" t="str">
        <f t="shared" si="614"/>
        <v/>
      </c>
      <c r="CO254" s="539" t="str">
        <f t="shared" si="615"/>
        <v/>
      </c>
      <c r="CP254" s="539" t="str">
        <f t="shared" si="616"/>
        <v/>
      </c>
      <c r="CQ254" s="539" t="str">
        <f t="shared" si="617"/>
        <v/>
      </c>
      <c r="CR254" s="539" t="str">
        <f t="shared" si="618"/>
        <v/>
      </c>
      <c r="CS254" s="539" t="str">
        <f t="shared" si="619"/>
        <v/>
      </c>
      <c r="CT254" s="540" t="str">
        <f t="shared" si="620"/>
        <v/>
      </c>
      <c r="CU254" s="540" t="str">
        <f t="shared" si="621"/>
        <v/>
      </c>
      <c r="CV254" s="540" t="str">
        <f t="shared" si="622"/>
        <v/>
      </c>
      <c r="CW254" s="539" t="str">
        <f t="shared" si="623"/>
        <v/>
      </c>
      <c r="CX254" s="539" t="str">
        <f t="shared" si="624"/>
        <v/>
      </c>
      <c r="CY254" s="539" t="str">
        <f t="shared" si="625"/>
        <v/>
      </c>
      <c r="CZ254" s="539" t="str">
        <f t="shared" si="626"/>
        <v/>
      </c>
      <c r="DA254" s="539" t="str">
        <f t="shared" si="627"/>
        <v/>
      </c>
      <c r="DB254" s="538" t="str">
        <f t="shared" si="628"/>
        <v/>
      </c>
      <c r="DC254" s="537" t="str">
        <f t="shared" si="629"/>
        <v/>
      </c>
      <c r="DD254" s="641">
        <f t="shared" si="630"/>
        <v>0</v>
      </c>
      <c r="DE254" s="95">
        <f t="shared" si="631"/>
        <v>0</v>
      </c>
      <c r="DF254" s="95">
        <f t="shared" si="632"/>
        <v>0</v>
      </c>
      <c r="DG254" s="95">
        <f t="shared" si="633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183</v>
      </c>
      <c r="B255" s="618" t="str">
        <f t="shared" ref="B255:K255" si="681">IF(B253="","",B253*B254)</f>
        <v/>
      </c>
      <c r="C255" s="618" t="str">
        <f t="shared" si="681"/>
        <v/>
      </c>
      <c r="D255" s="618" t="str">
        <f t="shared" si="681"/>
        <v/>
      </c>
      <c r="E255" s="618" t="str">
        <f t="shared" si="681"/>
        <v/>
      </c>
      <c r="F255" s="618" t="str">
        <f t="shared" si="681"/>
        <v/>
      </c>
      <c r="G255" s="618" t="str">
        <f t="shared" si="681"/>
        <v/>
      </c>
      <c r="H255" s="618" t="str">
        <f t="shared" si="681"/>
        <v/>
      </c>
      <c r="I255" s="618" t="str">
        <f t="shared" si="681"/>
        <v/>
      </c>
      <c r="J255" s="618" t="str">
        <f t="shared" si="681"/>
        <v/>
      </c>
      <c r="K255" s="618" t="str">
        <f t="shared" si="681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2">IF(T253="","",T253*T254)</f>
        <v/>
      </c>
      <c r="U255" s="618" t="str">
        <f t="shared" si="682"/>
        <v/>
      </c>
      <c r="V255" s="618" t="str">
        <f t="shared" si="682"/>
        <v/>
      </c>
      <c r="W255" s="618" t="str">
        <f t="shared" si="682"/>
        <v/>
      </c>
      <c r="X255" s="618" t="str">
        <f t="shared" si="682"/>
        <v/>
      </c>
      <c r="Y255" s="618" t="str">
        <f t="shared" si="682"/>
        <v/>
      </c>
      <c r="Z255" s="618" t="str">
        <f t="shared" si="682"/>
        <v/>
      </c>
      <c r="AA255" s="618" t="str">
        <f t="shared" si="682"/>
        <v/>
      </c>
      <c r="AB255" s="618" t="str">
        <f t="shared" si="682"/>
        <v/>
      </c>
      <c r="AC255" s="618" t="str">
        <f t="shared" si="682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3">IF(AL253="","",AL253*AL254)</f>
        <v/>
      </c>
      <c r="AM255" s="618" t="str">
        <f t="shared" si="683"/>
        <v/>
      </c>
      <c r="AN255" s="618" t="str">
        <f t="shared" si="683"/>
        <v/>
      </c>
      <c r="AO255" s="618" t="str">
        <f t="shared" si="683"/>
        <v/>
      </c>
      <c r="AP255" s="618" t="str">
        <f t="shared" si="683"/>
        <v/>
      </c>
      <c r="AQ255" s="618" t="str">
        <f t="shared" si="683"/>
        <v/>
      </c>
      <c r="AR255" s="618" t="str">
        <f t="shared" si="683"/>
        <v/>
      </c>
      <c r="AS255" s="618" t="str">
        <f t="shared" si="683"/>
        <v/>
      </c>
      <c r="AT255" s="618" t="str">
        <f t="shared" si="683"/>
        <v/>
      </c>
      <c r="AU255" s="618" t="str">
        <f t="shared" si="683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4">IF(BD253="","",BD253*BD254)</f>
        <v/>
      </c>
      <c r="BE255" s="618" t="str">
        <f t="shared" si="684"/>
        <v/>
      </c>
      <c r="BF255" s="618" t="str">
        <f t="shared" si="684"/>
        <v/>
      </c>
      <c r="BG255" s="618" t="str">
        <f t="shared" si="684"/>
        <v/>
      </c>
      <c r="BH255" s="618" t="str">
        <f t="shared" si="684"/>
        <v/>
      </c>
      <c r="BI255" s="618" t="str">
        <f t="shared" si="684"/>
        <v/>
      </c>
      <c r="BJ255" s="618" t="str">
        <f t="shared" si="684"/>
        <v/>
      </c>
      <c r="BK255" s="618" t="str">
        <f t="shared" si="684"/>
        <v/>
      </c>
      <c r="BL255" s="618" t="str">
        <f t="shared" si="684"/>
        <v/>
      </c>
      <c r="BM255" s="618" t="str">
        <f t="shared" si="684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600"/>
        <v/>
      </c>
      <c r="CA255" s="586" t="str">
        <f t="shared" si="601"/>
        <v/>
      </c>
      <c r="CB255" s="586" t="str">
        <f t="shared" si="602"/>
        <v/>
      </c>
      <c r="CC255" s="676" t="str">
        <f t="shared" si="603"/>
        <v/>
      </c>
      <c r="CD255" s="1316" t="str">
        <f t="shared" si="676"/>
        <v/>
      </c>
      <c r="CE255" s="1317" t="str">
        <f t="shared" si="675"/>
        <v/>
      </c>
      <c r="CF255" s="1317" t="str">
        <f t="shared" si="675"/>
        <v/>
      </c>
      <c r="CG255" s="1317" t="str">
        <f t="shared" si="675"/>
        <v/>
      </c>
      <c r="CH255" s="1318" t="str">
        <f t="shared" si="675"/>
        <v/>
      </c>
      <c r="CI255" s="1318" t="str">
        <f t="shared" si="675"/>
        <v/>
      </c>
      <c r="CJ255" s="1317" t="str">
        <f t="shared" si="675"/>
        <v/>
      </c>
      <c r="CK255" s="1317" t="str">
        <f t="shared" si="675"/>
        <v/>
      </c>
      <c r="CL255" s="1317" t="str">
        <f t="shared" si="675"/>
        <v/>
      </c>
      <c r="CM255" s="1316" t="str">
        <f t="shared" si="675"/>
        <v/>
      </c>
      <c r="CN255" s="538" t="str">
        <f t="shared" si="614"/>
        <v/>
      </c>
      <c r="CO255" s="539" t="str">
        <f t="shared" si="615"/>
        <v/>
      </c>
      <c r="CP255" s="539" t="str">
        <f t="shared" si="616"/>
        <v/>
      </c>
      <c r="CQ255" s="539" t="str">
        <f t="shared" si="617"/>
        <v/>
      </c>
      <c r="CR255" s="539" t="str">
        <f t="shared" si="618"/>
        <v/>
      </c>
      <c r="CS255" s="539" t="str">
        <f t="shared" si="619"/>
        <v/>
      </c>
      <c r="CT255" s="540" t="str">
        <f t="shared" si="620"/>
        <v/>
      </c>
      <c r="CU255" s="540" t="str">
        <f t="shared" si="621"/>
        <v/>
      </c>
      <c r="CV255" s="540" t="str">
        <f t="shared" si="622"/>
        <v/>
      </c>
      <c r="CW255" s="539" t="str">
        <f t="shared" si="623"/>
        <v/>
      </c>
      <c r="CX255" s="539" t="str">
        <f t="shared" si="624"/>
        <v/>
      </c>
      <c r="CY255" s="539" t="str">
        <f t="shared" si="625"/>
        <v/>
      </c>
      <c r="CZ255" s="539" t="str">
        <f t="shared" si="626"/>
        <v/>
      </c>
      <c r="DA255" s="539" t="str">
        <f t="shared" si="627"/>
        <v/>
      </c>
      <c r="DB255" s="538" t="str">
        <f t="shared" si="628"/>
        <v/>
      </c>
      <c r="DC255" s="537" t="str">
        <f t="shared" si="629"/>
        <v/>
      </c>
      <c r="DD255" s="641">
        <f t="shared" si="630"/>
        <v>0</v>
      </c>
      <c r="DE255" s="95">
        <f t="shared" si="631"/>
        <v>0</v>
      </c>
      <c r="DF255" s="95">
        <f t="shared" si="632"/>
        <v>0</v>
      </c>
      <c r="DG255" s="95">
        <f t="shared" si="633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258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600"/>
        <v/>
      </c>
      <c r="CA256" s="586" t="str">
        <f t="shared" si="601"/>
        <v/>
      </c>
      <c r="CB256" s="586" t="str">
        <f t="shared" si="602"/>
        <v/>
      </c>
      <c r="CC256" s="676" t="str">
        <f t="shared" si="603"/>
        <v/>
      </c>
      <c r="CD256" s="1316" t="str">
        <f t="shared" si="676"/>
        <v/>
      </c>
      <c r="CE256" s="1317" t="str">
        <f t="shared" si="675"/>
        <v/>
      </c>
      <c r="CF256" s="1317" t="str">
        <f t="shared" si="675"/>
        <v/>
      </c>
      <c r="CG256" s="1317" t="str">
        <f t="shared" si="675"/>
        <v/>
      </c>
      <c r="CH256" s="1318" t="str">
        <f t="shared" si="675"/>
        <v/>
      </c>
      <c r="CI256" s="1318" t="str">
        <f t="shared" si="675"/>
        <v/>
      </c>
      <c r="CJ256" s="1317" t="str">
        <f t="shared" si="675"/>
        <v/>
      </c>
      <c r="CK256" s="1317" t="str">
        <f t="shared" si="675"/>
        <v/>
      </c>
      <c r="CL256" s="1317" t="str">
        <f t="shared" si="675"/>
        <v/>
      </c>
      <c r="CM256" s="1316" t="str">
        <f t="shared" si="675"/>
        <v/>
      </c>
      <c r="CN256" s="538" t="str">
        <f t="shared" si="614"/>
        <v/>
      </c>
      <c r="CO256" s="539" t="str">
        <f t="shared" si="615"/>
        <v/>
      </c>
      <c r="CP256" s="539" t="str">
        <f t="shared" si="616"/>
        <v/>
      </c>
      <c r="CQ256" s="539" t="str">
        <f t="shared" si="617"/>
        <v/>
      </c>
      <c r="CR256" s="539" t="str">
        <f t="shared" si="618"/>
        <v/>
      </c>
      <c r="CS256" s="539" t="str">
        <f t="shared" si="619"/>
        <v/>
      </c>
      <c r="CT256" s="540" t="str">
        <f t="shared" si="620"/>
        <v/>
      </c>
      <c r="CU256" s="540" t="str">
        <f t="shared" si="621"/>
        <v/>
      </c>
      <c r="CV256" s="540" t="str">
        <f t="shared" si="622"/>
        <v/>
      </c>
      <c r="CW256" s="539" t="str">
        <f t="shared" si="623"/>
        <v/>
      </c>
      <c r="CX256" s="539" t="str">
        <f t="shared" si="624"/>
        <v/>
      </c>
      <c r="CY256" s="539" t="str">
        <f t="shared" si="625"/>
        <v/>
      </c>
      <c r="CZ256" s="539" t="str">
        <f t="shared" si="626"/>
        <v/>
      </c>
      <c r="DA256" s="539" t="str">
        <f t="shared" si="627"/>
        <v/>
      </c>
      <c r="DB256" s="538" t="str">
        <f t="shared" si="628"/>
        <v/>
      </c>
      <c r="DC256" s="537" t="str">
        <f t="shared" si="629"/>
        <v/>
      </c>
      <c r="DD256" s="641">
        <f t="shared" si="630"/>
        <v>0</v>
      </c>
      <c r="DE256" s="95">
        <f t="shared" si="631"/>
        <v>0</v>
      </c>
      <c r="DF256" s="95">
        <f t="shared" si="632"/>
        <v>0</v>
      </c>
      <c r="DG256" s="95">
        <f t="shared" si="633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227</v>
      </c>
      <c r="B257" s="621" t="str">
        <f t="shared" ref="B257:K257" si="685">IF(B251="","",(B251-B253-B256)*B252/B$46/365/$G$1)</f>
        <v/>
      </c>
      <c r="C257" s="621" t="str">
        <f t="shared" si="685"/>
        <v/>
      </c>
      <c r="D257" s="621" t="str">
        <f t="shared" si="685"/>
        <v/>
      </c>
      <c r="E257" s="621" t="str">
        <f t="shared" si="685"/>
        <v/>
      </c>
      <c r="F257" s="621" t="str">
        <f t="shared" si="685"/>
        <v/>
      </c>
      <c r="G257" s="621" t="str">
        <f t="shared" si="685"/>
        <v/>
      </c>
      <c r="H257" s="621" t="str">
        <f t="shared" si="685"/>
        <v/>
      </c>
      <c r="I257" s="621" t="str">
        <f t="shared" si="685"/>
        <v/>
      </c>
      <c r="J257" s="621" t="str">
        <f t="shared" si="685"/>
        <v/>
      </c>
      <c r="K257" s="621" t="str">
        <f t="shared" si="685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6">IF(T251="","",(T251-T253-T256)*T252/T$46/365/$G$1)</f>
        <v/>
      </c>
      <c r="U257" s="621" t="str">
        <f t="shared" si="686"/>
        <v/>
      </c>
      <c r="V257" s="621" t="str">
        <f t="shared" si="686"/>
        <v/>
      </c>
      <c r="W257" s="621" t="str">
        <f t="shared" si="686"/>
        <v/>
      </c>
      <c r="X257" s="621" t="str">
        <f t="shared" si="686"/>
        <v/>
      </c>
      <c r="Y257" s="621" t="str">
        <f t="shared" si="686"/>
        <v/>
      </c>
      <c r="Z257" s="621" t="str">
        <f t="shared" si="686"/>
        <v/>
      </c>
      <c r="AA257" s="621" t="str">
        <f t="shared" si="686"/>
        <v/>
      </c>
      <c r="AB257" s="621" t="str">
        <f t="shared" si="686"/>
        <v/>
      </c>
      <c r="AC257" s="621" t="str">
        <f t="shared" si="686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7">IF(AL251="","",(AL251-AL253-AL256)*AL252/AL$46/365/$G$1)</f>
        <v/>
      </c>
      <c r="AM257" s="621" t="str">
        <f t="shared" si="687"/>
        <v/>
      </c>
      <c r="AN257" s="621" t="str">
        <f t="shared" si="687"/>
        <v/>
      </c>
      <c r="AO257" s="621" t="str">
        <f t="shared" si="687"/>
        <v/>
      </c>
      <c r="AP257" s="621" t="str">
        <f t="shared" si="687"/>
        <v/>
      </c>
      <c r="AQ257" s="621" t="str">
        <f t="shared" si="687"/>
        <v/>
      </c>
      <c r="AR257" s="621" t="str">
        <f t="shared" si="687"/>
        <v/>
      </c>
      <c r="AS257" s="621" t="str">
        <f t="shared" si="687"/>
        <v/>
      </c>
      <c r="AT257" s="621" t="str">
        <f t="shared" si="687"/>
        <v/>
      </c>
      <c r="AU257" s="621" t="str">
        <f t="shared" si="687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8">IF(BD251="","",(BD251-BD253-BD256)*BD252/BD$46/365/$G$1)</f>
        <v/>
      </c>
      <c r="BE257" s="621" t="str">
        <f t="shared" si="688"/>
        <v/>
      </c>
      <c r="BF257" s="621" t="str">
        <f t="shared" si="688"/>
        <v/>
      </c>
      <c r="BG257" s="621" t="str">
        <f t="shared" si="688"/>
        <v/>
      </c>
      <c r="BH257" s="621" t="str">
        <f t="shared" si="688"/>
        <v/>
      </c>
      <c r="BI257" s="621" t="str">
        <f t="shared" si="688"/>
        <v/>
      </c>
      <c r="BJ257" s="621" t="str">
        <f t="shared" si="688"/>
        <v/>
      </c>
      <c r="BK257" s="621" t="str">
        <f t="shared" si="688"/>
        <v/>
      </c>
      <c r="BL257" s="621" t="str">
        <f t="shared" si="688"/>
        <v/>
      </c>
      <c r="BM257" s="621" t="str">
        <f t="shared" si="688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600"/>
        <v/>
      </c>
      <c r="CA257" s="611" t="str">
        <f t="shared" si="601"/>
        <v/>
      </c>
      <c r="CB257" s="611" t="str">
        <f t="shared" si="602"/>
        <v/>
      </c>
      <c r="CC257" s="679" t="str">
        <f t="shared" si="603"/>
        <v/>
      </c>
      <c r="CD257" s="1319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0" t="str">
        <f t="shared" si="689"/>
        <v/>
      </c>
      <c r="CG257" s="1320" t="str">
        <f t="shared" si="689"/>
        <v/>
      </c>
      <c r="CH257" s="1321" t="str">
        <f t="shared" si="689"/>
        <v/>
      </c>
      <c r="CI257" s="1321" t="str">
        <f t="shared" si="689"/>
        <v/>
      </c>
      <c r="CJ257" s="1320" t="str">
        <f t="shared" si="689"/>
        <v/>
      </c>
      <c r="CK257" s="1320" t="str">
        <f t="shared" si="689"/>
        <v/>
      </c>
      <c r="CL257" s="1320" t="str">
        <f t="shared" si="689"/>
        <v/>
      </c>
      <c r="CM257" s="1319" t="str">
        <f t="shared" si="689"/>
        <v/>
      </c>
      <c r="CN257" s="526" t="str">
        <f t="shared" si="614"/>
        <v/>
      </c>
      <c r="CO257" s="527" t="str">
        <f t="shared" si="615"/>
        <v/>
      </c>
      <c r="CP257" s="527" t="str">
        <f t="shared" si="616"/>
        <v/>
      </c>
      <c r="CQ257" s="527" t="str">
        <f t="shared" si="617"/>
        <v/>
      </c>
      <c r="CR257" s="527" t="str">
        <f t="shared" si="618"/>
        <v/>
      </c>
      <c r="CS257" s="527" t="str">
        <f t="shared" si="619"/>
        <v/>
      </c>
      <c r="CT257" s="528" t="str">
        <f t="shared" si="620"/>
        <v/>
      </c>
      <c r="CU257" s="528" t="str">
        <f t="shared" si="621"/>
        <v/>
      </c>
      <c r="CV257" s="528" t="str">
        <f t="shared" si="622"/>
        <v/>
      </c>
      <c r="CW257" s="527" t="str">
        <f t="shared" si="623"/>
        <v/>
      </c>
      <c r="CX257" s="527" t="str">
        <f t="shared" si="624"/>
        <v/>
      </c>
      <c r="CY257" s="527" t="str">
        <f t="shared" si="625"/>
        <v/>
      </c>
      <c r="CZ257" s="527" t="str">
        <f t="shared" si="626"/>
        <v/>
      </c>
      <c r="DA257" s="527" t="str">
        <f t="shared" si="627"/>
        <v/>
      </c>
      <c r="DB257" s="526" t="str">
        <f t="shared" si="628"/>
        <v/>
      </c>
      <c r="DC257" s="525" t="str">
        <f t="shared" si="629"/>
        <v/>
      </c>
      <c r="DD257" s="641">
        <f t="shared" si="630"/>
        <v>0</v>
      </c>
      <c r="DE257" s="95">
        <f t="shared" si="631"/>
        <v>0</v>
      </c>
      <c r="DF257" s="95">
        <f t="shared" si="632"/>
        <v>0</v>
      </c>
      <c r="DG257" s="95">
        <f t="shared" si="633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261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600"/>
        <v/>
      </c>
      <c r="CA258" s="586" t="str">
        <f t="shared" si="601"/>
        <v/>
      </c>
      <c r="CB258" s="586" t="str">
        <f t="shared" si="602"/>
        <v/>
      </c>
      <c r="CC258" s="676" t="str">
        <f t="shared" si="603"/>
        <v/>
      </c>
      <c r="CD258" s="1316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7" t="str">
        <f t="shared" si="689"/>
        <v/>
      </c>
      <c r="CF258" s="1317" t="str">
        <f t="shared" si="689"/>
        <v/>
      </c>
      <c r="CG258" s="1317" t="str">
        <f t="shared" si="689"/>
        <v/>
      </c>
      <c r="CH258" s="1318" t="str">
        <f t="shared" si="689"/>
        <v/>
      </c>
      <c r="CI258" s="1318" t="str">
        <f t="shared" si="689"/>
        <v/>
      </c>
      <c r="CJ258" s="1317" t="str">
        <f t="shared" si="689"/>
        <v/>
      </c>
      <c r="CK258" s="1317" t="str">
        <f t="shared" si="689"/>
        <v/>
      </c>
      <c r="CL258" s="1317" t="str">
        <f t="shared" si="689"/>
        <v/>
      </c>
      <c r="CM258" s="1316" t="str">
        <f t="shared" si="689"/>
        <v/>
      </c>
      <c r="CN258" s="538" t="str">
        <f t="shared" si="614"/>
        <v/>
      </c>
      <c r="CO258" s="539" t="str">
        <f t="shared" si="615"/>
        <v/>
      </c>
      <c r="CP258" s="539" t="str">
        <f t="shared" si="616"/>
        <v/>
      </c>
      <c r="CQ258" s="539" t="str">
        <f t="shared" si="617"/>
        <v/>
      </c>
      <c r="CR258" s="539" t="str">
        <f t="shared" si="618"/>
        <v/>
      </c>
      <c r="CS258" s="539" t="str">
        <f t="shared" si="619"/>
        <v/>
      </c>
      <c r="CT258" s="540" t="str">
        <f t="shared" si="620"/>
        <v/>
      </c>
      <c r="CU258" s="540" t="str">
        <f t="shared" si="621"/>
        <v/>
      </c>
      <c r="CV258" s="540" t="str">
        <f t="shared" si="622"/>
        <v/>
      </c>
      <c r="CW258" s="539" t="str">
        <f t="shared" si="623"/>
        <v/>
      </c>
      <c r="CX258" s="539" t="str">
        <f t="shared" si="624"/>
        <v/>
      </c>
      <c r="CY258" s="539" t="str">
        <f t="shared" si="625"/>
        <v/>
      </c>
      <c r="CZ258" s="539" t="str">
        <f t="shared" si="626"/>
        <v/>
      </c>
      <c r="DA258" s="539" t="str">
        <f t="shared" si="627"/>
        <v/>
      </c>
      <c r="DB258" s="538" t="str">
        <f t="shared" si="628"/>
        <v/>
      </c>
      <c r="DC258" s="537" t="str">
        <f t="shared" si="629"/>
        <v/>
      </c>
      <c r="DD258" s="641">
        <f t="shared" si="630"/>
        <v>0</v>
      </c>
      <c r="DE258" s="95">
        <f t="shared" si="631"/>
        <v>0</v>
      </c>
      <c r="DF258" s="95">
        <f t="shared" si="632"/>
        <v>0</v>
      </c>
      <c r="DG258" s="95">
        <f t="shared" si="633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260</v>
      </c>
      <c r="B259" s="690">
        <f>3500*$K$1</f>
        <v>14653.8</v>
      </c>
      <c r="C259" s="690">
        <f t="shared" ref="C259:K259" si="691">3500*$K$1</f>
        <v>14653.8</v>
      </c>
      <c r="D259" s="690">
        <f t="shared" si="691"/>
        <v>14653.8</v>
      </c>
      <c r="E259" s="690">
        <f t="shared" si="691"/>
        <v>14653.8</v>
      </c>
      <c r="F259" s="690">
        <f t="shared" si="691"/>
        <v>14653.8</v>
      </c>
      <c r="G259" s="690">
        <f t="shared" si="691"/>
        <v>14653.8</v>
      </c>
      <c r="H259" s="690">
        <f t="shared" si="691"/>
        <v>14653.8</v>
      </c>
      <c r="I259" s="690">
        <f t="shared" si="691"/>
        <v>14653.8</v>
      </c>
      <c r="J259" s="690">
        <f t="shared" si="691"/>
        <v>14653.8</v>
      </c>
      <c r="K259" s="690">
        <f t="shared" si="691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2">3500*$K$1</f>
        <v>14653.8</v>
      </c>
      <c r="V259" s="690">
        <f t="shared" si="692"/>
        <v>14653.8</v>
      </c>
      <c r="W259" s="690">
        <f t="shared" si="692"/>
        <v>14653.8</v>
      </c>
      <c r="X259" s="690">
        <f t="shared" si="692"/>
        <v>14653.8</v>
      </c>
      <c r="Y259" s="690">
        <f t="shared" si="692"/>
        <v>14653.8</v>
      </c>
      <c r="Z259" s="690">
        <f t="shared" si="692"/>
        <v>14653.8</v>
      </c>
      <c r="AA259" s="690">
        <f t="shared" si="692"/>
        <v>14653.8</v>
      </c>
      <c r="AB259" s="690">
        <f t="shared" si="692"/>
        <v>14653.8</v>
      </c>
      <c r="AC259" s="690">
        <f t="shared" si="692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3">3500*$K$1</f>
        <v>14653.8</v>
      </c>
      <c r="AN259" s="690">
        <f t="shared" si="693"/>
        <v>14653.8</v>
      </c>
      <c r="AO259" s="690">
        <f t="shared" si="693"/>
        <v>14653.8</v>
      </c>
      <c r="AP259" s="690">
        <f t="shared" si="693"/>
        <v>14653.8</v>
      </c>
      <c r="AQ259" s="690">
        <f t="shared" si="693"/>
        <v>14653.8</v>
      </c>
      <c r="AR259" s="690">
        <f t="shared" si="693"/>
        <v>14653.8</v>
      </c>
      <c r="AS259" s="690">
        <f t="shared" si="693"/>
        <v>14653.8</v>
      </c>
      <c r="AT259" s="690">
        <f t="shared" si="693"/>
        <v>14653.8</v>
      </c>
      <c r="AU259" s="690">
        <f t="shared" si="693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4">3500*$K$1</f>
        <v>14653.8</v>
      </c>
      <c r="BF259" s="690">
        <f t="shared" si="694"/>
        <v>14653.8</v>
      </c>
      <c r="BG259" s="690">
        <f t="shared" si="694"/>
        <v>14653.8</v>
      </c>
      <c r="BH259" s="690">
        <f t="shared" si="694"/>
        <v>14653.8</v>
      </c>
      <c r="BI259" s="690">
        <f t="shared" si="694"/>
        <v>14653.8</v>
      </c>
      <c r="BJ259" s="690">
        <f t="shared" si="694"/>
        <v>14653.8</v>
      </c>
      <c r="BK259" s="690">
        <f t="shared" si="694"/>
        <v>14653.8</v>
      </c>
      <c r="BL259" s="690">
        <f t="shared" si="694"/>
        <v>14653.8</v>
      </c>
      <c r="BM259" s="690">
        <f t="shared" si="694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4"/>
        <v>14653.8</v>
      </c>
      <c r="BW259" s="690">
        <f t="shared" si="694"/>
        <v>14653.8</v>
      </c>
      <c r="BX259" s="690">
        <f t="shared" si="694"/>
        <v>14653.8</v>
      </c>
      <c r="BY259" s="690">
        <f t="shared" si="694"/>
        <v>14653.8</v>
      </c>
      <c r="BZ259" s="586">
        <f t="shared" si="600"/>
        <v>14653.800000000001</v>
      </c>
      <c r="CA259" s="586">
        <f t="shared" si="601"/>
        <v>14653.800000000001</v>
      </c>
      <c r="CB259" s="586">
        <f t="shared" si="602"/>
        <v>14653.800000000001</v>
      </c>
      <c r="CC259" s="676">
        <f t="shared" si="603"/>
        <v>14653.800000000001</v>
      </c>
      <c r="CD259" s="1316">
        <f t="shared" si="690"/>
        <v>14653.8</v>
      </c>
      <c r="CE259" s="1317">
        <f t="shared" si="689"/>
        <v>14653.8</v>
      </c>
      <c r="CF259" s="1317">
        <f t="shared" si="689"/>
        <v>14653.8</v>
      </c>
      <c r="CG259" s="1317">
        <f t="shared" si="689"/>
        <v>14653.8</v>
      </c>
      <c r="CH259" s="1318">
        <f t="shared" si="689"/>
        <v>14653.8</v>
      </c>
      <c r="CI259" s="1318">
        <f t="shared" si="689"/>
        <v>14653.8</v>
      </c>
      <c r="CJ259" s="1317">
        <f t="shared" si="689"/>
        <v>14653.8</v>
      </c>
      <c r="CK259" s="1317">
        <f t="shared" si="689"/>
        <v>14653.8</v>
      </c>
      <c r="CL259" s="1317">
        <f t="shared" si="689"/>
        <v>14653.8</v>
      </c>
      <c r="CM259" s="1316">
        <f t="shared" si="689"/>
        <v>14653.8</v>
      </c>
      <c r="CN259" s="538" t="str">
        <f t="shared" si="614"/>
        <v/>
      </c>
      <c r="CO259" s="539" t="str">
        <f t="shared" si="615"/>
        <v/>
      </c>
      <c r="CP259" s="539" t="str">
        <f t="shared" si="616"/>
        <v/>
      </c>
      <c r="CQ259" s="539">
        <f t="shared" si="617"/>
        <v>14653.8</v>
      </c>
      <c r="CR259" s="539">
        <f t="shared" si="618"/>
        <v>14653.8</v>
      </c>
      <c r="CS259" s="539">
        <f t="shared" si="619"/>
        <v>14653.8</v>
      </c>
      <c r="CT259" s="540">
        <f t="shared" si="620"/>
        <v>14653.8</v>
      </c>
      <c r="CU259" s="540">
        <f t="shared" si="621"/>
        <v>14653.8</v>
      </c>
      <c r="CV259" s="540">
        <f t="shared" si="622"/>
        <v>14653.8</v>
      </c>
      <c r="CW259" s="539">
        <f t="shared" si="623"/>
        <v>14653.8</v>
      </c>
      <c r="CX259" s="539">
        <f t="shared" si="624"/>
        <v>14653.8</v>
      </c>
      <c r="CY259" s="539">
        <f t="shared" si="625"/>
        <v>14653.8</v>
      </c>
      <c r="CZ259" s="539">
        <f t="shared" si="626"/>
        <v>14653.8</v>
      </c>
      <c r="DA259" s="539" t="str">
        <f t="shared" si="627"/>
        <v/>
      </c>
      <c r="DB259" s="538" t="str">
        <f t="shared" si="628"/>
        <v/>
      </c>
      <c r="DC259" s="537" t="str">
        <f t="shared" si="629"/>
        <v/>
      </c>
      <c r="DD259" s="641">
        <f t="shared" si="630"/>
        <v>10</v>
      </c>
      <c r="DE259" s="95">
        <f t="shared" si="631"/>
        <v>10</v>
      </c>
      <c r="DF259" s="95">
        <f t="shared" si="632"/>
        <v>10</v>
      </c>
      <c r="DG259" s="95">
        <f t="shared" si="633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257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600"/>
        <v/>
      </c>
      <c r="CA260" s="586" t="str">
        <f t="shared" si="601"/>
        <v/>
      </c>
      <c r="CB260" s="586" t="str">
        <f t="shared" si="602"/>
        <v/>
      </c>
      <c r="CC260" s="676" t="str">
        <f t="shared" si="603"/>
        <v/>
      </c>
      <c r="CD260" s="1316" t="str">
        <f t="shared" si="690"/>
        <v/>
      </c>
      <c r="CE260" s="1317" t="str">
        <f t="shared" si="689"/>
        <v/>
      </c>
      <c r="CF260" s="1317" t="str">
        <f t="shared" si="689"/>
        <v/>
      </c>
      <c r="CG260" s="1317" t="str">
        <f t="shared" si="689"/>
        <v/>
      </c>
      <c r="CH260" s="1318" t="str">
        <f t="shared" si="689"/>
        <v/>
      </c>
      <c r="CI260" s="1318" t="str">
        <f t="shared" si="689"/>
        <v/>
      </c>
      <c r="CJ260" s="1317" t="str">
        <f t="shared" si="689"/>
        <v/>
      </c>
      <c r="CK260" s="1317" t="str">
        <f t="shared" si="689"/>
        <v/>
      </c>
      <c r="CL260" s="1317" t="str">
        <f t="shared" si="689"/>
        <v/>
      </c>
      <c r="CM260" s="1316" t="str">
        <f t="shared" si="689"/>
        <v/>
      </c>
      <c r="CN260" s="538" t="str">
        <f t="shared" si="614"/>
        <v/>
      </c>
      <c r="CO260" s="539" t="str">
        <f t="shared" si="615"/>
        <v/>
      </c>
      <c r="CP260" s="539" t="str">
        <f t="shared" si="616"/>
        <v/>
      </c>
      <c r="CQ260" s="539" t="str">
        <f t="shared" si="617"/>
        <v/>
      </c>
      <c r="CR260" s="539" t="str">
        <f t="shared" si="618"/>
        <v/>
      </c>
      <c r="CS260" s="539" t="str">
        <f t="shared" si="619"/>
        <v/>
      </c>
      <c r="CT260" s="540" t="str">
        <f t="shared" si="620"/>
        <v/>
      </c>
      <c r="CU260" s="540" t="str">
        <f t="shared" si="621"/>
        <v/>
      </c>
      <c r="CV260" s="540" t="str">
        <f t="shared" si="622"/>
        <v/>
      </c>
      <c r="CW260" s="539" t="str">
        <f t="shared" si="623"/>
        <v/>
      </c>
      <c r="CX260" s="539" t="str">
        <f t="shared" si="624"/>
        <v/>
      </c>
      <c r="CY260" s="539" t="str">
        <f t="shared" si="625"/>
        <v/>
      </c>
      <c r="CZ260" s="539" t="str">
        <f t="shared" si="626"/>
        <v/>
      </c>
      <c r="DA260" s="539" t="str">
        <f t="shared" si="627"/>
        <v/>
      </c>
      <c r="DB260" s="538" t="str">
        <f t="shared" si="628"/>
        <v/>
      </c>
      <c r="DC260" s="537" t="str">
        <f t="shared" si="629"/>
        <v/>
      </c>
      <c r="DD260" s="641">
        <f t="shared" ref="DD260:DD291" si="695">COUNT(B260:R260)</f>
        <v>0</v>
      </c>
      <c r="DE260" s="95">
        <f t="shared" ref="DE260:DE291" si="696">COUNT(T260:AJ260)</f>
        <v>0</v>
      </c>
      <c r="DF260" s="95">
        <f t="shared" ref="DF260:DF291" si="697">COUNT(AL260:BB260)</f>
        <v>0</v>
      </c>
      <c r="DG260" s="95">
        <f t="shared" ref="DG260:DG291" si="698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181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600"/>
        <v/>
      </c>
      <c r="CA261" s="586" t="str">
        <f t="shared" si="601"/>
        <v/>
      </c>
      <c r="CB261" s="586" t="str">
        <f t="shared" si="602"/>
        <v/>
      </c>
      <c r="CC261" s="676" t="str">
        <f t="shared" si="603"/>
        <v/>
      </c>
      <c r="CD261" s="1316" t="str">
        <f t="shared" si="690"/>
        <v/>
      </c>
      <c r="CE261" s="1317" t="str">
        <f t="shared" si="689"/>
        <v/>
      </c>
      <c r="CF261" s="1317" t="str">
        <f t="shared" si="689"/>
        <v/>
      </c>
      <c r="CG261" s="1317" t="str">
        <f t="shared" si="689"/>
        <v/>
      </c>
      <c r="CH261" s="1318" t="str">
        <f t="shared" si="689"/>
        <v/>
      </c>
      <c r="CI261" s="1318" t="str">
        <f t="shared" si="689"/>
        <v/>
      </c>
      <c r="CJ261" s="1317" t="str">
        <f t="shared" si="689"/>
        <v/>
      </c>
      <c r="CK261" s="1317" t="str">
        <f t="shared" si="689"/>
        <v/>
      </c>
      <c r="CL261" s="1317" t="str">
        <f t="shared" si="689"/>
        <v/>
      </c>
      <c r="CM261" s="1316" t="str">
        <f t="shared" si="689"/>
        <v/>
      </c>
      <c r="CN261" s="538" t="str">
        <f t="shared" si="614"/>
        <v/>
      </c>
      <c r="CO261" s="539" t="str">
        <f t="shared" si="615"/>
        <v/>
      </c>
      <c r="CP261" s="539" t="str">
        <f t="shared" si="616"/>
        <v/>
      </c>
      <c r="CQ261" s="539" t="str">
        <f t="shared" si="617"/>
        <v/>
      </c>
      <c r="CR261" s="539" t="str">
        <f t="shared" si="618"/>
        <v/>
      </c>
      <c r="CS261" s="539" t="str">
        <f t="shared" si="619"/>
        <v/>
      </c>
      <c r="CT261" s="540" t="str">
        <f t="shared" si="620"/>
        <v/>
      </c>
      <c r="CU261" s="540" t="str">
        <f t="shared" si="621"/>
        <v/>
      </c>
      <c r="CV261" s="540" t="str">
        <f t="shared" si="622"/>
        <v/>
      </c>
      <c r="CW261" s="539" t="str">
        <f t="shared" si="623"/>
        <v/>
      </c>
      <c r="CX261" s="539" t="str">
        <f t="shared" si="624"/>
        <v/>
      </c>
      <c r="CY261" s="539" t="str">
        <f t="shared" si="625"/>
        <v/>
      </c>
      <c r="CZ261" s="539" t="str">
        <f t="shared" si="626"/>
        <v/>
      </c>
      <c r="DA261" s="539" t="str">
        <f t="shared" si="627"/>
        <v/>
      </c>
      <c r="DB261" s="538" t="str">
        <f t="shared" si="628"/>
        <v/>
      </c>
      <c r="DC261" s="537" t="str">
        <f t="shared" si="629"/>
        <v/>
      </c>
      <c r="DD261" s="641">
        <f t="shared" si="695"/>
        <v>0</v>
      </c>
      <c r="DE261" s="95">
        <f t="shared" si="696"/>
        <v>0</v>
      </c>
      <c r="DF261" s="95">
        <f t="shared" si="697"/>
        <v>0</v>
      </c>
      <c r="DG261" s="95">
        <f t="shared" si="698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183</v>
      </c>
      <c r="B262" s="618" t="str">
        <f t="shared" ref="B262:K262" si="699">IF(B260="","",B260*B261)</f>
        <v/>
      </c>
      <c r="C262" s="618" t="str">
        <f t="shared" si="699"/>
        <v/>
      </c>
      <c r="D262" s="618" t="str">
        <f t="shared" si="699"/>
        <v/>
      </c>
      <c r="E262" s="618" t="str">
        <f t="shared" si="699"/>
        <v/>
      </c>
      <c r="F262" s="618" t="str">
        <f t="shared" si="699"/>
        <v/>
      </c>
      <c r="G262" s="618" t="str">
        <f t="shared" si="699"/>
        <v/>
      </c>
      <c r="H262" s="618" t="str">
        <f t="shared" si="699"/>
        <v/>
      </c>
      <c r="I262" s="618" t="str">
        <f t="shared" si="699"/>
        <v/>
      </c>
      <c r="J262" s="618" t="str">
        <f t="shared" si="699"/>
        <v/>
      </c>
      <c r="K262" s="618" t="str">
        <f t="shared" si="699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700">IF(T260="","",T260*T261)</f>
        <v/>
      </c>
      <c r="U262" s="618" t="str">
        <f t="shared" si="700"/>
        <v/>
      </c>
      <c r="V262" s="618" t="str">
        <f t="shared" si="700"/>
        <v/>
      </c>
      <c r="W262" s="618" t="str">
        <f t="shared" si="700"/>
        <v/>
      </c>
      <c r="X262" s="618" t="str">
        <f t="shared" si="700"/>
        <v/>
      </c>
      <c r="Y262" s="618" t="str">
        <f t="shared" si="700"/>
        <v/>
      </c>
      <c r="Z262" s="618" t="str">
        <f t="shared" si="700"/>
        <v/>
      </c>
      <c r="AA262" s="618" t="str">
        <f t="shared" si="700"/>
        <v/>
      </c>
      <c r="AB262" s="618" t="str">
        <f t="shared" si="700"/>
        <v/>
      </c>
      <c r="AC262" s="618" t="str">
        <f t="shared" si="700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701">IF(AL260="","",AL260*AL261)</f>
        <v/>
      </c>
      <c r="AM262" s="618" t="str">
        <f t="shared" si="701"/>
        <v/>
      </c>
      <c r="AN262" s="618" t="str">
        <f t="shared" si="701"/>
        <v/>
      </c>
      <c r="AO262" s="618" t="str">
        <f t="shared" si="701"/>
        <v/>
      </c>
      <c r="AP262" s="618" t="str">
        <f t="shared" si="701"/>
        <v/>
      </c>
      <c r="AQ262" s="618" t="str">
        <f t="shared" si="701"/>
        <v/>
      </c>
      <c r="AR262" s="618" t="str">
        <f t="shared" si="701"/>
        <v/>
      </c>
      <c r="AS262" s="618" t="str">
        <f t="shared" si="701"/>
        <v/>
      </c>
      <c r="AT262" s="618" t="str">
        <f t="shared" si="701"/>
        <v/>
      </c>
      <c r="AU262" s="618" t="str">
        <f t="shared" si="701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2">IF(BD260="","",BD260*BD261)</f>
        <v/>
      </c>
      <c r="BE262" s="618" t="str">
        <f t="shared" si="702"/>
        <v/>
      </c>
      <c r="BF262" s="618" t="str">
        <f t="shared" si="702"/>
        <v/>
      </c>
      <c r="BG262" s="618" t="str">
        <f t="shared" si="702"/>
        <v/>
      </c>
      <c r="BH262" s="618" t="str">
        <f t="shared" si="702"/>
        <v/>
      </c>
      <c r="BI262" s="618" t="str">
        <f t="shared" si="702"/>
        <v/>
      </c>
      <c r="BJ262" s="618" t="str">
        <f t="shared" si="702"/>
        <v/>
      </c>
      <c r="BK262" s="618" t="str">
        <f t="shared" si="702"/>
        <v/>
      </c>
      <c r="BL262" s="618" t="str">
        <f t="shared" si="702"/>
        <v/>
      </c>
      <c r="BM262" s="618" t="str">
        <f t="shared" si="702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600"/>
        <v/>
      </c>
      <c r="CA262" s="586" t="str">
        <f t="shared" si="601"/>
        <v/>
      </c>
      <c r="CB262" s="586" t="str">
        <f t="shared" si="602"/>
        <v/>
      </c>
      <c r="CC262" s="676" t="str">
        <f t="shared" si="603"/>
        <v/>
      </c>
      <c r="CD262" s="1316" t="str">
        <f t="shared" si="690"/>
        <v/>
      </c>
      <c r="CE262" s="1317" t="str">
        <f t="shared" si="689"/>
        <v/>
      </c>
      <c r="CF262" s="1317" t="str">
        <f t="shared" si="689"/>
        <v/>
      </c>
      <c r="CG262" s="1317" t="str">
        <f t="shared" si="689"/>
        <v/>
      </c>
      <c r="CH262" s="1318" t="str">
        <f t="shared" si="689"/>
        <v/>
      </c>
      <c r="CI262" s="1318" t="str">
        <f t="shared" si="689"/>
        <v/>
      </c>
      <c r="CJ262" s="1317" t="str">
        <f t="shared" si="689"/>
        <v/>
      </c>
      <c r="CK262" s="1317" t="str">
        <f t="shared" si="689"/>
        <v/>
      </c>
      <c r="CL262" s="1317" t="str">
        <f t="shared" si="689"/>
        <v/>
      </c>
      <c r="CM262" s="1316" t="str">
        <f t="shared" si="689"/>
        <v/>
      </c>
      <c r="CN262" s="538" t="str">
        <f t="shared" si="614"/>
        <v/>
      </c>
      <c r="CO262" s="539" t="str">
        <f t="shared" si="615"/>
        <v/>
      </c>
      <c r="CP262" s="539" t="str">
        <f t="shared" si="616"/>
        <v/>
      </c>
      <c r="CQ262" s="539" t="str">
        <f t="shared" si="617"/>
        <v/>
      </c>
      <c r="CR262" s="539" t="str">
        <f t="shared" si="618"/>
        <v/>
      </c>
      <c r="CS262" s="539" t="str">
        <f t="shared" si="619"/>
        <v/>
      </c>
      <c r="CT262" s="540" t="str">
        <f t="shared" si="620"/>
        <v/>
      </c>
      <c r="CU262" s="540" t="str">
        <f t="shared" si="621"/>
        <v/>
      </c>
      <c r="CV262" s="540" t="str">
        <f t="shared" si="622"/>
        <v/>
      </c>
      <c r="CW262" s="539" t="str">
        <f t="shared" si="623"/>
        <v/>
      </c>
      <c r="CX262" s="539" t="str">
        <f t="shared" si="624"/>
        <v/>
      </c>
      <c r="CY262" s="539" t="str">
        <f t="shared" si="625"/>
        <v/>
      </c>
      <c r="CZ262" s="539" t="str">
        <f t="shared" si="626"/>
        <v/>
      </c>
      <c r="DA262" s="539" t="str">
        <f t="shared" si="627"/>
        <v/>
      </c>
      <c r="DB262" s="538" t="str">
        <f t="shared" si="628"/>
        <v/>
      </c>
      <c r="DC262" s="537" t="str">
        <f t="shared" si="629"/>
        <v/>
      </c>
      <c r="DD262" s="641">
        <f t="shared" si="695"/>
        <v>0</v>
      </c>
      <c r="DE262" s="95">
        <f t="shared" si="696"/>
        <v>0</v>
      </c>
      <c r="DF262" s="95">
        <f t="shared" si="697"/>
        <v>0</v>
      </c>
      <c r="DG262" s="95">
        <f t="shared" si="698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258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600"/>
        <v/>
      </c>
      <c r="CA263" s="586" t="str">
        <f t="shared" si="601"/>
        <v/>
      </c>
      <c r="CB263" s="586" t="str">
        <f t="shared" si="602"/>
        <v/>
      </c>
      <c r="CC263" s="676" t="str">
        <f t="shared" si="603"/>
        <v/>
      </c>
      <c r="CD263" s="1316" t="str">
        <f t="shared" si="690"/>
        <v/>
      </c>
      <c r="CE263" s="1317" t="str">
        <f t="shared" si="689"/>
        <v/>
      </c>
      <c r="CF263" s="1317" t="str">
        <f t="shared" si="689"/>
        <v/>
      </c>
      <c r="CG263" s="1317" t="str">
        <f t="shared" si="689"/>
        <v/>
      </c>
      <c r="CH263" s="1318" t="str">
        <f t="shared" si="689"/>
        <v/>
      </c>
      <c r="CI263" s="1318" t="str">
        <f t="shared" si="689"/>
        <v/>
      </c>
      <c r="CJ263" s="1317" t="str">
        <f t="shared" si="689"/>
        <v/>
      </c>
      <c r="CK263" s="1317" t="str">
        <f t="shared" si="689"/>
        <v/>
      </c>
      <c r="CL263" s="1317" t="str">
        <f t="shared" si="689"/>
        <v/>
      </c>
      <c r="CM263" s="1316" t="str">
        <f t="shared" si="689"/>
        <v/>
      </c>
      <c r="CN263" s="538" t="str">
        <f t="shared" si="614"/>
        <v/>
      </c>
      <c r="CO263" s="539" t="str">
        <f t="shared" si="615"/>
        <v/>
      </c>
      <c r="CP263" s="539" t="str">
        <f t="shared" si="616"/>
        <v/>
      </c>
      <c r="CQ263" s="539" t="str">
        <f t="shared" si="617"/>
        <v/>
      </c>
      <c r="CR263" s="539" t="str">
        <f t="shared" si="618"/>
        <v/>
      </c>
      <c r="CS263" s="539" t="str">
        <f t="shared" si="619"/>
        <v/>
      </c>
      <c r="CT263" s="540" t="str">
        <f t="shared" si="620"/>
        <v/>
      </c>
      <c r="CU263" s="540" t="str">
        <f t="shared" si="621"/>
        <v/>
      </c>
      <c r="CV263" s="540" t="str">
        <f t="shared" si="622"/>
        <v/>
      </c>
      <c r="CW263" s="539" t="str">
        <f t="shared" si="623"/>
        <v/>
      </c>
      <c r="CX263" s="539" t="str">
        <f t="shared" si="624"/>
        <v/>
      </c>
      <c r="CY263" s="539" t="str">
        <f t="shared" si="625"/>
        <v/>
      </c>
      <c r="CZ263" s="539" t="str">
        <f t="shared" si="626"/>
        <v/>
      </c>
      <c r="DA263" s="539" t="str">
        <f t="shared" si="627"/>
        <v/>
      </c>
      <c r="DB263" s="538" t="str">
        <f t="shared" si="628"/>
        <v/>
      </c>
      <c r="DC263" s="537" t="str">
        <f t="shared" si="629"/>
        <v/>
      </c>
      <c r="DD263" s="641">
        <f t="shared" si="695"/>
        <v>0</v>
      </c>
      <c r="DE263" s="95">
        <f t="shared" si="696"/>
        <v>0</v>
      </c>
      <c r="DF263" s="95">
        <f t="shared" si="697"/>
        <v>0</v>
      </c>
      <c r="DG263" s="95">
        <f t="shared" si="698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227</v>
      </c>
      <c r="B264" s="621" t="str">
        <f t="shared" ref="B264:K264" si="703">IF(B258="","",(B258-B260-B263)*B259/B$46/365/$G$1)</f>
        <v/>
      </c>
      <c r="C264" s="621" t="str">
        <f t="shared" si="703"/>
        <v/>
      </c>
      <c r="D264" s="621" t="str">
        <f t="shared" si="703"/>
        <v/>
      </c>
      <c r="E264" s="621" t="str">
        <f t="shared" si="703"/>
        <v/>
      </c>
      <c r="F264" s="621" t="str">
        <f t="shared" si="703"/>
        <v/>
      </c>
      <c r="G264" s="621" t="str">
        <f t="shared" si="703"/>
        <v/>
      </c>
      <c r="H264" s="621" t="str">
        <f t="shared" si="703"/>
        <v/>
      </c>
      <c r="I264" s="621" t="str">
        <f t="shared" si="703"/>
        <v/>
      </c>
      <c r="J264" s="621" t="str">
        <f t="shared" si="703"/>
        <v/>
      </c>
      <c r="K264" s="621" t="str">
        <f t="shared" si="703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4">IF(T258="","",(T258-T260-T263)*T259/T$46/365/$G$1)</f>
        <v/>
      </c>
      <c r="U264" s="621" t="str">
        <f t="shared" si="704"/>
        <v/>
      </c>
      <c r="V264" s="621" t="str">
        <f t="shared" si="704"/>
        <v/>
      </c>
      <c r="W264" s="621" t="str">
        <f t="shared" si="704"/>
        <v/>
      </c>
      <c r="X264" s="621" t="str">
        <f t="shared" si="704"/>
        <v/>
      </c>
      <c r="Y264" s="621" t="str">
        <f t="shared" si="704"/>
        <v/>
      </c>
      <c r="Z264" s="621" t="str">
        <f t="shared" si="704"/>
        <v/>
      </c>
      <c r="AA264" s="621" t="str">
        <f t="shared" si="704"/>
        <v/>
      </c>
      <c r="AB264" s="621" t="str">
        <f t="shared" si="704"/>
        <v/>
      </c>
      <c r="AC264" s="621" t="str">
        <f t="shared" si="704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5">IF(AL258="","",(AL258-AL260-AL263)*AL259/AL$46/365/$G$1)</f>
        <v/>
      </c>
      <c r="AM264" s="621" t="str">
        <f t="shared" si="705"/>
        <v/>
      </c>
      <c r="AN264" s="621" t="str">
        <f t="shared" si="705"/>
        <v/>
      </c>
      <c r="AO264" s="621" t="str">
        <f t="shared" si="705"/>
        <v/>
      </c>
      <c r="AP264" s="621" t="str">
        <f t="shared" si="705"/>
        <v/>
      </c>
      <c r="AQ264" s="621" t="str">
        <f t="shared" si="705"/>
        <v/>
      </c>
      <c r="AR264" s="621" t="str">
        <f t="shared" si="705"/>
        <v/>
      </c>
      <c r="AS264" s="621" t="str">
        <f t="shared" si="705"/>
        <v/>
      </c>
      <c r="AT264" s="621" t="str">
        <f t="shared" si="705"/>
        <v/>
      </c>
      <c r="AU264" s="621" t="str">
        <f t="shared" si="705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6">IF(BD258="","",(BD258-BD260-BD263)*BD259/BD$46/365/$G$1)</f>
        <v/>
      </c>
      <c r="BE264" s="621" t="str">
        <f t="shared" si="706"/>
        <v/>
      </c>
      <c r="BF264" s="621" t="str">
        <f t="shared" si="706"/>
        <v/>
      </c>
      <c r="BG264" s="621" t="str">
        <f t="shared" si="706"/>
        <v/>
      </c>
      <c r="BH264" s="621" t="str">
        <f t="shared" si="706"/>
        <v/>
      </c>
      <c r="BI264" s="621" t="str">
        <f t="shared" si="706"/>
        <v/>
      </c>
      <c r="BJ264" s="621" t="str">
        <f t="shared" si="706"/>
        <v/>
      </c>
      <c r="BK264" s="621" t="str">
        <f t="shared" si="706"/>
        <v/>
      </c>
      <c r="BL264" s="621" t="str">
        <f t="shared" si="706"/>
        <v/>
      </c>
      <c r="BM264" s="621" t="str">
        <f t="shared" si="706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600"/>
        <v/>
      </c>
      <c r="CA264" s="611" t="str">
        <f t="shared" si="601"/>
        <v/>
      </c>
      <c r="CB264" s="611" t="str">
        <f t="shared" si="602"/>
        <v/>
      </c>
      <c r="CC264" s="679" t="str">
        <f t="shared" si="603"/>
        <v/>
      </c>
      <c r="CD264" s="1319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0" t="str">
        <f t="shared" si="707"/>
        <v/>
      </c>
      <c r="CG264" s="1320" t="str">
        <f t="shared" si="707"/>
        <v/>
      </c>
      <c r="CH264" s="1321" t="str">
        <f t="shared" si="707"/>
        <v/>
      </c>
      <c r="CI264" s="1321" t="str">
        <f t="shared" si="707"/>
        <v/>
      </c>
      <c r="CJ264" s="1320" t="str">
        <f t="shared" si="707"/>
        <v/>
      </c>
      <c r="CK264" s="1320" t="str">
        <f t="shared" si="707"/>
        <v/>
      </c>
      <c r="CL264" s="1320" t="str">
        <f t="shared" si="707"/>
        <v/>
      </c>
      <c r="CM264" s="1319" t="str">
        <f t="shared" si="707"/>
        <v/>
      </c>
      <c r="CN264" s="526" t="str">
        <f t="shared" si="614"/>
        <v/>
      </c>
      <c r="CO264" s="527" t="str">
        <f t="shared" si="615"/>
        <v/>
      </c>
      <c r="CP264" s="527" t="str">
        <f t="shared" si="616"/>
        <v/>
      </c>
      <c r="CQ264" s="527" t="str">
        <f t="shared" si="617"/>
        <v/>
      </c>
      <c r="CR264" s="527" t="str">
        <f t="shared" si="618"/>
        <v/>
      </c>
      <c r="CS264" s="527" t="str">
        <f t="shared" si="619"/>
        <v/>
      </c>
      <c r="CT264" s="528" t="str">
        <f t="shared" si="620"/>
        <v/>
      </c>
      <c r="CU264" s="528" t="str">
        <f t="shared" si="621"/>
        <v/>
      </c>
      <c r="CV264" s="528" t="str">
        <f t="shared" si="622"/>
        <v/>
      </c>
      <c r="CW264" s="527" t="str">
        <f t="shared" si="623"/>
        <v/>
      </c>
      <c r="CX264" s="527" t="str">
        <f t="shared" si="624"/>
        <v/>
      </c>
      <c r="CY264" s="527" t="str">
        <f t="shared" si="625"/>
        <v/>
      </c>
      <c r="CZ264" s="527" t="str">
        <f t="shared" si="626"/>
        <v/>
      </c>
      <c r="DA264" s="527" t="str">
        <f t="shared" si="627"/>
        <v/>
      </c>
      <c r="DB264" s="526" t="str">
        <f t="shared" si="628"/>
        <v/>
      </c>
      <c r="DC264" s="525" t="str">
        <f t="shared" si="629"/>
        <v/>
      </c>
      <c r="DD264" s="641">
        <f t="shared" si="695"/>
        <v>0</v>
      </c>
      <c r="DE264" s="95">
        <f t="shared" si="696"/>
        <v>0</v>
      </c>
      <c r="DF264" s="95">
        <f t="shared" si="697"/>
        <v>0</v>
      </c>
      <c r="DG264" s="95">
        <f t="shared" si="698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913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600"/>
        <v/>
      </c>
      <c r="CA265" s="586" t="str">
        <f t="shared" si="601"/>
        <v/>
      </c>
      <c r="CB265" s="586" t="str">
        <f t="shared" si="602"/>
        <v/>
      </c>
      <c r="CC265" s="676" t="str">
        <f t="shared" si="603"/>
        <v/>
      </c>
      <c r="CD265" s="1316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7" t="str">
        <f t="shared" si="707"/>
        <v/>
      </c>
      <c r="CF265" s="1317" t="str">
        <f t="shared" si="707"/>
        <v/>
      </c>
      <c r="CG265" s="1317" t="str">
        <f t="shared" si="707"/>
        <v/>
      </c>
      <c r="CH265" s="1318">
        <f t="shared" si="707"/>
        <v>250</v>
      </c>
      <c r="CI265" s="1318" t="str">
        <f t="shared" si="707"/>
        <v/>
      </c>
      <c r="CJ265" s="1317" t="str">
        <f t="shared" si="707"/>
        <v/>
      </c>
      <c r="CK265" s="1317" t="str">
        <f t="shared" si="707"/>
        <v/>
      </c>
      <c r="CL265" s="1317" t="str">
        <f t="shared" si="707"/>
        <v/>
      </c>
      <c r="CM265" s="1316" t="str">
        <f t="shared" si="707"/>
        <v/>
      </c>
      <c r="CN265" s="538" t="str">
        <f t="shared" si="614"/>
        <v/>
      </c>
      <c r="CO265" s="539" t="str">
        <f t="shared" si="615"/>
        <v/>
      </c>
      <c r="CP265" s="539" t="str">
        <f t="shared" si="616"/>
        <v/>
      </c>
      <c r="CQ265" s="539" t="str">
        <f t="shared" si="617"/>
        <v/>
      </c>
      <c r="CR265" s="539" t="str">
        <f t="shared" si="618"/>
        <v/>
      </c>
      <c r="CS265" s="539" t="str">
        <f t="shared" si="619"/>
        <v/>
      </c>
      <c r="CT265" s="540" t="str">
        <f t="shared" si="620"/>
        <v/>
      </c>
      <c r="CU265" s="540">
        <f t="shared" si="621"/>
        <v>50</v>
      </c>
      <c r="CV265" s="540">
        <f t="shared" si="622"/>
        <v>50</v>
      </c>
      <c r="CW265" s="539" t="str">
        <f t="shared" si="623"/>
        <v/>
      </c>
      <c r="CX265" s="539" t="str">
        <f t="shared" si="624"/>
        <v/>
      </c>
      <c r="CY265" s="539" t="str">
        <f t="shared" si="625"/>
        <v/>
      </c>
      <c r="CZ265" s="539" t="str">
        <f t="shared" si="626"/>
        <v/>
      </c>
      <c r="DA265" s="539" t="str">
        <f t="shared" si="627"/>
        <v/>
      </c>
      <c r="DB265" s="538" t="str">
        <f t="shared" si="628"/>
        <v/>
      </c>
      <c r="DC265" s="537" t="str">
        <f t="shared" si="629"/>
        <v/>
      </c>
      <c r="DD265" s="641">
        <f t="shared" si="695"/>
        <v>1</v>
      </c>
      <c r="DE265" s="95">
        <f t="shared" si="696"/>
        <v>2</v>
      </c>
      <c r="DF265" s="95">
        <f t="shared" si="697"/>
        <v>1</v>
      </c>
      <c r="DG265" s="95">
        <f t="shared" si="698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260</v>
      </c>
      <c r="B266" s="690">
        <f>3400*$K$1</f>
        <v>14235.119999999999</v>
      </c>
      <c r="C266" s="690">
        <f t="shared" ref="C266:K266" si="709">3400*$K$1</f>
        <v>14235.119999999999</v>
      </c>
      <c r="D266" s="690">
        <f t="shared" si="709"/>
        <v>14235.119999999999</v>
      </c>
      <c r="E266" s="690">
        <f t="shared" si="709"/>
        <v>14235.119999999999</v>
      </c>
      <c r="F266" s="690">
        <f t="shared" si="709"/>
        <v>14235.119999999999</v>
      </c>
      <c r="G266" s="690">
        <f t="shared" si="709"/>
        <v>14235.119999999999</v>
      </c>
      <c r="H266" s="690">
        <f t="shared" si="709"/>
        <v>14235.119999999999</v>
      </c>
      <c r="I266" s="690">
        <f t="shared" si="709"/>
        <v>14235.119999999999</v>
      </c>
      <c r="J266" s="690">
        <f t="shared" si="709"/>
        <v>14235.119999999999</v>
      </c>
      <c r="K266" s="690">
        <f t="shared" si="709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10">3400*$K$1</f>
        <v>14235.119999999999</v>
      </c>
      <c r="V266" s="690">
        <f t="shared" si="710"/>
        <v>14235.119999999999</v>
      </c>
      <c r="W266" s="690">
        <f t="shared" si="710"/>
        <v>14235.119999999999</v>
      </c>
      <c r="X266" s="690">
        <f t="shared" si="710"/>
        <v>14235.119999999999</v>
      </c>
      <c r="Y266" s="690">
        <f t="shared" si="710"/>
        <v>14235.119999999999</v>
      </c>
      <c r="Z266" s="690">
        <f t="shared" si="710"/>
        <v>14235.119999999999</v>
      </c>
      <c r="AA266" s="690">
        <f t="shared" si="710"/>
        <v>14235.119999999999</v>
      </c>
      <c r="AB266" s="690">
        <f t="shared" si="710"/>
        <v>14235.119999999999</v>
      </c>
      <c r="AC266" s="690">
        <f t="shared" si="710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11">3400*$K$1</f>
        <v>14235.119999999999</v>
      </c>
      <c r="AN266" s="690">
        <f t="shared" si="711"/>
        <v>14235.119999999999</v>
      </c>
      <c r="AO266" s="690">
        <f t="shared" si="711"/>
        <v>14235.119999999999</v>
      </c>
      <c r="AP266" s="690">
        <f t="shared" si="711"/>
        <v>14235.119999999999</v>
      </c>
      <c r="AQ266" s="690">
        <f t="shared" si="711"/>
        <v>14235.119999999999</v>
      </c>
      <c r="AR266" s="690">
        <f t="shared" si="711"/>
        <v>14235.119999999999</v>
      </c>
      <c r="AS266" s="690">
        <f t="shared" si="711"/>
        <v>14235.119999999999</v>
      </c>
      <c r="AT266" s="690">
        <f t="shared" si="711"/>
        <v>14235.119999999999</v>
      </c>
      <c r="AU266" s="690">
        <f t="shared" si="711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2">3400*$K$1</f>
        <v>14235.119999999999</v>
      </c>
      <c r="BF266" s="690">
        <f t="shared" si="712"/>
        <v>14235.119999999999</v>
      </c>
      <c r="BG266" s="690">
        <f t="shared" si="712"/>
        <v>14235.119999999999</v>
      </c>
      <c r="BH266" s="690">
        <f t="shared" si="712"/>
        <v>14235.119999999999</v>
      </c>
      <c r="BI266" s="690">
        <f t="shared" si="712"/>
        <v>14235.119999999999</v>
      </c>
      <c r="BJ266" s="690">
        <f t="shared" si="712"/>
        <v>14235.119999999999</v>
      </c>
      <c r="BK266" s="690">
        <f t="shared" si="712"/>
        <v>14235.119999999999</v>
      </c>
      <c r="BL266" s="690">
        <f t="shared" si="712"/>
        <v>14235.119999999999</v>
      </c>
      <c r="BM266" s="690">
        <f t="shared" si="712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2"/>
        <v>14235.119999999999</v>
      </c>
      <c r="BW266" s="690">
        <f t="shared" si="712"/>
        <v>14235.119999999999</v>
      </c>
      <c r="BX266" s="690">
        <f t="shared" si="712"/>
        <v>14235.119999999999</v>
      </c>
      <c r="BY266" s="690">
        <f t="shared" si="712"/>
        <v>14235.119999999999</v>
      </c>
      <c r="BZ266" s="586">
        <f t="shared" si="600"/>
        <v>14235.119999999999</v>
      </c>
      <c r="CA266" s="586">
        <f t="shared" si="601"/>
        <v>14235.119999999999</v>
      </c>
      <c r="CB266" s="586">
        <f t="shared" si="602"/>
        <v>14235.119999999999</v>
      </c>
      <c r="CC266" s="676">
        <f t="shared" si="603"/>
        <v>14235.119999999999</v>
      </c>
      <c r="CD266" s="1316">
        <f t="shared" si="708"/>
        <v>14235.119999999999</v>
      </c>
      <c r="CE266" s="1317">
        <f t="shared" si="707"/>
        <v>14235.119999999999</v>
      </c>
      <c r="CF266" s="1317">
        <f t="shared" si="707"/>
        <v>14235.119999999999</v>
      </c>
      <c r="CG266" s="1317">
        <f t="shared" si="707"/>
        <v>14235.119999999999</v>
      </c>
      <c r="CH266" s="1318">
        <f t="shared" si="707"/>
        <v>14235.119999999999</v>
      </c>
      <c r="CI266" s="1318">
        <f t="shared" si="707"/>
        <v>14235.119999999999</v>
      </c>
      <c r="CJ266" s="1317">
        <f t="shared" si="707"/>
        <v>14235.119999999999</v>
      </c>
      <c r="CK266" s="1317">
        <f t="shared" si="707"/>
        <v>14235.119999999999</v>
      </c>
      <c r="CL266" s="1317">
        <f t="shared" si="707"/>
        <v>14235.119999999999</v>
      </c>
      <c r="CM266" s="1316">
        <f t="shared" si="707"/>
        <v>14235.119999999999</v>
      </c>
      <c r="CN266" s="538" t="str">
        <f t="shared" si="614"/>
        <v/>
      </c>
      <c r="CO266" s="539" t="str">
        <f t="shared" si="615"/>
        <v/>
      </c>
      <c r="CP266" s="539" t="str">
        <f t="shared" si="616"/>
        <v/>
      </c>
      <c r="CQ266" s="539">
        <f t="shared" si="617"/>
        <v>14235.119999999999</v>
      </c>
      <c r="CR266" s="539">
        <f t="shared" si="618"/>
        <v>14235.119999999999</v>
      </c>
      <c r="CS266" s="539">
        <f t="shared" si="619"/>
        <v>14235.119999999999</v>
      </c>
      <c r="CT266" s="540">
        <f t="shared" si="620"/>
        <v>14235.119999999999</v>
      </c>
      <c r="CU266" s="540">
        <f t="shared" si="621"/>
        <v>14235.119999999999</v>
      </c>
      <c r="CV266" s="540">
        <f t="shared" si="622"/>
        <v>14235.119999999999</v>
      </c>
      <c r="CW266" s="539">
        <f t="shared" si="623"/>
        <v>14235.119999999999</v>
      </c>
      <c r="CX266" s="539">
        <f t="shared" si="624"/>
        <v>14235.119999999999</v>
      </c>
      <c r="CY266" s="539">
        <f t="shared" si="625"/>
        <v>14235.119999999999</v>
      </c>
      <c r="CZ266" s="539">
        <f t="shared" si="626"/>
        <v>14235.119999999999</v>
      </c>
      <c r="DA266" s="539" t="str">
        <f t="shared" si="627"/>
        <v/>
      </c>
      <c r="DB266" s="538" t="str">
        <f t="shared" si="628"/>
        <v/>
      </c>
      <c r="DC266" s="537" t="str">
        <f t="shared" si="629"/>
        <v/>
      </c>
      <c r="DD266" s="641">
        <f t="shared" si="695"/>
        <v>10</v>
      </c>
      <c r="DE266" s="95">
        <f t="shared" si="696"/>
        <v>10</v>
      </c>
      <c r="DF266" s="95">
        <f t="shared" si="697"/>
        <v>10</v>
      </c>
      <c r="DG266" s="95">
        <f t="shared" si="698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257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600"/>
        <v/>
      </c>
      <c r="CA267" s="586" t="str">
        <f t="shared" si="601"/>
        <v/>
      </c>
      <c r="CB267" s="586" t="str">
        <f t="shared" si="602"/>
        <v/>
      </c>
      <c r="CC267" s="676" t="str">
        <f t="shared" si="603"/>
        <v/>
      </c>
      <c r="CD267" s="1316" t="str">
        <f t="shared" si="708"/>
        <v/>
      </c>
      <c r="CE267" s="1317" t="str">
        <f t="shared" si="707"/>
        <v/>
      </c>
      <c r="CF267" s="1317" t="str">
        <f t="shared" si="707"/>
        <v/>
      </c>
      <c r="CG267" s="1317" t="str">
        <f t="shared" si="707"/>
        <v/>
      </c>
      <c r="CH267" s="1318">
        <f t="shared" si="707"/>
        <v>200</v>
      </c>
      <c r="CI267" s="1318" t="str">
        <f t="shared" si="707"/>
        <v/>
      </c>
      <c r="CJ267" s="1317" t="str">
        <f t="shared" si="707"/>
        <v/>
      </c>
      <c r="CK267" s="1317" t="str">
        <f t="shared" si="707"/>
        <v/>
      </c>
      <c r="CL267" s="1317" t="str">
        <f t="shared" si="707"/>
        <v/>
      </c>
      <c r="CM267" s="1316" t="str">
        <f t="shared" si="707"/>
        <v/>
      </c>
      <c r="CN267" s="538" t="str">
        <f t="shared" si="614"/>
        <v/>
      </c>
      <c r="CO267" s="539" t="str">
        <f t="shared" si="615"/>
        <v/>
      </c>
      <c r="CP267" s="539" t="str">
        <f t="shared" si="616"/>
        <v/>
      </c>
      <c r="CQ267" s="539" t="str">
        <f t="shared" si="617"/>
        <v/>
      </c>
      <c r="CR267" s="539" t="str">
        <f t="shared" si="618"/>
        <v/>
      </c>
      <c r="CS267" s="539" t="str">
        <f t="shared" si="619"/>
        <v/>
      </c>
      <c r="CT267" s="540" t="str">
        <f t="shared" si="620"/>
        <v/>
      </c>
      <c r="CU267" s="540">
        <f t="shared" si="621"/>
        <v>0</v>
      </c>
      <c r="CV267" s="540">
        <f t="shared" si="622"/>
        <v>20</v>
      </c>
      <c r="CW267" s="539" t="str">
        <f t="shared" si="623"/>
        <v/>
      </c>
      <c r="CX267" s="539" t="str">
        <f t="shared" si="624"/>
        <v/>
      </c>
      <c r="CY267" s="539" t="str">
        <f t="shared" si="625"/>
        <v/>
      </c>
      <c r="CZ267" s="539" t="str">
        <f t="shared" si="626"/>
        <v/>
      </c>
      <c r="DA267" s="539" t="str">
        <f t="shared" si="627"/>
        <v/>
      </c>
      <c r="DB267" s="538" t="str">
        <f t="shared" si="628"/>
        <v/>
      </c>
      <c r="DC267" s="537" t="str">
        <f t="shared" si="629"/>
        <v/>
      </c>
      <c r="DD267" s="641">
        <f t="shared" si="695"/>
        <v>1</v>
      </c>
      <c r="DE267" s="95">
        <f t="shared" si="696"/>
        <v>2</v>
      </c>
      <c r="DF267" s="95">
        <f t="shared" si="697"/>
        <v>1</v>
      </c>
      <c r="DG267" s="95">
        <f t="shared" si="698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181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600"/>
        <v/>
      </c>
      <c r="CA268" s="586" t="str">
        <f t="shared" si="601"/>
        <v/>
      </c>
      <c r="CB268" s="586" t="str">
        <f t="shared" si="602"/>
        <v/>
      </c>
      <c r="CC268" s="676" t="str">
        <f t="shared" si="603"/>
        <v/>
      </c>
      <c r="CD268" s="1316" t="str">
        <f t="shared" si="708"/>
        <v/>
      </c>
      <c r="CE268" s="1317" t="str">
        <f t="shared" si="707"/>
        <v/>
      </c>
      <c r="CF268" s="1317" t="str">
        <f t="shared" si="707"/>
        <v/>
      </c>
      <c r="CG268" s="1317" t="str">
        <f t="shared" si="707"/>
        <v/>
      </c>
      <c r="CH268" s="1318">
        <f t="shared" si="707"/>
        <v>0</v>
      </c>
      <c r="CI268" s="1318" t="str">
        <f t="shared" si="707"/>
        <v/>
      </c>
      <c r="CJ268" s="1317" t="str">
        <f t="shared" si="707"/>
        <v/>
      </c>
      <c r="CK268" s="1317" t="str">
        <f t="shared" si="707"/>
        <v/>
      </c>
      <c r="CL268" s="1317" t="str">
        <f t="shared" si="707"/>
        <v/>
      </c>
      <c r="CM268" s="1316" t="str">
        <f t="shared" si="707"/>
        <v/>
      </c>
      <c r="CN268" s="538" t="str">
        <f t="shared" si="614"/>
        <v/>
      </c>
      <c r="CO268" s="539" t="str">
        <f t="shared" si="615"/>
        <v/>
      </c>
      <c r="CP268" s="539" t="str">
        <f t="shared" si="616"/>
        <v/>
      </c>
      <c r="CQ268" s="539" t="str">
        <f t="shared" si="617"/>
        <v/>
      </c>
      <c r="CR268" s="539" t="str">
        <f t="shared" si="618"/>
        <v/>
      </c>
      <c r="CS268" s="539" t="str">
        <f t="shared" si="619"/>
        <v/>
      </c>
      <c r="CT268" s="540" t="str">
        <f t="shared" si="620"/>
        <v/>
      </c>
      <c r="CU268" s="540">
        <f t="shared" si="621"/>
        <v>10</v>
      </c>
      <c r="CV268" s="540" t="str">
        <f t="shared" si="622"/>
        <v/>
      </c>
      <c r="CW268" s="539" t="str">
        <f t="shared" si="623"/>
        <v/>
      </c>
      <c r="CX268" s="539" t="str">
        <f t="shared" si="624"/>
        <v/>
      </c>
      <c r="CY268" s="539" t="str">
        <f t="shared" si="625"/>
        <v/>
      </c>
      <c r="CZ268" s="539" t="str">
        <f t="shared" si="626"/>
        <v/>
      </c>
      <c r="DA268" s="539" t="str">
        <f t="shared" si="627"/>
        <v/>
      </c>
      <c r="DB268" s="538" t="str">
        <f t="shared" si="628"/>
        <v/>
      </c>
      <c r="DC268" s="537" t="str">
        <f t="shared" si="629"/>
        <v/>
      </c>
      <c r="DD268" s="641">
        <f t="shared" si="695"/>
        <v>1</v>
      </c>
      <c r="DE268" s="95">
        <f t="shared" si="696"/>
        <v>1</v>
      </c>
      <c r="DF268" s="95">
        <f t="shared" si="697"/>
        <v>1</v>
      </c>
      <c r="DG268" s="95">
        <f t="shared" si="698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183</v>
      </c>
      <c r="B269" s="618" t="str">
        <f t="shared" ref="B269:K269" si="713">IF(B267="","",B267*B268)</f>
        <v/>
      </c>
      <c r="C269" s="618" t="str">
        <f t="shared" si="713"/>
        <v/>
      </c>
      <c r="D269" s="618">
        <f t="shared" si="713"/>
        <v>800</v>
      </c>
      <c r="E269" s="618" t="str">
        <f t="shared" si="713"/>
        <v/>
      </c>
      <c r="F269" s="618" t="str">
        <f t="shared" si="713"/>
        <v/>
      </c>
      <c r="G269" s="618" t="str">
        <f t="shared" si="713"/>
        <v/>
      </c>
      <c r="H269" s="618" t="str">
        <f t="shared" si="713"/>
        <v/>
      </c>
      <c r="I269" s="618" t="str">
        <f t="shared" si="713"/>
        <v/>
      </c>
      <c r="J269" s="618" t="str">
        <f t="shared" si="713"/>
        <v/>
      </c>
      <c r="K269" s="618" t="str">
        <f t="shared" si="713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4">IF(T267="","",T267*T268)</f>
        <v>140</v>
      </c>
      <c r="U269" s="618" t="str">
        <f t="shared" si="714"/>
        <v/>
      </c>
      <c r="V269" s="618">
        <f t="shared" si="714"/>
        <v>0</v>
      </c>
      <c r="W269" s="618" t="str">
        <f t="shared" si="714"/>
        <v/>
      </c>
      <c r="X269" s="618" t="str">
        <f t="shared" si="714"/>
        <v/>
      </c>
      <c r="Y269" s="618" t="str">
        <f t="shared" si="714"/>
        <v/>
      </c>
      <c r="Z269" s="618" t="str">
        <f t="shared" si="714"/>
        <v/>
      </c>
      <c r="AA269" s="618" t="str">
        <f t="shared" si="714"/>
        <v/>
      </c>
      <c r="AB269" s="618" t="str">
        <f t="shared" si="714"/>
        <v/>
      </c>
      <c r="AC269" s="618" t="str">
        <f t="shared" si="714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5">IF(AL267="","",AL267*AL268)</f>
        <v>0</v>
      </c>
      <c r="AM269" s="618" t="str">
        <f t="shared" si="715"/>
        <v/>
      </c>
      <c r="AN269" s="618" t="str">
        <f t="shared" si="715"/>
        <v/>
      </c>
      <c r="AO269" s="618" t="str">
        <f t="shared" si="715"/>
        <v/>
      </c>
      <c r="AP269" s="618" t="str">
        <f t="shared" si="715"/>
        <v/>
      </c>
      <c r="AQ269" s="618" t="str">
        <f t="shared" si="715"/>
        <v/>
      </c>
      <c r="AR269" s="618" t="str">
        <f t="shared" si="715"/>
        <v/>
      </c>
      <c r="AS269" s="618" t="str">
        <f t="shared" si="715"/>
        <v/>
      </c>
      <c r="AT269" s="618" t="str">
        <f t="shared" si="715"/>
        <v/>
      </c>
      <c r="AU269" s="618" t="str">
        <f t="shared" si="715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6">IF(BD267="","",BD267*BD268)</f>
        <v>0</v>
      </c>
      <c r="BE269" s="618" t="str">
        <f t="shared" si="716"/>
        <v/>
      </c>
      <c r="BF269" s="618">
        <f t="shared" si="716"/>
        <v>200</v>
      </c>
      <c r="BG269" s="618" t="str">
        <f t="shared" si="716"/>
        <v/>
      </c>
      <c r="BH269" s="618" t="str">
        <f t="shared" si="716"/>
        <v/>
      </c>
      <c r="BI269" s="618" t="str">
        <f t="shared" si="716"/>
        <v/>
      </c>
      <c r="BJ269" s="618" t="str">
        <f t="shared" si="716"/>
        <v/>
      </c>
      <c r="BK269" s="618" t="str">
        <f t="shared" si="716"/>
        <v/>
      </c>
      <c r="BL269" s="618" t="str">
        <f t="shared" si="716"/>
        <v/>
      </c>
      <c r="BM269" s="618" t="str">
        <f t="shared" si="716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600"/>
        <v/>
      </c>
      <c r="CA269" s="586" t="str">
        <f t="shared" si="601"/>
        <v/>
      </c>
      <c r="CB269" s="586" t="str">
        <f t="shared" si="602"/>
        <v/>
      </c>
      <c r="CC269" s="676" t="str">
        <f t="shared" si="603"/>
        <v/>
      </c>
      <c r="CD269" s="1316" t="str">
        <f t="shared" si="708"/>
        <v/>
      </c>
      <c r="CE269" s="1317" t="str">
        <f t="shared" si="707"/>
        <v/>
      </c>
      <c r="CF269" s="1317" t="str">
        <f t="shared" si="707"/>
        <v/>
      </c>
      <c r="CG269" s="1317" t="str">
        <f t="shared" si="707"/>
        <v/>
      </c>
      <c r="CH269" s="1318">
        <f t="shared" si="707"/>
        <v>0</v>
      </c>
      <c r="CI269" s="1318" t="str">
        <f t="shared" si="707"/>
        <v/>
      </c>
      <c r="CJ269" s="1317" t="str">
        <f t="shared" si="707"/>
        <v/>
      </c>
      <c r="CK269" s="1317" t="str">
        <f t="shared" si="707"/>
        <v/>
      </c>
      <c r="CL269" s="1317" t="str">
        <f t="shared" si="707"/>
        <v/>
      </c>
      <c r="CM269" s="1316" t="str">
        <f t="shared" si="707"/>
        <v/>
      </c>
      <c r="CN269" s="538" t="str">
        <f t="shared" si="614"/>
        <v/>
      </c>
      <c r="CO269" s="539" t="str">
        <f t="shared" si="615"/>
        <v/>
      </c>
      <c r="CP269" s="539" t="str">
        <f t="shared" si="616"/>
        <v/>
      </c>
      <c r="CQ269" s="539" t="str">
        <f t="shared" si="617"/>
        <v/>
      </c>
      <c r="CR269" s="539" t="str">
        <f t="shared" si="618"/>
        <v/>
      </c>
      <c r="CS269" s="539" t="str">
        <f t="shared" si="619"/>
        <v/>
      </c>
      <c r="CT269" s="540" t="str">
        <f t="shared" si="620"/>
        <v/>
      </c>
      <c r="CU269" s="540">
        <f t="shared" si="621"/>
        <v>0</v>
      </c>
      <c r="CV269" s="540">
        <f t="shared" si="622"/>
        <v>200</v>
      </c>
      <c r="CW269" s="539" t="str">
        <f t="shared" si="623"/>
        <v/>
      </c>
      <c r="CX269" s="539" t="str">
        <f t="shared" si="624"/>
        <v/>
      </c>
      <c r="CY269" s="539" t="str">
        <f t="shared" si="625"/>
        <v/>
      </c>
      <c r="CZ269" s="539" t="str">
        <f t="shared" si="626"/>
        <v/>
      </c>
      <c r="DA269" s="539" t="str">
        <f t="shared" si="627"/>
        <v/>
      </c>
      <c r="DB269" s="538" t="str">
        <f t="shared" si="628"/>
        <v/>
      </c>
      <c r="DC269" s="537" t="str">
        <f t="shared" si="629"/>
        <v/>
      </c>
      <c r="DD269" s="641">
        <f t="shared" si="695"/>
        <v>1</v>
      </c>
      <c r="DE269" s="95">
        <f t="shared" si="696"/>
        <v>2</v>
      </c>
      <c r="DF269" s="95">
        <f t="shared" si="697"/>
        <v>1</v>
      </c>
      <c r="DG269" s="95">
        <f t="shared" si="698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258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600"/>
        <v/>
      </c>
      <c r="CA270" s="586" t="str">
        <f t="shared" si="601"/>
        <v/>
      </c>
      <c r="CB270" s="586" t="str">
        <f t="shared" si="602"/>
        <v/>
      </c>
      <c r="CC270" s="676">
        <f t="shared" si="603"/>
        <v>0</v>
      </c>
      <c r="CD270" s="1316" t="str">
        <f t="shared" si="708"/>
        <v/>
      </c>
      <c r="CE270" s="1317" t="str">
        <f t="shared" si="707"/>
        <v/>
      </c>
      <c r="CF270" s="1317" t="str">
        <f t="shared" si="707"/>
        <v/>
      </c>
      <c r="CG270" s="1317" t="str">
        <f t="shared" si="707"/>
        <v/>
      </c>
      <c r="CH270" s="1318" t="str">
        <f t="shared" si="707"/>
        <v/>
      </c>
      <c r="CI270" s="1318" t="str">
        <f t="shared" si="707"/>
        <v/>
      </c>
      <c r="CJ270" s="1317" t="str">
        <f t="shared" si="707"/>
        <v/>
      </c>
      <c r="CK270" s="1317" t="str">
        <f t="shared" si="707"/>
        <v/>
      </c>
      <c r="CL270" s="1317" t="str">
        <f t="shared" si="707"/>
        <v/>
      </c>
      <c r="CM270" s="1316" t="str">
        <f t="shared" si="707"/>
        <v/>
      </c>
      <c r="CN270" s="538" t="str">
        <f t="shared" si="614"/>
        <v/>
      </c>
      <c r="CO270" s="539" t="str">
        <f t="shared" si="615"/>
        <v/>
      </c>
      <c r="CP270" s="539" t="str">
        <f t="shared" si="616"/>
        <v/>
      </c>
      <c r="CQ270" s="539" t="str">
        <f t="shared" si="617"/>
        <v/>
      </c>
      <c r="CR270" s="539" t="str">
        <f t="shared" si="618"/>
        <v/>
      </c>
      <c r="CS270" s="539" t="str">
        <f t="shared" si="619"/>
        <v/>
      </c>
      <c r="CT270" s="540">
        <f t="shared" si="620"/>
        <v>0</v>
      </c>
      <c r="CU270" s="540">
        <f t="shared" si="621"/>
        <v>0</v>
      </c>
      <c r="CV270" s="540">
        <f t="shared" si="622"/>
        <v>10</v>
      </c>
      <c r="CW270" s="539" t="str">
        <f t="shared" si="623"/>
        <v/>
      </c>
      <c r="CX270" s="539" t="str">
        <f t="shared" si="624"/>
        <v/>
      </c>
      <c r="CY270" s="539" t="str">
        <f t="shared" si="625"/>
        <v/>
      </c>
      <c r="CZ270" s="539" t="str">
        <f t="shared" si="626"/>
        <v/>
      </c>
      <c r="DA270" s="539" t="str">
        <f t="shared" si="627"/>
        <v/>
      </c>
      <c r="DB270" s="538" t="str">
        <f t="shared" si="628"/>
        <v/>
      </c>
      <c r="DC270" s="537" t="str">
        <f t="shared" si="629"/>
        <v/>
      </c>
      <c r="DD270" s="641">
        <f t="shared" si="695"/>
        <v>1</v>
      </c>
      <c r="DE270" s="95">
        <f t="shared" si="696"/>
        <v>2</v>
      </c>
      <c r="DF270" s="95">
        <f t="shared" si="697"/>
        <v>0</v>
      </c>
      <c r="DG270" s="95">
        <f t="shared" si="698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227</v>
      </c>
      <c r="B271" s="621" t="str">
        <f t="shared" ref="B271:K271" si="717">IF(B265="","",(B265-B267-B270)*B266/B$46/365/$G$1)</f>
        <v/>
      </c>
      <c r="C271" s="621" t="str">
        <f t="shared" si="717"/>
        <v/>
      </c>
      <c r="D271" s="621">
        <f t="shared" si="717"/>
        <v>2.7699097135740969E-2</v>
      </c>
      <c r="E271" s="621" t="str">
        <f t="shared" si="717"/>
        <v/>
      </c>
      <c r="F271" s="621" t="str">
        <f t="shared" si="717"/>
        <v/>
      </c>
      <c r="G271" s="621" t="str">
        <f t="shared" si="717"/>
        <v/>
      </c>
      <c r="H271" s="621" t="str">
        <f t="shared" si="717"/>
        <v/>
      </c>
      <c r="I271" s="621" t="str">
        <f t="shared" si="717"/>
        <v/>
      </c>
      <c r="J271" s="621" t="str">
        <f t="shared" si="717"/>
        <v/>
      </c>
      <c r="K271" s="621" t="str">
        <f t="shared" si="717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8">IF(T265="","",(T265-T267-T270)*T266/T$46/365/$G$1)</f>
        <v>1.9389367995018676E-2</v>
      </c>
      <c r="U271" s="621" t="str">
        <f t="shared" si="718"/>
        <v/>
      </c>
      <c r="V271" s="621">
        <f t="shared" si="718"/>
        <v>7.386425902864259E-2</v>
      </c>
      <c r="W271" s="621" t="str">
        <f t="shared" si="718"/>
        <v/>
      </c>
      <c r="X271" s="621" t="str">
        <f t="shared" si="718"/>
        <v/>
      </c>
      <c r="Y271" s="621" t="str">
        <f t="shared" si="718"/>
        <v/>
      </c>
      <c r="Z271" s="621" t="str">
        <f t="shared" si="718"/>
        <v/>
      </c>
      <c r="AA271" s="621" t="str">
        <f t="shared" si="718"/>
        <v/>
      </c>
      <c r="AB271" s="621" t="str">
        <f t="shared" si="718"/>
        <v/>
      </c>
      <c r="AC271" s="621" t="str">
        <f t="shared" si="718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9">IF(AL265="","",(AL265-AL267-AL270)*AL266/AL$46/365/$G$1)</f>
        <v>3.1656111012275397E-2</v>
      </c>
      <c r="AM271" s="621" t="str">
        <f t="shared" si="719"/>
        <v/>
      </c>
      <c r="AN271" s="621" t="str">
        <f t="shared" si="719"/>
        <v/>
      </c>
      <c r="AO271" s="621" t="str">
        <f t="shared" si="719"/>
        <v/>
      </c>
      <c r="AP271" s="621" t="str">
        <f t="shared" si="719"/>
        <v/>
      </c>
      <c r="AQ271" s="621" t="str">
        <f t="shared" si="719"/>
        <v/>
      </c>
      <c r="AR271" s="621" t="str">
        <f t="shared" si="719"/>
        <v/>
      </c>
      <c r="AS271" s="621" t="str">
        <f t="shared" si="719"/>
        <v/>
      </c>
      <c r="AT271" s="621" t="str">
        <f t="shared" si="719"/>
        <v/>
      </c>
      <c r="AU271" s="621" t="str">
        <f t="shared" si="719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20">IF(BD265="","",(BD265-BD267-BD270)*BD266/BD$46/365/$G$1)</f>
        <v>1.4772851805728515E-2</v>
      </c>
      <c r="BE271" s="621" t="str">
        <f t="shared" si="720"/>
        <v/>
      </c>
      <c r="BF271" s="621">
        <f t="shared" si="720"/>
        <v>1.1079638854296388E-2</v>
      </c>
      <c r="BG271" s="621" t="str">
        <f t="shared" si="720"/>
        <v/>
      </c>
      <c r="BH271" s="621" t="str">
        <f t="shared" si="720"/>
        <v/>
      </c>
      <c r="BI271" s="621" t="str">
        <f t="shared" si="720"/>
        <v/>
      </c>
      <c r="BJ271" s="621" t="str">
        <f t="shared" si="720"/>
        <v/>
      </c>
      <c r="BK271" s="621" t="str">
        <f t="shared" si="720"/>
        <v/>
      </c>
      <c r="BL271" s="621" t="str">
        <f t="shared" si="720"/>
        <v/>
      </c>
      <c r="BM271" s="621" t="str">
        <f t="shared" si="720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600"/>
        <v/>
      </c>
      <c r="CA271" s="611" t="str">
        <f t="shared" si="601"/>
        <v/>
      </c>
      <c r="CB271" s="611" t="str">
        <f t="shared" si="602"/>
        <v/>
      </c>
      <c r="CC271" s="679" t="str">
        <f t="shared" si="603"/>
        <v/>
      </c>
      <c r="CD271" s="1319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0" t="str">
        <f t="shared" si="721"/>
        <v/>
      </c>
      <c r="CG271" s="1320" t="str">
        <f t="shared" si="721"/>
        <v/>
      </c>
      <c r="CH271" s="1321">
        <f t="shared" si="721"/>
        <v>3.1656111012275397E-2</v>
      </c>
      <c r="CI271" s="1321" t="str">
        <f t="shared" si="721"/>
        <v/>
      </c>
      <c r="CJ271" s="1320" t="str">
        <f t="shared" si="721"/>
        <v/>
      </c>
      <c r="CK271" s="1320" t="str">
        <f t="shared" si="721"/>
        <v/>
      </c>
      <c r="CL271" s="1320" t="str">
        <f t="shared" si="721"/>
        <v/>
      </c>
      <c r="CM271" s="1319" t="str">
        <f t="shared" si="721"/>
        <v/>
      </c>
      <c r="CN271" s="526" t="str">
        <f t="shared" si="614"/>
        <v/>
      </c>
      <c r="CO271" s="527" t="str">
        <f t="shared" si="615"/>
        <v/>
      </c>
      <c r="CP271" s="527" t="str">
        <f t="shared" si="616"/>
        <v/>
      </c>
      <c r="CQ271" s="527" t="str">
        <f t="shared" si="617"/>
        <v/>
      </c>
      <c r="CR271" s="527" t="str">
        <f t="shared" si="618"/>
        <v/>
      </c>
      <c r="CS271" s="527" t="str">
        <f t="shared" si="619"/>
        <v/>
      </c>
      <c r="CT271" s="528" t="str">
        <f t="shared" si="620"/>
        <v/>
      </c>
      <c r="CU271" s="528">
        <f t="shared" si="621"/>
        <v>1.1079638854296388E-2</v>
      </c>
      <c r="CV271" s="528">
        <f t="shared" si="622"/>
        <v>1.4772851805728515E-2</v>
      </c>
      <c r="CW271" s="527" t="str">
        <f t="shared" si="623"/>
        <v/>
      </c>
      <c r="CX271" s="527" t="str">
        <f t="shared" si="624"/>
        <v/>
      </c>
      <c r="CY271" s="527" t="str">
        <f t="shared" si="625"/>
        <v/>
      </c>
      <c r="CZ271" s="527" t="str">
        <f t="shared" si="626"/>
        <v/>
      </c>
      <c r="DA271" s="527" t="str">
        <f t="shared" si="627"/>
        <v/>
      </c>
      <c r="DB271" s="526" t="str">
        <f t="shared" si="628"/>
        <v/>
      </c>
      <c r="DC271" s="525" t="str">
        <f t="shared" si="629"/>
        <v/>
      </c>
      <c r="DD271" s="641">
        <f t="shared" si="695"/>
        <v>1</v>
      </c>
      <c r="DE271" s="95">
        <f t="shared" si="696"/>
        <v>2</v>
      </c>
      <c r="DF271" s="95">
        <f t="shared" si="697"/>
        <v>1</v>
      </c>
      <c r="DG271" s="95">
        <f t="shared" si="698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262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600"/>
        <v>76.666666666666671</v>
      </c>
      <c r="CA272" s="586">
        <f t="shared" si="601"/>
        <v>120</v>
      </c>
      <c r="CB272" s="586">
        <f t="shared" si="602"/>
        <v>230</v>
      </c>
      <c r="CC272" s="676">
        <f t="shared" si="603"/>
        <v>180</v>
      </c>
      <c r="CD272" s="1316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7">
        <f t="shared" si="721"/>
        <v>150</v>
      </c>
      <c r="CF272" s="1317">
        <f t="shared" si="721"/>
        <v>150</v>
      </c>
      <c r="CG272" s="1317">
        <f t="shared" si="721"/>
        <v>200</v>
      </c>
      <c r="CH272" s="1318">
        <f t="shared" si="721"/>
        <v>250</v>
      </c>
      <c r="CI272" s="1318">
        <f t="shared" si="721"/>
        <v>250</v>
      </c>
      <c r="CJ272" s="1317">
        <f t="shared" si="721"/>
        <v>300</v>
      </c>
      <c r="CK272" s="1317">
        <f t="shared" si="721"/>
        <v>350</v>
      </c>
      <c r="CL272" s="1317" t="str">
        <f t="shared" si="721"/>
        <v/>
      </c>
      <c r="CM272" s="1316" t="str">
        <f t="shared" si="721"/>
        <v/>
      </c>
      <c r="CN272" s="538" t="str">
        <f t="shared" si="614"/>
        <v/>
      </c>
      <c r="CO272" s="539" t="str">
        <f t="shared" si="615"/>
        <v/>
      </c>
      <c r="CP272" s="539" t="str">
        <f t="shared" si="616"/>
        <v/>
      </c>
      <c r="CQ272" s="539" t="str">
        <f t="shared" si="617"/>
        <v/>
      </c>
      <c r="CR272" s="539">
        <f t="shared" si="618"/>
        <v>25</v>
      </c>
      <c r="CS272" s="539">
        <f t="shared" si="619"/>
        <v>50</v>
      </c>
      <c r="CT272" s="540">
        <f t="shared" si="620"/>
        <v>200</v>
      </c>
      <c r="CU272" s="540">
        <f t="shared" si="621"/>
        <v>200</v>
      </c>
      <c r="CV272" s="540">
        <f t="shared" si="622"/>
        <v>200</v>
      </c>
      <c r="CW272" s="539">
        <f t="shared" si="623"/>
        <v>250</v>
      </c>
      <c r="CX272" s="539">
        <f t="shared" si="624"/>
        <v>350</v>
      </c>
      <c r="CY272" s="539" t="str">
        <f t="shared" si="625"/>
        <v/>
      </c>
      <c r="CZ272" s="539" t="str">
        <f t="shared" si="626"/>
        <v/>
      </c>
      <c r="DA272" s="539" t="str">
        <f t="shared" si="627"/>
        <v/>
      </c>
      <c r="DB272" s="538" t="str">
        <f t="shared" si="628"/>
        <v/>
      </c>
      <c r="DC272" s="537" t="str">
        <f t="shared" si="629"/>
        <v/>
      </c>
      <c r="DD272" s="641">
        <f t="shared" si="695"/>
        <v>5</v>
      </c>
      <c r="DE272" s="95">
        <f t="shared" si="696"/>
        <v>8</v>
      </c>
      <c r="DF272" s="95">
        <f t="shared" si="697"/>
        <v>7</v>
      </c>
      <c r="DG272" s="95">
        <f t="shared" si="698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260</v>
      </c>
      <c r="B273" s="690">
        <f>3390*$K$1</f>
        <v>14193.252</v>
      </c>
      <c r="C273" s="690">
        <f t="shared" ref="C273:K273" si="723">3390*$K$1</f>
        <v>14193.252</v>
      </c>
      <c r="D273" s="690">
        <f t="shared" si="723"/>
        <v>14193.252</v>
      </c>
      <c r="E273" s="690">
        <f t="shared" si="723"/>
        <v>14193.252</v>
      </c>
      <c r="F273" s="690">
        <f t="shared" si="723"/>
        <v>14193.252</v>
      </c>
      <c r="G273" s="690">
        <f t="shared" si="723"/>
        <v>14193.252</v>
      </c>
      <c r="H273" s="690">
        <f t="shared" si="723"/>
        <v>14193.252</v>
      </c>
      <c r="I273" s="690">
        <f t="shared" si="723"/>
        <v>14193.252</v>
      </c>
      <c r="J273" s="690">
        <f t="shared" si="723"/>
        <v>14193.252</v>
      </c>
      <c r="K273" s="690">
        <f t="shared" si="723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4">3390*$K$1</f>
        <v>14193.252</v>
      </c>
      <c r="V273" s="690">
        <f t="shared" si="724"/>
        <v>14193.252</v>
      </c>
      <c r="W273" s="690">
        <f t="shared" si="724"/>
        <v>14193.252</v>
      </c>
      <c r="X273" s="690">
        <f t="shared" si="724"/>
        <v>14193.252</v>
      </c>
      <c r="Y273" s="690">
        <f t="shared" si="724"/>
        <v>14193.252</v>
      </c>
      <c r="Z273" s="690">
        <f t="shared" si="724"/>
        <v>14193.252</v>
      </c>
      <c r="AA273" s="690">
        <f t="shared" si="724"/>
        <v>14193.252</v>
      </c>
      <c r="AB273" s="690">
        <f t="shared" si="724"/>
        <v>14193.252</v>
      </c>
      <c r="AC273" s="690">
        <f t="shared" si="724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5">3390*$K$1</f>
        <v>14193.252</v>
      </c>
      <c r="AN273" s="690">
        <f t="shared" si="725"/>
        <v>14193.252</v>
      </c>
      <c r="AO273" s="690">
        <f t="shared" si="725"/>
        <v>14193.252</v>
      </c>
      <c r="AP273" s="690">
        <f t="shared" si="725"/>
        <v>14193.252</v>
      </c>
      <c r="AQ273" s="690">
        <f t="shared" si="725"/>
        <v>14193.252</v>
      </c>
      <c r="AR273" s="690">
        <f t="shared" si="725"/>
        <v>14193.252</v>
      </c>
      <c r="AS273" s="690">
        <f t="shared" si="725"/>
        <v>14193.252</v>
      </c>
      <c r="AT273" s="690">
        <f t="shared" si="725"/>
        <v>14193.252</v>
      </c>
      <c r="AU273" s="690">
        <f t="shared" si="725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6">3390*$K$1</f>
        <v>14193.252</v>
      </c>
      <c r="BF273" s="690">
        <f t="shared" si="726"/>
        <v>14193.252</v>
      </c>
      <c r="BG273" s="690">
        <f t="shared" si="726"/>
        <v>14193.252</v>
      </c>
      <c r="BH273" s="690">
        <f t="shared" si="726"/>
        <v>14193.252</v>
      </c>
      <c r="BI273" s="690">
        <f t="shared" si="726"/>
        <v>14193.252</v>
      </c>
      <c r="BJ273" s="690">
        <f t="shared" si="726"/>
        <v>14193.252</v>
      </c>
      <c r="BK273" s="690">
        <f t="shared" si="726"/>
        <v>14193.252</v>
      </c>
      <c r="BL273" s="690">
        <f t="shared" si="726"/>
        <v>14193.252</v>
      </c>
      <c r="BM273" s="690">
        <f t="shared" si="726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6"/>
        <v>14193.252</v>
      </c>
      <c r="BW273" s="690">
        <f t="shared" si="726"/>
        <v>14193.252</v>
      </c>
      <c r="BX273" s="690">
        <f t="shared" si="726"/>
        <v>14193.252</v>
      </c>
      <c r="BY273" s="690">
        <f t="shared" si="726"/>
        <v>14193.252</v>
      </c>
      <c r="BZ273" s="586">
        <f t="shared" si="600"/>
        <v>14193.252000000004</v>
      </c>
      <c r="CA273" s="586">
        <f t="shared" si="601"/>
        <v>14193.252000000004</v>
      </c>
      <c r="CB273" s="586">
        <f t="shared" si="602"/>
        <v>14193.252000000004</v>
      </c>
      <c r="CC273" s="676">
        <f t="shared" si="603"/>
        <v>14193.252000000004</v>
      </c>
      <c r="CD273" s="1316">
        <f t="shared" si="722"/>
        <v>14193.252</v>
      </c>
      <c r="CE273" s="1317">
        <f t="shared" si="721"/>
        <v>14193.252</v>
      </c>
      <c r="CF273" s="1317">
        <f t="shared" si="721"/>
        <v>14193.252</v>
      </c>
      <c r="CG273" s="1317">
        <f t="shared" si="721"/>
        <v>14193.252</v>
      </c>
      <c r="CH273" s="1318">
        <f t="shared" si="721"/>
        <v>14193.252</v>
      </c>
      <c r="CI273" s="1318">
        <f t="shared" si="721"/>
        <v>14193.252</v>
      </c>
      <c r="CJ273" s="1317">
        <f t="shared" si="721"/>
        <v>14193.252</v>
      </c>
      <c r="CK273" s="1317">
        <f t="shared" si="721"/>
        <v>14193.252</v>
      </c>
      <c r="CL273" s="1317">
        <f t="shared" si="721"/>
        <v>14193.252</v>
      </c>
      <c r="CM273" s="1316">
        <f t="shared" si="721"/>
        <v>14193.252</v>
      </c>
      <c r="CN273" s="538" t="str">
        <f t="shared" si="614"/>
        <v/>
      </c>
      <c r="CO273" s="539" t="str">
        <f t="shared" si="615"/>
        <v/>
      </c>
      <c r="CP273" s="539" t="str">
        <f t="shared" si="616"/>
        <v/>
      </c>
      <c r="CQ273" s="539">
        <f t="shared" si="617"/>
        <v>14193.252</v>
      </c>
      <c r="CR273" s="539">
        <f t="shared" si="618"/>
        <v>14193.252</v>
      </c>
      <c r="CS273" s="539">
        <f t="shared" si="619"/>
        <v>14193.252</v>
      </c>
      <c r="CT273" s="540">
        <f t="shared" si="620"/>
        <v>14193.252</v>
      </c>
      <c r="CU273" s="540">
        <f t="shared" si="621"/>
        <v>14193.252</v>
      </c>
      <c r="CV273" s="540">
        <f t="shared" si="622"/>
        <v>14193.252</v>
      </c>
      <c r="CW273" s="539">
        <f t="shared" si="623"/>
        <v>14193.252</v>
      </c>
      <c r="CX273" s="539">
        <f t="shared" si="624"/>
        <v>14193.252</v>
      </c>
      <c r="CY273" s="539">
        <f t="shared" si="625"/>
        <v>14193.252</v>
      </c>
      <c r="CZ273" s="539">
        <f t="shared" si="626"/>
        <v>14193.252</v>
      </c>
      <c r="DA273" s="539" t="str">
        <f t="shared" si="627"/>
        <v/>
      </c>
      <c r="DB273" s="538" t="str">
        <f t="shared" si="628"/>
        <v/>
      </c>
      <c r="DC273" s="537" t="str">
        <f t="shared" si="629"/>
        <v/>
      </c>
      <c r="DD273" s="641">
        <f t="shared" si="695"/>
        <v>10</v>
      </c>
      <c r="DE273" s="95">
        <f t="shared" si="696"/>
        <v>10</v>
      </c>
      <c r="DF273" s="95">
        <f t="shared" si="697"/>
        <v>10</v>
      </c>
      <c r="DG273" s="95">
        <f t="shared" si="698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257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600"/>
        <v>0</v>
      </c>
      <c r="CA274" s="586">
        <f t="shared" si="601"/>
        <v>19.166666666666668</v>
      </c>
      <c r="CB274" s="586">
        <f t="shared" si="602"/>
        <v>110</v>
      </c>
      <c r="CC274" s="676">
        <f t="shared" si="603"/>
        <v>52.5</v>
      </c>
      <c r="CD274" s="1316" t="str">
        <f t="shared" si="722"/>
        <v/>
      </c>
      <c r="CE274" s="1317">
        <f t="shared" si="721"/>
        <v>0</v>
      </c>
      <c r="CF274" s="1317">
        <f t="shared" si="721"/>
        <v>50</v>
      </c>
      <c r="CG274" s="1317">
        <f t="shared" si="721"/>
        <v>100</v>
      </c>
      <c r="CH274" s="1318">
        <f t="shared" si="721"/>
        <v>100</v>
      </c>
      <c r="CI274" s="1318">
        <f t="shared" si="721"/>
        <v>150</v>
      </c>
      <c r="CJ274" s="1317">
        <f t="shared" si="721"/>
        <v>150</v>
      </c>
      <c r="CK274" s="1317">
        <f t="shared" si="721"/>
        <v>150</v>
      </c>
      <c r="CL274" s="1317" t="str">
        <f t="shared" si="721"/>
        <v/>
      </c>
      <c r="CM274" s="1316" t="str">
        <f t="shared" si="721"/>
        <v/>
      </c>
      <c r="CN274" s="538" t="str">
        <f t="shared" si="614"/>
        <v/>
      </c>
      <c r="CO274" s="539" t="str">
        <f t="shared" si="615"/>
        <v/>
      </c>
      <c r="CP274" s="539" t="str">
        <f t="shared" si="616"/>
        <v/>
      </c>
      <c r="CQ274" s="539" t="str">
        <f t="shared" si="617"/>
        <v/>
      </c>
      <c r="CR274" s="539" t="str">
        <f t="shared" si="618"/>
        <v/>
      </c>
      <c r="CS274" s="539">
        <f t="shared" si="619"/>
        <v>0</v>
      </c>
      <c r="CT274" s="540">
        <f t="shared" si="620"/>
        <v>0</v>
      </c>
      <c r="CU274" s="540">
        <f t="shared" si="621"/>
        <v>50</v>
      </c>
      <c r="CV274" s="540">
        <f t="shared" si="622"/>
        <v>60</v>
      </c>
      <c r="CW274" s="539">
        <f t="shared" si="623"/>
        <v>100</v>
      </c>
      <c r="CX274" s="539">
        <f t="shared" si="624"/>
        <v>120</v>
      </c>
      <c r="CY274" s="539" t="str">
        <f t="shared" si="625"/>
        <v/>
      </c>
      <c r="CZ274" s="539" t="str">
        <f t="shared" si="626"/>
        <v/>
      </c>
      <c r="DA274" s="539" t="str">
        <f t="shared" si="627"/>
        <v/>
      </c>
      <c r="DB274" s="538" t="str">
        <f t="shared" si="628"/>
        <v/>
      </c>
      <c r="DC274" s="537" t="str">
        <f t="shared" si="629"/>
        <v/>
      </c>
      <c r="DD274" s="641">
        <f t="shared" si="695"/>
        <v>5</v>
      </c>
      <c r="DE274" s="95">
        <f t="shared" si="696"/>
        <v>8</v>
      </c>
      <c r="DF274" s="95">
        <f t="shared" si="697"/>
        <v>7</v>
      </c>
      <c r="DG274" s="95">
        <f t="shared" si="698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181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600"/>
        <v/>
      </c>
      <c r="CA275" s="586">
        <f t="shared" si="601"/>
        <v>10.000000000000004</v>
      </c>
      <c r="CB275" s="586">
        <f t="shared" si="602"/>
        <v>21.333333333333332</v>
      </c>
      <c r="CC275" s="676">
        <f t="shared" si="603"/>
        <v>25</v>
      </c>
      <c r="CD275" s="1316" t="str">
        <f t="shared" si="722"/>
        <v/>
      </c>
      <c r="CE275" s="1317" t="str">
        <f t="shared" si="721"/>
        <v/>
      </c>
      <c r="CF275" s="1317">
        <f t="shared" si="721"/>
        <v>7</v>
      </c>
      <c r="CG275" s="1317">
        <f t="shared" si="721"/>
        <v>20</v>
      </c>
      <c r="CH275" s="1318">
        <f t="shared" si="721"/>
        <v>22</v>
      </c>
      <c r="CI275" s="1318">
        <f t="shared" si="721"/>
        <v>22</v>
      </c>
      <c r="CJ275" s="1317">
        <f t="shared" si="721"/>
        <v>22</v>
      </c>
      <c r="CK275" s="1317" t="str">
        <f t="shared" si="721"/>
        <v/>
      </c>
      <c r="CL275" s="1317" t="str">
        <f t="shared" si="721"/>
        <v/>
      </c>
      <c r="CM275" s="1316" t="str">
        <f t="shared" si="721"/>
        <v/>
      </c>
      <c r="CN275" s="538" t="str">
        <f t="shared" si="614"/>
        <v/>
      </c>
      <c r="CO275" s="539" t="str">
        <f t="shared" si="615"/>
        <v/>
      </c>
      <c r="CP275" s="539" t="str">
        <f t="shared" si="616"/>
        <v/>
      </c>
      <c r="CQ275" s="539" t="str">
        <f t="shared" si="617"/>
        <v/>
      </c>
      <c r="CR275" s="539" t="str">
        <f t="shared" si="618"/>
        <v/>
      </c>
      <c r="CS275" s="539" t="str">
        <f t="shared" si="619"/>
        <v/>
      </c>
      <c r="CT275" s="540">
        <f t="shared" si="620"/>
        <v>20</v>
      </c>
      <c r="CU275" s="540">
        <f t="shared" si="621"/>
        <v>25</v>
      </c>
      <c r="CV275" s="540">
        <f t="shared" si="622"/>
        <v>25</v>
      </c>
      <c r="CW275" s="539">
        <f t="shared" si="623"/>
        <v>60</v>
      </c>
      <c r="CX275" s="539" t="str">
        <f t="shared" si="624"/>
        <v/>
      </c>
      <c r="CY275" s="539" t="str">
        <f t="shared" si="625"/>
        <v/>
      </c>
      <c r="CZ275" s="539" t="str">
        <f t="shared" si="626"/>
        <v/>
      </c>
      <c r="DA275" s="539" t="str">
        <f t="shared" si="627"/>
        <v/>
      </c>
      <c r="DB275" s="538" t="str">
        <f t="shared" si="628"/>
        <v/>
      </c>
      <c r="DC275" s="537" t="str">
        <f t="shared" si="629"/>
        <v/>
      </c>
      <c r="DD275" s="641">
        <f t="shared" si="695"/>
        <v>0</v>
      </c>
      <c r="DE275" s="95">
        <f t="shared" si="696"/>
        <v>3</v>
      </c>
      <c r="DF275" s="95">
        <f t="shared" si="697"/>
        <v>5</v>
      </c>
      <c r="DG275" s="95">
        <f t="shared" si="698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183</v>
      </c>
      <c r="B276" s="618">
        <f t="shared" ref="B276:K276" si="727">IF(B274="","",B274*B275)</f>
        <v>0</v>
      </c>
      <c r="C276" s="618" t="str">
        <f t="shared" si="727"/>
        <v/>
      </c>
      <c r="D276" s="618" t="str">
        <f t="shared" si="727"/>
        <v/>
      </c>
      <c r="E276" s="618" t="str">
        <f t="shared" si="727"/>
        <v/>
      </c>
      <c r="F276" s="618" t="str">
        <f t="shared" si="727"/>
        <v/>
      </c>
      <c r="G276" s="618" t="str">
        <f t="shared" si="727"/>
        <v/>
      </c>
      <c r="H276" s="618">
        <f t="shared" si="727"/>
        <v>0</v>
      </c>
      <c r="I276" s="618">
        <f t="shared" si="727"/>
        <v>0</v>
      </c>
      <c r="J276" s="618">
        <f t="shared" si="727"/>
        <v>0</v>
      </c>
      <c r="K276" s="618">
        <f t="shared" si="727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8">IF(T274="","",T274*T275)</f>
        <v>100.5</v>
      </c>
      <c r="U276" s="618" t="str">
        <f t="shared" si="728"/>
        <v/>
      </c>
      <c r="V276" s="618">
        <f t="shared" si="728"/>
        <v>0</v>
      </c>
      <c r="W276" s="618" t="str">
        <f t="shared" si="728"/>
        <v/>
      </c>
      <c r="X276" s="618">
        <f t="shared" si="728"/>
        <v>0</v>
      </c>
      <c r="Y276" s="618">
        <f t="shared" si="728"/>
        <v>0</v>
      </c>
      <c r="Z276" s="618">
        <f t="shared" si="728"/>
        <v>0</v>
      </c>
      <c r="AA276" s="618">
        <f t="shared" si="728"/>
        <v>0</v>
      </c>
      <c r="AB276" s="618">
        <f t="shared" si="728"/>
        <v>1000</v>
      </c>
      <c r="AC276" s="618">
        <f t="shared" si="728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9">IF(AL274="","",AL274*AL275)</f>
        <v>1050</v>
      </c>
      <c r="AM276" s="618" t="str">
        <f t="shared" si="729"/>
        <v/>
      </c>
      <c r="AN276" s="618" t="str">
        <f t="shared" si="729"/>
        <v/>
      </c>
      <c r="AO276" s="618" t="str">
        <f t="shared" si="729"/>
        <v/>
      </c>
      <c r="AP276" s="618">
        <f t="shared" si="729"/>
        <v>0</v>
      </c>
      <c r="AQ276" s="618">
        <f t="shared" si="729"/>
        <v>2200</v>
      </c>
      <c r="AR276" s="618">
        <f t="shared" si="729"/>
        <v>1000</v>
      </c>
      <c r="AS276" s="618">
        <f t="shared" si="729"/>
        <v>0</v>
      </c>
      <c r="AT276" s="618">
        <f t="shared" si="729"/>
        <v>3300</v>
      </c>
      <c r="AU276" s="618">
        <f t="shared" si="729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30">IF(BD274="","",BD274*BD275)</f>
        <v/>
      </c>
      <c r="BE276" s="618" t="str">
        <f t="shared" si="730"/>
        <v/>
      </c>
      <c r="BF276" s="618" t="str">
        <f t="shared" si="730"/>
        <v/>
      </c>
      <c r="BG276" s="618" t="str">
        <f t="shared" si="730"/>
        <v/>
      </c>
      <c r="BH276" s="618">
        <f t="shared" si="730"/>
        <v>1500</v>
      </c>
      <c r="BI276" s="618">
        <f t="shared" si="730"/>
        <v>3000</v>
      </c>
      <c r="BJ276" s="618">
        <f t="shared" si="730"/>
        <v>0</v>
      </c>
      <c r="BK276" s="618">
        <f t="shared" si="730"/>
        <v>6000</v>
      </c>
      <c r="BL276" s="618">
        <f t="shared" si="730"/>
        <v>0</v>
      </c>
      <c r="BM276" s="618">
        <f t="shared" si="730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600"/>
        <v>0</v>
      </c>
      <c r="CA276" s="586">
        <f t="shared" si="601"/>
        <v>183.41666666666666</v>
      </c>
      <c r="CB276" s="586">
        <f t="shared" si="602"/>
        <v>1510</v>
      </c>
      <c r="CC276" s="676">
        <f t="shared" si="603"/>
        <v>1375</v>
      </c>
      <c r="CD276" s="1316" t="str">
        <f t="shared" si="722"/>
        <v/>
      </c>
      <c r="CE276" s="1317">
        <f t="shared" si="721"/>
        <v>0</v>
      </c>
      <c r="CF276" s="1317">
        <f t="shared" si="721"/>
        <v>0</v>
      </c>
      <c r="CG276" s="1317">
        <f t="shared" si="721"/>
        <v>1000</v>
      </c>
      <c r="CH276" s="1318">
        <f t="shared" si="721"/>
        <v>1050</v>
      </c>
      <c r="CI276" s="1318">
        <f t="shared" si="721"/>
        <v>2200</v>
      </c>
      <c r="CJ276" s="1317">
        <f t="shared" si="721"/>
        <v>3300</v>
      </c>
      <c r="CK276" s="1317">
        <f t="shared" si="721"/>
        <v>3300</v>
      </c>
      <c r="CL276" s="1317" t="str">
        <f t="shared" si="721"/>
        <v/>
      </c>
      <c r="CM276" s="1316" t="str">
        <f t="shared" si="721"/>
        <v/>
      </c>
      <c r="CN276" s="538" t="str">
        <f t="shared" si="614"/>
        <v/>
      </c>
      <c r="CO276" s="539" t="str">
        <f t="shared" si="615"/>
        <v/>
      </c>
      <c r="CP276" s="539" t="str">
        <f t="shared" si="616"/>
        <v/>
      </c>
      <c r="CQ276" s="539" t="str">
        <f t="shared" si="617"/>
        <v/>
      </c>
      <c r="CR276" s="539" t="str">
        <f t="shared" si="618"/>
        <v/>
      </c>
      <c r="CS276" s="539">
        <f t="shared" si="619"/>
        <v>0</v>
      </c>
      <c r="CT276" s="540">
        <f t="shared" si="620"/>
        <v>0</v>
      </c>
      <c r="CU276" s="540">
        <f t="shared" si="621"/>
        <v>1000</v>
      </c>
      <c r="CV276" s="540">
        <f t="shared" si="622"/>
        <v>1500</v>
      </c>
      <c r="CW276" s="539">
        <f t="shared" si="623"/>
        <v>3000</v>
      </c>
      <c r="CX276" s="539">
        <f t="shared" si="624"/>
        <v>6000</v>
      </c>
      <c r="CY276" s="539" t="str">
        <f t="shared" si="625"/>
        <v/>
      </c>
      <c r="CZ276" s="539" t="str">
        <f t="shared" si="626"/>
        <v/>
      </c>
      <c r="DA276" s="539" t="str">
        <f t="shared" si="627"/>
        <v/>
      </c>
      <c r="DB276" s="538" t="str">
        <f t="shared" si="628"/>
        <v/>
      </c>
      <c r="DC276" s="537" t="str">
        <f t="shared" si="629"/>
        <v/>
      </c>
      <c r="DD276" s="641">
        <f t="shared" si="695"/>
        <v>5</v>
      </c>
      <c r="DE276" s="95">
        <f t="shared" si="696"/>
        <v>8</v>
      </c>
      <c r="DF276" s="95">
        <f t="shared" si="697"/>
        <v>7</v>
      </c>
      <c r="DG276" s="95">
        <f t="shared" si="698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258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600"/>
        <v/>
      </c>
      <c r="CA277" s="586">
        <f t="shared" si="601"/>
        <v>22.666666666666668</v>
      </c>
      <c r="CB277" s="586">
        <f t="shared" si="602"/>
        <v>4.25</v>
      </c>
      <c r="CC277" s="676">
        <f t="shared" si="603"/>
        <v>17.25</v>
      </c>
      <c r="CD277" s="1316" t="str">
        <f t="shared" si="722"/>
        <v/>
      </c>
      <c r="CE277" s="1317" t="str">
        <f t="shared" si="721"/>
        <v/>
      </c>
      <c r="CF277" s="1317">
        <f t="shared" si="721"/>
        <v>0</v>
      </c>
      <c r="CG277" s="1317">
        <f t="shared" si="721"/>
        <v>2</v>
      </c>
      <c r="CH277" s="1318">
        <f t="shared" si="721"/>
        <v>5</v>
      </c>
      <c r="CI277" s="1318">
        <f t="shared" si="721"/>
        <v>5</v>
      </c>
      <c r="CJ277" s="1317">
        <f t="shared" si="721"/>
        <v>5</v>
      </c>
      <c r="CK277" s="1317">
        <f t="shared" si="721"/>
        <v>50</v>
      </c>
      <c r="CL277" s="1317" t="str">
        <f t="shared" si="721"/>
        <v/>
      </c>
      <c r="CM277" s="1316" t="str">
        <f t="shared" si="721"/>
        <v/>
      </c>
      <c r="CN277" s="538" t="str">
        <f t="shared" si="614"/>
        <v/>
      </c>
      <c r="CO277" s="539" t="str">
        <f t="shared" si="615"/>
        <v/>
      </c>
      <c r="CP277" s="539" t="str">
        <f t="shared" si="616"/>
        <v/>
      </c>
      <c r="CQ277" s="539" t="str">
        <f t="shared" si="617"/>
        <v/>
      </c>
      <c r="CR277" s="539" t="str">
        <f t="shared" si="618"/>
        <v/>
      </c>
      <c r="CS277" s="539">
        <f t="shared" si="619"/>
        <v>0</v>
      </c>
      <c r="CT277" s="540">
        <f t="shared" si="620"/>
        <v>10</v>
      </c>
      <c r="CU277" s="540">
        <f t="shared" si="621"/>
        <v>14</v>
      </c>
      <c r="CV277" s="540">
        <f t="shared" si="622"/>
        <v>15</v>
      </c>
      <c r="CW277" s="539">
        <f t="shared" si="623"/>
        <v>30</v>
      </c>
      <c r="CX277" s="539">
        <f t="shared" si="624"/>
        <v>50</v>
      </c>
      <c r="CY277" s="539" t="str">
        <f t="shared" si="625"/>
        <v/>
      </c>
      <c r="CZ277" s="539" t="str">
        <f t="shared" si="626"/>
        <v/>
      </c>
      <c r="DA277" s="539" t="str">
        <f t="shared" si="627"/>
        <v/>
      </c>
      <c r="DB277" s="538" t="str">
        <f t="shared" si="628"/>
        <v/>
      </c>
      <c r="DC277" s="537" t="str">
        <f t="shared" si="629"/>
        <v/>
      </c>
      <c r="DD277" s="641">
        <f t="shared" si="695"/>
        <v>0</v>
      </c>
      <c r="DE277" s="95">
        <f t="shared" si="696"/>
        <v>8</v>
      </c>
      <c r="DF277" s="95">
        <f t="shared" si="697"/>
        <v>6</v>
      </c>
      <c r="DG277" s="95">
        <f t="shared" si="698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227</v>
      </c>
      <c r="B278" s="621">
        <f t="shared" ref="B278:K278" si="731">IF(B272="","",(B272-B274-B277)*B273/B$46/365/$G$1)</f>
        <v>3.0931744707347449E-2</v>
      </c>
      <c r="C278" s="621" t="str">
        <f t="shared" si="731"/>
        <v/>
      </c>
      <c r="D278" s="621" t="str">
        <f t="shared" si="731"/>
        <v/>
      </c>
      <c r="E278" s="621" t="str">
        <f t="shared" si="731"/>
        <v/>
      </c>
      <c r="F278" s="621" t="str">
        <f t="shared" si="731"/>
        <v/>
      </c>
      <c r="G278" s="621" t="str">
        <f t="shared" si="731"/>
        <v/>
      </c>
      <c r="H278" s="621">
        <f t="shared" si="731"/>
        <v>4.9098007471980072E-2</v>
      </c>
      <c r="I278" s="621">
        <f t="shared" si="731"/>
        <v>4.4188206724782061E-2</v>
      </c>
      <c r="J278" s="621">
        <f t="shared" si="731"/>
        <v>0.11047051681195516</v>
      </c>
      <c r="K278" s="621">
        <f t="shared" si="731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2">IF(T272="","",(T272-T274-T277)*T273/T$46/365/$G$1)</f>
        <v>1.60182249377335E-2</v>
      </c>
      <c r="U278" s="621" t="str">
        <f t="shared" si="732"/>
        <v/>
      </c>
      <c r="V278" s="621">
        <f t="shared" si="732"/>
        <v>2.4549003735990036E-2</v>
      </c>
      <c r="W278" s="621" t="str">
        <f t="shared" si="732"/>
        <v/>
      </c>
      <c r="X278" s="621">
        <f t="shared" si="732"/>
        <v>2.761762920298879E-2</v>
      </c>
      <c r="Y278" s="621">
        <f t="shared" si="732"/>
        <v>3.9769386052303859E-2</v>
      </c>
      <c r="Z278" s="621">
        <f t="shared" si="732"/>
        <v>4.9098007471980072E-2</v>
      </c>
      <c r="AA278" s="621">
        <f t="shared" si="732"/>
        <v>5.7444668742216695E-2</v>
      </c>
      <c r="AB278" s="621">
        <f t="shared" si="732"/>
        <v>4.4188206724782075E-2</v>
      </c>
      <c r="AC278" s="621">
        <f t="shared" si="732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3">IF(AL272="","",(AL272-AL274-AL277)*AL273/AL$46/365/$G$1)</f>
        <v>6.3126009606831526E-2</v>
      </c>
      <c r="AM278" s="621" t="str">
        <f t="shared" si="733"/>
        <v/>
      </c>
      <c r="AN278" s="621" t="str">
        <f t="shared" si="733"/>
        <v/>
      </c>
      <c r="AO278" s="621" t="str">
        <f t="shared" si="733"/>
        <v/>
      </c>
      <c r="AP278" s="621">
        <f t="shared" si="733"/>
        <v>6.4072899750933998E-2</v>
      </c>
      <c r="AQ278" s="621">
        <f t="shared" si="733"/>
        <v>8.3957592777085935E-2</v>
      </c>
      <c r="AR278" s="621">
        <f t="shared" si="733"/>
        <v>6.3126009606831526E-2</v>
      </c>
      <c r="AS278" s="621">
        <f t="shared" si="733"/>
        <v>8.8376413449564123E-2</v>
      </c>
      <c r="AT278" s="621">
        <f t="shared" si="733"/>
        <v>8.3957592777085935E-2</v>
      </c>
      <c r="AU278" s="621">
        <f t="shared" si="733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4">IF(BD272="","",(BD272-BD274-BD277)*BD273/BD$46/365/$G$1)</f>
        <v>1.4729402241594023E-2</v>
      </c>
      <c r="BE278" s="621" t="str">
        <f t="shared" si="734"/>
        <v/>
      </c>
      <c r="BF278" s="621" t="str">
        <f t="shared" si="734"/>
        <v/>
      </c>
      <c r="BG278" s="621" t="str">
        <f t="shared" si="734"/>
        <v/>
      </c>
      <c r="BH278" s="621">
        <f t="shared" si="734"/>
        <v>5.0213871278161445E-2</v>
      </c>
      <c r="BI278" s="621">
        <f t="shared" si="734"/>
        <v>9.5446526525529277E-2</v>
      </c>
      <c r="BJ278" s="621">
        <f t="shared" si="734"/>
        <v>1.3808814601494395E-2</v>
      </c>
      <c r="BK278" s="621">
        <f t="shared" si="734"/>
        <v>7.5751211528197832E-2</v>
      </c>
      <c r="BL278" s="621">
        <f t="shared" si="734"/>
        <v>6.0256645533793743E-2</v>
      </c>
      <c r="BM278" s="621">
        <f t="shared" si="734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600"/>
        <v>4.1405986301369858E-2</v>
      </c>
      <c r="CA278" s="611">
        <f t="shared" si="601"/>
        <v>3.4143572696139483E-2</v>
      </c>
      <c r="CB278" s="611">
        <f t="shared" si="602"/>
        <v>7.2102528172922981E-2</v>
      </c>
      <c r="CC278" s="679">
        <f t="shared" si="603"/>
        <v>5.9128028998398863E-2</v>
      </c>
      <c r="CD278" s="1319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320">
        <f t="shared" si="735"/>
        <v>6.3126009606831526E-2</v>
      </c>
      <c r="CG278" s="1320">
        <f t="shared" si="735"/>
        <v>6.4072899750933998E-2</v>
      </c>
      <c r="CH278" s="1321">
        <f t="shared" si="735"/>
        <v>6.5398545952677467E-2</v>
      </c>
      <c r="CI278" s="1321">
        <f t="shared" si="735"/>
        <v>8.3957592777085935E-2</v>
      </c>
      <c r="CJ278" s="1320">
        <f t="shared" si="735"/>
        <v>8.3957592777085935E-2</v>
      </c>
      <c r="CK278" s="1320">
        <f t="shared" si="735"/>
        <v>8.8376413449564123E-2</v>
      </c>
      <c r="CL278" s="1320" t="str">
        <f t="shared" si="735"/>
        <v/>
      </c>
      <c r="CM278" s="1319" t="str">
        <f t="shared" si="735"/>
        <v/>
      </c>
      <c r="CN278" s="526" t="str">
        <f t="shared" si="614"/>
        <v/>
      </c>
      <c r="CO278" s="527" t="str">
        <f t="shared" si="615"/>
        <v/>
      </c>
      <c r="CP278" s="527" t="str">
        <f t="shared" si="616"/>
        <v/>
      </c>
      <c r="CQ278" s="527" t="str">
        <f t="shared" si="617"/>
        <v/>
      </c>
      <c r="CR278" s="527">
        <f t="shared" si="618"/>
        <v>1.3808814601494395E-2</v>
      </c>
      <c r="CS278" s="527">
        <f t="shared" si="619"/>
        <v>1.4729402241594023E-2</v>
      </c>
      <c r="CT278" s="528">
        <f t="shared" si="620"/>
        <v>5.0213871278161445E-2</v>
      </c>
      <c r="CU278" s="528">
        <f t="shared" si="621"/>
        <v>6.0256645533793743E-2</v>
      </c>
      <c r="CV278" s="528">
        <f t="shared" si="622"/>
        <v>7.5751211528197832E-2</v>
      </c>
      <c r="CW278" s="527">
        <f t="shared" si="623"/>
        <v>9.468901441024731E-2</v>
      </c>
      <c r="CX278" s="527">
        <f t="shared" si="624"/>
        <v>9.5446526525529277E-2</v>
      </c>
      <c r="CY278" s="527" t="str">
        <f t="shared" si="625"/>
        <v/>
      </c>
      <c r="CZ278" s="527" t="str">
        <f t="shared" si="626"/>
        <v/>
      </c>
      <c r="DA278" s="527" t="str">
        <f t="shared" si="627"/>
        <v/>
      </c>
      <c r="DB278" s="526" t="str">
        <f t="shared" si="628"/>
        <v/>
      </c>
      <c r="DC278" s="525" t="str">
        <f t="shared" si="629"/>
        <v/>
      </c>
      <c r="DD278" s="641">
        <f t="shared" si="695"/>
        <v>5</v>
      </c>
      <c r="DE278" s="95">
        <f t="shared" si="696"/>
        <v>8</v>
      </c>
      <c r="DF278" s="95">
        <f t="shared" si="697"/>
        <v>7</v>
      </c>
      <c r="DG278" s="95">
        <f t="shared" si="698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39" customFormat="1" ht="15.75" customHeight="1">
      <c r="A279" s="1528" t="s">
        <v>263</v>
      </c>
      <c r="B279" s="1529"/>
      <c r="C279" s="1529"/>
      <c r="D279" s="1529"/>
      <c r="E279" s="1529"/>
      <c r="F279" s="1529"/>
      <c r="G279" s="1529"/>
      <c r="H279" s="1529"/>
      <c r="I279" s="1529"/>
      <c r="J279" s="1529"/>
      <c r="K279" s="1529"/>
      <c r="L279" s="1529"/>
      <c r="M279" s="1529"/>
      <c r="N279" s="1529"/>
      <c r="O279" s="1529"/>
      <c r="P279" s="1529"/>
      <c r="Q279" s="1529"/>
      <c r="R279" s="1529"/>
      <c r="S279" s="1530"/>
      <c r="T279" s="1529"/>
      <c r="U279" s="1529"/>
      <c r="V279" s="1529"/>
      <c r="W279" s="1529"/>
      <c r="X279" s="1529"/>
      <c r="Y279" s="1529"/>
      <c r="Z279" s="1529"/>
      <c r="AA279" s="1529"/>
      <c r="AB279" s="1529"/>
      <c r="AC279" s="1529"/>
      <c r="AD279" s="1529"/>
      <c r="AE279" s="1529"/>
      <c r="AF279" s="1529"/>
      <c r="AG279" s="1529"/>
      <c r="AH279" s="1529"/>
      <c r="AI279" s="1529"/>
      <c r="AJ279" s="1529"/>
      <c r="AK279" s="1530"/>
      <c r="AL279" s="1529"/>
      <c r="AM279" s="1529"/>
      <c r="AN279" s="1529"/>
      <c r="AO279" s="1529"/>
      <c r="AP279" s="1529"/>
      <c r="AQ279" s="1529"/>
      <c r="AR279" s="1529"/>
      <c r="AS279" s="1529"/>
      <c r="AT279" s="1529"/>
      <c r="AU279" s="1529"/>
      <c r="AV279" s="1529"/>
      <c r="AW279" s="1529"/>
      <c r="AX279" s="1529"/>
      <c r="AY279" s="1529"/>
      <c r="AZ279" s="1529"/>
      <c r="BA279" s="1529"/>
      <c r="BB279" s="1529"/>
      <c r="BC279" s="1530"/>
      <c r="BD279" s="1529"/>
      <c r="BE279" s="1529"/>
      <c r="BF279" s="1529"/>
      <c r="BG279" s="1529"/>
      <c r="BH279" s="1529"/>
      <c r="BI279" s="1529"/>
      <c r="BJ279" s="1529"/>
      <c r="BK279" s="1529"/>
      <c r="BL279" s="1529"/>
      <c r="BM279" s="1529"/>
      <c r="BN279" s="1529"/>
      <c r="BO279" s="1529"/>
      <c r="BP279" s="1529"/>
      <c r="BQ279" s="1529"/>
      <c r="BR279" s="1529"/>
      <c r="BS279" s="1529"/>
      <c r="BT279" s="1529"/>
      <c r="BU279" s="1530"/>
      <c r="BV279" s="1529"/>
      <c r="BW279" s="1529"/>
      <c r="BX279" s="1529"/>
      <c r="BY279" s="1529"/>
      <c r="BZ279" s="1531" t="str">
        <f t="shared" si="600"/>
        <v/>
      </c>
      <c r="CA279" s="1531" t="str">
        <f t="shared" si="601"/>
        <v/>
      </c>
      <c r="CB279" s="1531" t="str">
        <f t="shared" si="602"/>
        <v/>
      </c>
      <c r="CC279" s="1532" t="str">
        <f t="shared" si="603"/>
        <v/>
      </c>
      <c r="CD279" s="1533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3" t="str">
        <f t="shared" si="735"/>
        <v/>
      </c>
      <c r="CF279" s="1533" t="str">
        <f t="shared" si="735"/>
        <v/>
      </c>
      <c r="CG279" s="1533" t="str">
        <f t="shared" si="735"/>
        <v/>
      </c>
      <c r="CH279" s="1533" t="str">
        <f t="shared" si="735"/>
        <v/>
      </c>
      <c r="CI279" s="1533" t="str">
        <f t="shared" si="735"/>
        <v/>
      </c>
      <c r="CJ279" s="1533" t="str">
        <f t="shared" si="735"/>
        <v/>
      </c>
      <c r="CK279" s="1533" t="str">
        <f t="shared" si="735"/>
        <v/>
      </c>
      <c r="CL279" s="1533" t="str">
        <f t="shared" si="735"/>
        <v/>
      </c>
      <c r="CM279" s="1533" t="str">
        <f t="shared" si="735"/>
        <v/>
      </c>
      <c r="CN279" s="1534" t="str">
        <f t="shared" si="614"/>
        <v/>
      </c>
      <c r="CO279" s="1534" t="str">
        <f t="shared" si="615"/>
        <v/>
      </c>
      <c r="CP279" s="1534" t="str">
        <f t="shared" si="616"/>
        <v/>
      </c>
      <c r="CQ279" s="1534" t="str">
        <f t="shared" si="617"/>
        <v/>
      </c>
      <c r="CR279" s="1534" t="str">
        <f t="shared" si="618"/>
        <v/>
      </c>
      <c r="CS279" s="1534" t="str">
        <f t="shared" si="619"/>
        <v/>
      </c>
      <c r="CT279" s="1534" t="str">
        <f t="shared" si="620"/>
        <v/>
      </c>
      <c r="CU279" s="1534" t="str">
        <f t="shared" si="621"/>
        <v/>
      </c>
      <c r="CV279" s="1534" t="str">
        <f t="shared" si="622"/>
        <v/>
      </c>
      <c r="CW279" s="1534" t="str">
        <f t="shared" si="623"/>
        <v/>
      </c>
      <c r="CX279" s="1534" t="str">
        <f t="shared" si="624"/>
        <v/>
      </c>
      <c r="CY279" s="1534" t="str">
        <f t="shared" si="625"/>
        <v/>
      </c>
      <c r="CZ279" s="1534" t="str">
        <f t="shared" si="626"/>
        <v/>
      </c>
      <c r="DA279" s="1534" t="str">
        <f t="shared" si="627"/>
        <v/>
      </c>
      <c r="DB279" s="1534" t="str">
        <f t="shared" si="628"/>
        <v/>
      </c>
      <c r="DC279" s="1534" t="str">
        <f t="shared" si="629"/>
        <v/>
      </c>
      <c r="DD279" s="1535">
        <f t="shared" si="695"/>
        <v>0</v>
      </c>
      <c r="DE279" s="1536">
        <f t="shared" si="696"/>
        <v>0</v>
      </c>
      <c r="DF279" s="1536">
        <f t="shared" si="697"/>
        <v>0</v>
      </c>
      <c r="DG279" s="1536">
        <f t="shared" si="698"/>
        <v>0</v>
      </c>
      <c r="DH279" s="1537"/>
      <c r="DI279" s="1538"/>
      <c r="DJ279" s="1538"/>
      <c r="DK279" s="1538"/>
      <c r="DL279" s="1538"/>
      <c r="DM279" s="1538"/>
      <c r="DN279" s="1538"/>
      <c r="DO279" s="1538"/>
      <c r="DP279" s="1538"/>
    </row>
    <row r="280" spans="1:121" s="1539" customFormat="1" ht="15.75" customHeight="1">
      <c r="A280" s="1540" t="s">
        <v>260</v>
      </c>
      <c r="B280" s="1541">
        <f>3630*$K$1</f>
        <v>15198.083999999999</v>
      </c>
      <c r="C280" s="1541">
        <f t="shared" ref="C280:K280" si="737">3630*$K$1</f>
        <v>15198.083999999999</v>
      </c>
      <c r="D280" s="1541">
        <f t="shared" si="737"/>
        <v>15198.083999999999</v>
      </c>
      <c r="E280" s="1541">
        <f t="shared" si="737"/>
        <v>15198.083999999999</v>
      </c>
      <c r="F280" s="1541">
        <f t="shared" si="737"/>
        <v>15198.083999999999</v>
      </c>
      <c r="G280" s="1541">
        <f t="shared" si="737"/>
        <v>15198.083999999999</v>
      </c>
      <c r="H280" s="1541">
        <f t="shared" si="737"/>
        <v>15198.083999999999</v>
      </c>
      <c r="I280" s="1541">
        <f t="shared" si="737"/>
        <v>15198.083999999999</v>
      </c>
      <c r="J280" s="1541">
        <f t="shared" si="737"/>
        <v>15198.083999999999</v>
      </c>
      <c r="K280" s="1541">
        <f t="shared" si="737"/>
        <v>15198.083999999999</v>
      </c>
      <c r="L280" s="1541"/>
      <c r="M280" s="1541"/>
      <c r="N280" s="1541"/>
      <c r="O280" s="1541"/>
      <c r="P280" s="1541"/>
      <c r="Q280" s="1541"/>
      <c r="R280" s="1541"/>
      <c r="S280" s="1529"/>
      <c r="T280" s="1541">
        <f>3630*$K$1</f>
        <v>15198.083999999999</v>
      </c>
      <c r="U280" s="1541">
        <f t="shared" ref="U280:AC280" si="738">3630*$K$1</f>
        <v>15198.083999999999</v>
      </c>
      <c r="V280" s="1541">
        <f t="shared" si="738"/>
        <v>15198.083999999999</v>
      </c>
      <c r="W280" s="1541">
        <f t="shared" si="738"/>
        <v>15198.083999999999</v>
      </c>
      <c r="X280" s="1541">
        <f t="shared" si="738"/>
        <v>15198.083999999999</v>
      </c>
      <c r="Y280" s="1541">
        <f t="shared" si="738"/>
        <v>15198.083999999999</v>
      </c>
      <c r="Z280" s="1541">
        <f t="shared" si="738"/>
        <v>15198.083999999999</v>
      </c>
      <c r="AA280" s="1541">
        <f t="shared" si="738"/>
        <v>15198.083999999999</v>
      </c>
      <c r="AB280" s="1541">
        <f t="shared" si="738"/>
        <v>15198.083999999999</v>
      </c>
      <c r="AC280" s="1541">
        <f t="shared" si="738"/>
        <v>15198.083999999999</v>
      </c>
      <c r="AD280" s="1541"/>
      <c r="AE280" s="1541"/>
      <c r="AF280" s="1541"/>
      <c r="AG280" s="1541"/>
      <c r="AH280" s="1541"/>
      <c r="AI280" s="1541"/>
      <c r="AJ280" s="1541"/>
      <c r="AK280" s="1529"/>
      <c r="AL280" s="1541">
        <f>3630*$K$1</f>
        <v>15198.083999999999</v>
      </c>
      <c r="AM280" s="1541">
        <f t="shared" ref="AM280:AU280" si="739">3630*$K$1</f>
        <v>15198.083999999999</v>
      </c>
      <c r="AN280" s="1541">
        <f t="shared" si="739"/>
        <v>15198.083999999999</v>
      </c>
      <c r="AO280" s="1541">
        <f t="shared" si="739"/>
        <v>15198.083999999999</v>
      </c>
      <c r="AP280" s="1541">
        <f t="shared" si="739"/>
        <v>15198.083999999999</v>
      </c>
      <c r="AQ280" s="1541">
        <f t="shared" si="739"/>
        <v>15198.083999999999</v>
      </c>
      <c r="AR280" s="1541">
        <f t="shared" si="739"/>
        <v>15198.083999999999</v>
      </c>
      <c r="AS280" s="1541">
        <f t="shared" si="739"/>
        <v>15198.083999999999</v>
      </c>
      <c r="AT280" s="1541">
        <f t="shared" si="739"/>
        <v>15198.083999999999</v>
      </c>
      <c r="AU280" s="1541">
        <f t="shared" si="739"/>
        <v>15198.083999999999</v>
      </c>
      <c r="AV280" s="1541"/>
      <c r="AW280" s="1541"/>
      <c r="AX280" s="1541"/>
      <c r="AY280" s="1541"/>
      <c r="AZ280" s="1541"/>
      <c r="BA280" s="1541"/>
      <c r="BB280" s="1541"/>
      <c r="BC280" s="1529"/>
      <c r="BD280" s="1541">
        <f>3630*$K$1</f>
        <v>15198.083999999999</v>
      </c>
      <c r="BE280" s="1541">
        <f t="shared" ref="BE280:BY280" si="740">3630*$K$1</f>
        <v>15198.083999999999</v>
      </c>
      <c r="BF280" s="1541">
        <f t="shared" si="740"/>
        <v>15198.083999999999</v>
      </c>
      <c r="BG280" s="1541">
        <f t="shared" si="740"/>
        <v>15198.083999999999</v>
      </c>
      <c r="BH280" s="1541">
        <f t="shared" si="740"/>
        <v>15198.083999999999</v>
      </c>
      <c r="BI280" s="1541">
        <f t="shared" si="740"/>
        <v>15198.083999999999</v>
      </c>
      <c r="BJ280" s="1541">
        <f t="shared" si="740"/>
        <v>15198.083999999999</v>
      </c>
      <c r="BK280" s="1541">
        <f t="shared" si="740"/>
        <v>15198.083999999999</v>
      </c>
      <c r="BL280" s="1541">
        <f t="shared" si="740"/>
        <v>15198.083999999999</v>
      </c>
      <c r="BM280" s="1541">
        <f t="shared" si="740"/>
        <v>15198.083999999999</v>
      </c>
      <c r="BN280" s="1541"/>
      <c r="BO280" s="1541"/>
      <c r="BP280" s="1541"/>
      <c r="BQ280" s="1541"/>
      <c r="BR280" s="1541"/>
      <c r="BS280" s="1541"/>
      <c r="BT280" s="1541"/>
      <c r="BU280" s="1529"/>
      <c r="BV280" s="1541">
        <f t="shared" si="740"/>
        <v>15198.083999999999</v>
      </c>
      <c r="BW280" s="1541">
        <f t="shared" si="740"/>
        <v>15198.083999999999</v>
      </c>
      <c r="BX280" s="1541">
        <f t="shared" si="740"/>
        <v>15198.083999999999</v>
      </c>
      <c r="BY280" s="1541">
        <f t="shared" si="740"/>
        <v>15198.083999999999</v>
      </c>
      <c r="BZ280" s="1531">
        <f t="shared" si="600"/>
        <v>15198.083999999999</v>
      </c>
      <c r="CA280" s="1531">
        <f t="shared" si="601"/>
        <v>15198.083999999999</v>
      </c>
      <c r="CB280" s="1531">
        <f t="shared" si="602"/>
        <v>15198.083999999999</v>
      </c>
      <c r="CC280" s="1532">
        <f t="shared" si="603"/>
        <v>15198.083999999999</v>
      </c>
      <c r="CD280" s="1533">
        <f t="shared" si="736"/>
        <v>15198.083999999999</v>
      </c>
      <c r="CE280" s="1533">
        <f t="shared" si="735"/>
        <v>15198.083999999999</v>
      </c>
      <c r="CF280" s="1533">
        <f t="shared" si="735"/>
        <v>15198.083999999999</v>
      </c>
      <c r="CG280" s="1533">
        <f t="shared" si="735"/>
        <v>15198.083999999999</v>
      </c>
      <c r="CH280" s="1533">
        <f t="shared" si="735"/>
        <v>15198.083999999999</v>
      </c>
      <c r="CI280" s="1533">
        <f t="shared" si="735"/>
        <v>15198.083999999999</v>
      </c>
      <c r="CJ280" s="1533">
        <f t="shared" si="735"/>
        <v>15198.083999999999</v>
      </c>
      <c r="CK280" s="1533">
        <f t="shared" si="735"/>
        <v>15198.083999999999</v>
      </c>
      <c r="CL280" s="1533">
        <f t="shared" si="735"/>
        <v>15198.083999999999</v>
      </c>
      <c r="CM280" s="1533">
        <f t="shared" si="735"/>
        <v>15198.083999999999</v>
      </c>
      <c r="CN280" s="1534" t="str">
        <f t="shared" si="614"/>
        <v/>
      </c>
      <c r="CO280" s="1534" t="str">
        <f t="shared" si="615"/>
        <v/>
      </c>
      <c r="CP280" s="1534" t="str">
        <f t="shared" si="616"/>
        <v/>
      </c>
      <c r="CQ280" s="1534">
        <f t="shared" si="617"/>
        <v>15198.083999999999</v>
      </c>
      <c r="CR280" s="1534">
        <f t="shared" si="618"/>
        <v>15198.083999999999</v>
      </c>
      <c r="CS280" s="1534">
        <f t="shared" si="619"/>
        <v>15198.083999999999</v>
      </c>
      <c r="CT280" s="1534">
        <f t="shared" si="620"/>
        <v>15198.083999999999</v>
      </c>
      <c r="CU280" s="1534">
        <f t="shared" si="621"/>
        <v>15198.083999999999</v>
      </c>
      <c r="CV280" s="1534">
        <f t="shared" si="622"/>
        <v>15198.083999999999</v>
      </c>
      <c r="CW280" s="1534">
        <f t="shared" si="623"/>
        <v>15198.083999999999</v>
      </c>
      <c r="CX280" s="1534">
        <f t="shared" si="624"/>
        <v>15198.083999999999</v>
      </c>
      <c r="CY280" s="1534">
        <f t="shared" si="625"/>
        <v>15198.083999999999</v>
      </c>
      <c r="CZ280" s="1534">
        <f t="shared" si="626"/>
        <v>15198.083999999999</v>
      </c>
      <c r="DA280" s="1534" t="str">
        <f t="shared" si="627"/>
        <v/>
      </c>
      <c r="DB280" s="1534" t="str">
        <f t="shared" si="628"/>
        <v/>
      </c>
      <c r="DC280" s="1534" t="str">
        <f t="shared" si="629"/>
        <v/>
      </c>
      <c r="DD280" s="1535">
        <f t="shared" si="695"/>
        <v>10</v>
      </c>
      <c r="DE280" s="1536">
        <f t="shared" si="696"/>
        <v>10</v>
      </c>
      <c r="DF280" s="1536">
        <f t="shared" si="697"/>
        <v>10</v>
      </c>
      <c r="DG280" s="1536">
        <f t="shared" si="698"/>
        <v>10</v>
      </c>
      <c r="DH280" s="1537"/>
      <c r="DI280" s="1538"/>
      <c r="DJ280" s="1538"/>
      <c r="DK280" s="1538"/>
      <c r="DL280" s="1538"/>
      <c r="DM280" s="1538"/>
      <c r="DN280" s="1538"/>
      <c r="DO280" s="1538"/>
      <c r="DP280" s="1538"/>
    </row>
    <row r="281" spans="1:121" s="1539" customFormat="1" ht="15.75" customHeight="1">
      <c r="A281" s="1542" t="s">
        <v>257</v>
      </c>
      <c r="B281" s="1543"/>
      <c r="C281" s="1543"/>
      <c r="D281" s="1543"/>
      <c r="E281" s="1543"/>
      <c r="F281" s="1543"/>
      <c r="G281" s="1543"/>
      <c r="H281" s="1543"/>
      <c r="I281" s="1543"/>
      <c r="J281" s="1543"/>
      <c r="K281" s="1543"/>
      <c r="L281" s="1543"/>
      <c r="M281" s="1543"/>
      <c r="N281" s="1543"/>
      <c r="O281" s="1543"/>
      <c r="P281" s="1543"/>
      <c r="Q281" s="1543"/>
      <c r="R281" s="1543"/>
      <c r="S281" s="1544"/>
      <c r="T281" s="1543"/>
      <c r="U281" s="1543"/>
      <c r="V281" s="1543"/>
      <c r="W281" s="1543"/>
      <c r="X281" s="1543"/>
      <c r="Y281" s="1543"/>
      <c r="Z281" s="1543"/>
      <c r="AA281" s="1543"/>
      <c r="AB281" s="1543"/>
      <c r="AC281" s="1543"/>
      <c r="AD281" s="1543"/>
      <c r="AE281" s="1543"/>
      <c r="AF281" s="1543"/>
      <c r="AG281" s="1543"/>
      <c r="AH281" s="1543"/>
      <c r="AI281" s="1543"/>
      <c r="AJ281" s="1543"/>
      <c r="AK281" s="1544"/>
      <c r="AL281" s="1543"/>
      <c r="AM281" s="1543"/>
      <c r="AN281" s="1543"/>
      <c r="AO281" s="1543"/>
      <c r="AP281" s="1543"/>
      <c r="AQ281" s="1543"/>
      <c r="AR281" s="1543"/>
      <c r="AS281" s="1543"/>
      <c r="AT281" s="1543"/>
      <c r="AU281" s="1543"/>
      <c r="AV281" s="1543"/>
      <c r="AW281" s="1543"/>
      <c r="AX281" s="1543"/>
      <c r="AY281" s="1543"/>
      <c r="AZ281" s="1543"/>
      <c r="BA281" s="1543"/>
      <c r="BB281" s="1543"/>
      <c r="BC281" s="1544"/>
      <c r="BD281" s="1543"/>
      <c r="BE281" s="1543"/>
      <c r="BF281" s="1543"/>
      <c r="BG281" s="1543"/>
      <c r="BH281" s="1543"/>
      <c r="BI281" s="1543"/>
      <c r="BJ281" s="1543"/>
      <c r="BK281" s="1543"/>
      <c r="BL281" s="1543"/>
      <c r="BM281" s="1543"/>
      <c r="BN281" s="1543"/>
      <c r="BO281" s="1543"/>
      <c r="BP281" s="1543"/>
      <c r="BQ281" s="1543"/>
      <c r="BR281" s="1543"/>
      <c r="BS281" s="1543"/>
      <c r="BT281" s="1543"/>
      <c r="BU281" s="1544"/>
      <c r="BV281" s="1543"/>
      <c r="BW281" s="1543"/>
      <c r="BX281" s="1543"/>
      <c r="BY281" s="1543"/>
      <c r="BZ281" s="1531" t="str">
        <f t="shared" si="600"/>
        <v/>
      </c>
      <c r="CA281" s="1531" t="str">
        <f t="shared" si="601"/>
        <v/>
      </c>
      <c r="CB281" s="1531" t="str">
        <f t="shared" si="602"/>
        <v/>
      </c>
      <c r="CC281" s="1532" t="str">
        <f t="shared" si="603"/>
        <v/>
      </c>
      <c r="CD281" s="1533" t="str">
        <f t="shared" si="736"/>
        <v/>
      </c>
      <c r="CE281" s="1533" t="str">
        <f t="shared" si="735"/>
        <v/>
      </c>
      <c r="CF281" s="1533" t="str">
        <f t="shared" si="735"/>
        <v/>
      </c>
      <c r="CG281" s="1533" t="str">
        <f t="shared" si="735"/>
        <v/>
      </c>
      <c r="CH281" s="1533" t="str">
        <f t="shared" si="735"/>
        <v/>
      </c>
      <c r="CI281" s="1533" t="str">
        <f t="shared" si="735"/>
        <v/>
      </c>
      <c r="CJ281" s="1533" t="str">
        <f t="shared" si="735"/>
        <v/>
      </c>
      <c r="CK281" s="1533" t="str">
        <f t="shared" si="735"/>
        <v/>
      </c>
      <c r="CL281" s="1533" t="str">
        <f t="shared" si="735"/>
        <v/>
      </c>
      <c r="CM281" s="1533" t="str">
        <f t="shared" si="735"/>
        <v/>
      </c>
      <c r="CN281" s="1534" t="str">
        <f t="shared" si="614"/>
        <v/>
      </c>
      <c r="CO281" s="1534" t="str">
        <f t="shared" si="615"/>
        <v/>
      </c>
      <c r="CP281" s="1534" t="str">
        <f t="shared" si="616"/>
        <v/>
      </c>
      <c r="CQ281" s="1534" t="str">
        <f t="shared" si="617"/>
        <v/>
      </c>
      <c r="CR281" s="1534" t="str">
        <f t="shared" si="618"/>
        <v/>
      </c>
      <c r="CS281" s="1534" t="str">
        <f t="shared" si="619"/>
        <v/>
      </c>
      <c r="CT281" s="1534" t="str">
        <f t="shared" si="620"/>
        <v/>
      </c>
      <c r="CU281" s="1534" t="str">
        <f t="shared" si="621"/>
        <v/>
      </c>
      <c r="CV281" s="1534" t="str">
        <f t="shared" si="622"/>
        <v/>
      </c>
      <c r="CW281" s="1534" t="str">
        <f t="shared" si="623"/>
        <v/>
      </c>
      <c r="CX281" s="1534" t="str">
        <f t="shared" si="624"/>
        <v/>
      </c>
      <c r="CY281" s="1534" t="str">
        <f t="shared" si="625"/>
        <v/>
      </c>
      <c r="CZ281" s="1534" t="str">
        <f t="shared" si="626"/>
        <v/>
      </c>
      <c r="DA281" s="1534" t="str">
        <f t="shared" si="627"/>
        <v/>
      </c>
      <c r="DB281" s="1534" t="str">
        <f t="shared" si="628"/>
        <v/>
      </c>
      <c r="DC281" s="1534" t="str">
        <f t="shared" si="629"/>
        <v/>
      </c>
      <c r="DD281" s="1535">
        <f t="shared" si="695"/>
        <v>0</v>
      </c>
      <c r="DE281" s="1536">
        <f t="shared" si="696"/>
        <v>0</v>
      </c>
      <c r="DF281" s="1536">
        <f t="shared" si="697"/>
        <v>0</v>
      </c>
      <c r="DG281" s="1536">
        <f t="shared" si="698"/>
        <v>0</v>
      </c>
      <c r="DH281" s="1537"/>
      <c r="DI281" s="1538"/>
      <c r="DJ281" s="1538"/>
      <c r="DK281" s="1538"/>
      <c r="DL281" s="1538"/>
      <c r="DM281" s="1538"/>
      <c r="DN281" s="1538"/>
      <c r="DO281" s="1538"/>
      <c r="DP281" s="1538"/>
    </row>
    <row r="282" spans="1:121" s="1539" customFormat="1" ht="15.75" customHeight="1">
      <c r="A282" s="1545" t="s">
        <v>181</v>
      </c>
      <c r="B282" s="1546"/>
      <c r="C282" s="1546"/>
      <c r="D282" s="1546"/>
      <c r="E282" s="1546"/>
      <c r="F282" s="1546"/>
      <c r="G282" s="1546"/>
      <c r="H282" s="1546"/>
      <c r="I282" s="1546"/>
      <c r="J282" s="1546"/>
      <c r="K282" s="1546"/>
      <c r="L282" s="1546"/>
      <c r="M282" s="1546"/>
      <c r="N282" s="1546"/>
      <c r="O282" s="1546"/>
      <c r="P282" s="1546"/>
      <c r="Q282" s="1546"/>
      <c r="R282" s="1546"/>
      <c r="S282" s="1544"/>
      <c r="T282" s="1546"/>
      <c r="U282" s="1546"/>
      <c r="V282" s="1546"/>
      <c r="W282" s="1546"/>
      <c r="X282" s="1546"/>
      <c r="Y282" s="1546"/>
      <c r="Z282" s="1546"/>
      <c r="AA282" s="1546"/>
      <c r="AB282" s="1546"/>
      <c r="AC282" s="1546"/>
      <c r="AD282" s="1546"/>
      <c r="AE282" s="1546"/>
      <c r="AF282" s="1546"/>
      <c r="AG282" s="1546"/>
      <c r="AH282" s="1546"/>
      <c r="AI282" s="1546"/>
      <c r="AJ282" s="1546"/>
      <c r="AK282" s="1544"/>
      <c r="AL282" s="1546"/>
      <c r="AM282" s="1546"/>
      <c r="AN282" s="1546"/>
      <c r="AO282" s="1546"/>
      <c r="AP282" s="1546"/>
      <c r="AQ282" s="1546"/>
      <c r="AR282" s="1546"/>
      <c r="AS282" s="1546"/>
      <c r="AT282" s="1546"/>
      <c r="AU282" s="1546"/>
      <c r="AV282" s="1546"/>
      <c r="AW282" s="1546"/>
      <c r="AX282" s="1546"/>
      <c r="AY282" s="1546"/>
      <c r="AZ282" s="1546"/>
      <c r="BA282" s="1546"/>
      <c r="BB282" s="1546"/>
      <c r="BC282" s="1544"/>
      <c r="BD282" s="1546"/>
      <c r="BE282" s="1546"/>
      <c r="BF282" s="1546"/>
      <c r="BG282" s="1546"/>
      <c r="BH282" s="1546"/>
      <c r="BI282" s="1546"/>
      <c r="BJ282" s="1546"/>
      <c r="BK282" s="1546"/>
      <c r="BL282" s="1546"/>
      <c r="BM282" s="1546"/>
      <c r="BN282" s="1546"/>
      <c r="BO282" s="1546"/>
      <c r="BP282" s="1546"/>
      <c r="BQ282" s="1546"/>
      <c r="BR282" s="1546"/>
      <c r="BS282" s="1546"/>
      <c r="BT282" s="1546"/>
      <c r="BU282" s="1544"/>
      <c r="BV282" s="1546"/>
      <c r="BW282" s="1546"/>
      <c r="BX282" s="1546"/>
      <c r="BY282" s="1546"/>
      <c r="BZ282" s="1531" t="str">
        <f t="shared" si="600"/>
        <v/>
      </c>
      <c r="CA282" s="1531" t="str">
        <f t="shared" si="601"/>
        <v/>
      </c>
      <c r="CB282" s="1531" t="str">
        <f t="shared" si="602"/>
        <v/>
      </c>
      <c r="CC282" s="1532" t="str">
        <f t="shared" si="603"/>
        <v/>
      </c>
      <c r="CD282" s="1533" t="str">
        <f t="shared" si="736"/>
        <v/>
      </c>
      <c r="CE282" s="1533" t="str">
        <f t="shared" si="735"/>
        <v/>
      </c>
      <c r="CF282" s="1533" t="str">
        <f t="shared" si="735"/>
        <v/>
      </c>
      <c r="CG282" s="1533" t="str">
        <f t="shared" si="735"/>
        <v/>
      </c>
      <c r="CH282" s="1533" t="str">
        <f t="shared" si="735"/>
        <v/>
      </c>
      <c r="CI282" s="1533" t="str">
        <f t="shared" si="735"/>
        <v/>
      </c>
      <c r="CJ282" s="1533" t="str">
        <f t="shared" si="735"/>
        <v/>
      </c>
      <c r="CK282" s="1533" t="str">
        <f t="shared" si="735"/>
        <v/>
      </c>
      <c r="CL282" s="1533" t="str">
        <f t="shared" si="735"/>
        <v/>
      </c>
      <c r="CM282" s="1533" t="str">
        <f t="shared" si="735"/>
        <v/>
      </c>
      <c r="CN282" s="1534" t="str">
        <f t="shared" si="614"/>
        <v/>
      </c>
      <c r="CO282" s="1534" t="str">
        <f t="shared" si="615"/>
        <v/>
      </c>
      <c r="CP282" s="1534" t="str">
        <f t="shared" si="616"/>
        <v/>
      </c>
      <c r="CQ282" s="1534" t="str">
        <f t="shared" si="617"/>
        <v/>
      </c>
      <c r="CR282" s="1534" t="str">
        <f t="shared" si="618"/>
        <v/>
      </c>
      <c r="CS282" s="1534" t="str">
        <f t="shared" si="619"/>
        <v/>
      </c>
      <c r="CT282" s="1534" t="str">
        <f t="shared" si="620"/>
        <v/>
      </c>
      <c r="CU282" s="1534" t="str">
        <f t="shared" si="621"/>
        <v/>
      </c>
      <c r="CV282" s="1534" t="str">
        <f t="shared" si="622"/>
        <v/>
      </c>
      <c r="CW282" s="1534" t="str">
        <f t="shared" si="623"/>
        <v/>
      </c>
      <c r="CX282" s="1534" t="str">
        <f t="shared" si="624"/>
        <v/>
      </c>
      <c r="CY282" s="1534" t="str">
        <f t="shared" si="625"/>
        <v/>
      </c>
      <c r="CZ282" s="1534" t="str">
        <f t="shared" si="626"/>
        <v/>
      </c>
      <c r="DA282" s="1534" t="str">
        <f t="shared" si="627"/>
        <v/>
      </c>
      <c r="DB282" s="1534" t="str">
        <f t="shared" si="628"/>
        <v/>
      </c>
      <c r="DC282" s="1534" t="str">
        <f t="shared" si="629"/>
        <v/>
      </c>
      <c r="DD282" s="1535">
        <f t="shared" si="695"/>
        <v>0</v>
      </c>
      <c r="DE282" s="1536">
        <f t="shared" si="696"/>
        <v>0</v>
      </c>
      <c r="DF282" s="1536">
        <f t="shared" si="697"/>
        <v>0</v>
      </c>
      <c r="DG282" s="1536">
        <f t="shared" si="698"/>
        <v>0</v>
      </c>
      <c r="DH282" s="1537"/>
      <c r="DI282" s="1538"/>
      <c r="DJ282" s="1538"/>
      <c r="DK282" s="1538"/>
      <c r="DL282" s="1538"/>
      <c r="DM282" s="1538"/>
      <c r="DN282" s="1538"/>
      <c r="DO282" s="1538"/>
      <c r="DP282" s="1538"/>
    </row>
    <row r="283" spans="1:121" s="1539" customFormat="1" ht="15.75" customHeight="1">
      <c r="A283" s="1545" t="s">
        <v>183</v>
      </c>
      <c r="B283" s="1547" t="str">
        <f t="shared" ref="B283:K283" si="741">IF(B281="","",B281*B282)</f>
        <v/>
      </c>
      <c r="C283" s="1547" t="str">
        <f t="shared" si="741"/>
        <v/>
      </c>
      <c r="D283" s="1547" t="str">
        <f t="shared" si="741"/>
        <v/>
      </c>
      <c r="E283" s="1547" t="str">
        <f t="shared" si="741"/>
        <v/>
      </c>
      <c r="F283" s="1547" t="str">
        <f t="shared" si="741"/>
        <v/>
      </c>
      <c r="G283" s="1547" t="str">
        <f t="shared" si="741"/>
        <v/>
      </c>
      <c r="H283" s="1547" t="str">
        <f t="shared" si="741"/>
        <v/>
      </c>
      <c r="I283" s="1547" t="str">
        <f t="shared" si="741"/>
        <v/>
      </c>
      <c r="J283" s="1547" t="str">
        <f t="shared" si="741"/>
        <v/>
      </c>
      <c r="K283" s="1547" t="str">
        <f t="shared" si="741"/>
        <v/>
      </c>
      <c r="L283" s="1547"/>
      <c r="M283" s="1547"/>
      <c r="N283" s="1547"/>
      <c r="O283" s="1547"/>
      <c r="P283" s="1547"/>
      <c r="Q283" s="1547"/>
      <c r="R283" s="1547"/>
      <c r="S283" s="1547"/>
      <c r="T283" s="1547" t="str">
        <f t="shared" ref="T283:AC283" si="742">IF(T281="","",T281*T282)</f>
        <v/>
      </c>
      <c r="U283" s="1547" t="str">
        <f t="shared" si="742"/>
        <v/>
      </c>
      <c r="V283" s="1547" t="str">
        <f t="shared" si="742"/>
        <v/>
      </c>
      <c r="W283" s="1547" t="str">
        <f t="shared" si="742"/>
        <v/>
      </c>
      <c r="X283" s="1547" t="str">
        <f t="shared" si="742"/>
        <v/>
      </c>
      <c r="Y283" s="1547" t="str">
        <f t="shared" si="742"/>
        <v/>
      </c>
      <c r="Z283" s="1547" t="str">
        <f t="shared" si="742"/>
        <v/>
      </c>
      <c r="AA283" s="1547" t="str">
        <f t="shared" si="742"/>
        <v/>
      </c>
      <c r="AB283" s="1547" t="str">
        <f t="shared" si="742"/>
        <v/>
      </c>
      <c r="AC283" s="1547" t="str">
        <f t="shared" si="742"/>
        <v/>
      </c>
      <c r="AD283" s="1547"/>
      <c r="AE283" s="1547"/>
      <c r="AF283" s="1547"/>
      <c r="AG283" s="1547"/>
      <c r="AH283" s="1547"/>
      <c r="AI283" s="1547"/>
      <c r="AJ283" s="1547"/>
      <c r="AK283" s="1547"/>
      <c r="AL283" s="1547" t="str">
        <f t="shared" ref="AL283:AU283" si="743">IF(AL281="","",AL281*AL282)</f>
        <v/>
      </c>
      <c r="AM283" s="1547" t="str">
        <f t="shared" si="743"/>
        <v/>
      </c>
      <c r="AN283" s="1547" t="str">
        <f t="shared" si="743"/>
        <v/>
      </c>
      <c r="AO283" s="1547" t="str">
        <f t="shared" si="743"/>
        <v/>
      </c>
      <c r="AP283" s="1547" t="str">
        <f t="shared" si="743"/>
        <v/>
      </c>
      <c r="AQ283" s="1547" t="str">
        <f t="shared" si="743"/>
        <v/>
      </c>
      <c r="AR283" s="1547" t="str">
        <f t="shared" si="743"/>
        <v/>
      </c>
      <c r="AS283" s="1547" t="str">
        <f t="shared" si="743"/>
        <v/>
      </c>
      <c r="AT283" s="1547" t="str">
        <f t="shared" si="743"/>
        <v/>
      </c>
      <c r="AU283" s="1547" t="str">
        <f t="shared" si="743"/>
        <v/>
      </c>
      <c r="AV283" s="1547"/>
      <c r="AW283" s="1547"/>
      <c r="AX283" s="1547"/>
      <c r="AY283" s="1547"/>
      <c r="AZ283" s="1547"/>
      <c r="BA283" s="1547"/>
      <c r="BB283" s="1547"/>
      <c r="BC283" s="1547"/>
      <c r="BD283" s="1547" t="str">
        <f t="shared" ref="BD283:BM283" si="744">IF(BD281="","",BD281*BD282)</f>
        <v/>
      </c>
      <c r="BE283" s="1547" t="str">
        <f t="shared" si="744"/>
        <v/>
      </c>
      <c r="BF283" s="1547" t="str">
        <f t="shared" si="744"/>
        <v/>
      </c>
      <c r="BG283" s="1547" t="str">
        <f t="shared" si="744"/>
        <v/>
      </c>
      <c r="BH283" s="1547" t="str">
        <f t="shared" si="744"/>
        <v/>
      </c>
      <c r="BI283" s="1547" t="str">
        <f t="shared" si="744"/>
        <v/>
      </c>
      <c r="BJ283" s="1547" t="str">
        <f t="shared" si="744"/>
        <v/>
      </c>
      <c r="BK283" s="1547" t="str">
        <f t="shared" si="744"/>
        <v/>
      </c>
      <c r="BL283" s="1547" t="str">
        <f t="shared" si="744"/>
        <v/>
      </c>
      <c r="BM283" s="1547" t="str">
        <f t="shared" si="744"/>
        <v/>
      </c>
      <c r="BN283" s="1547"/>
      <c r="BO283" s="1547"/>
      <c r="BP283" s="1547"/>
      <c r="BQ283" s="1547"/>
      <c r="BR283" s="1547"/>
      <c r="BS283" s="1547"/>
      <c r="BT283" s="1547"/>
      <c r="BU283" s="1547"/>
      <c r="BV283" s="1547" t="str">
        <f>IF(BV281="","",BV281*BV282)</f>
        <v/>
      </c>
      <c r="BW283" s="1547" t="str">
        <f>IF(BW281="","",BW281*BW282)</f>
        <v/>
      </c>
      <c r="BX283" s="1547" t="str">
        <f>IF(BX281="","",BX281*BX282)</f>
        <v/>
      </c>
      <c r="BY283" s="1547" t="str">
        <f>IF(BY281="","",BY281*BY282)</f>
        <v/>
      </c>
      <c r="BZ283" s="1531" t="str">
        <f t="shared" si="600"/>
        <v/>
      </c>
      <c r="CA283" s="1531" t="str">
        <f t="shared" si="601"/>
        <v/>
      </c>
      <c r="CB283" s="1531" t="str">
        <f t="shared" si="602"/>
        <v/>
      </c>
      <c r="CC283" s="1532" t="str">
        <f t="shared" si="603"/>
        <v/>
      </c>
      <c r="CD283" s="1533" t="str">
        <f t="shared" si="736"/>
        <v/>
      </c>
      <c r="CE283" s="1533" t="str">
        <f t="shared" si="735"/>
        <v/>
      </c>
      <c r="CF283" s="1533" t="str">
        <f t="shared" si="735"/>
        <v/>
      </c>
      <c r="CG283" s="1533" t="str">
        <f t="shared" si="735"/>
        <v/>
      </c>
      <c r="CH283" s="1533" t="str">
        <f t="shared" si="735"/>
        <v/>
      </c>
      <c r="CI283" s="1533" t="str">
        <f t="shared" si="735"/>
        <v/>
      </c>
      <c r="CJ283" s="1533" t="str">
        <f t="shared" si="735"/>
        <v/>
      </c>
      <c r="CK283" s="1533" t="str">
        <f t="shared" si="735"/>
        <v/>
      </c>
      <c r="CL283" s="1533" t="str">
        <f t="shared" si="735"/>
        <v/>
      </c>
      <c r="CM283" s="1533" t="str">
        <f t="shared" si="735"/>
        <v/>
      </c>
      <c r="CN283" s="1534" t="str">
        <f t="shared" si="614"/>
        <v/>
      </c>
      <c r="CO283" s="1534" t="str">
        <f t="shared" si="615"/>
        <v/>
      </c>
      <c r="CP283" s="1534" t="str">
        <f t="shared" si="616"/>
        <v/>
      </c>
      <c r="CQ283" s="1534" t="str">
        <f t="shared" si="617"/>
        <v/>
      </c>
      <c r="CR283" s="1534" t="str">
        <f t="shared" si="618"/>
        <v/>
      </c>
      <c r="CS283" s="1534" t="str">
        <f t="shared" si="619"/>
        <v/>
      </c>
      <c r="CT283" s="1534" t="str">
        <f t="shared" si="620"/>
        <v/>
      </c>
      <c r="CU283" s="1534" t="str">
        <f t="shared" si="621"/>
        <v/>
      </c>
      <c r="CV283" s="1534" t="str">
        <f t="shared" si="622"/>
        <v/>
      </c>
      <c r="CW283" s="1534" t="str">
        <f t="shared" si="623"/>
        <v/>
      </c>
      <c r="CX283" s="1534" t="str">
        <f t="shared" si="624"/>
        <v/>
      </c>
      <c r="CY283" s="1534" t="str">
        <f t="shared" si="625"/>
        <v/>
      </c>
      <c r="CZ283" s="1534" t="str">
        <f t="shared" si="626"/>
        <v/>
      </c>
      <c r="DA283" s="1534" t="str">
        <f t="shared" si="627"/>
        <v/>
      </c>
      <c r="DB283" s="1534" t="str">
        <f t="shared" si="628"/>
        <v/>
      </c>
      <c r="DC283" s="1534" t="str">
        <f t="shared" si="629"/>
        <v/>
      </c>
      <c r="DD283" s="1535">
        <f t="shared" si="695"/>
        <v>0</v>
      </c>
      <c r="DE283" s="1536">
        <f t="shared" si="696"/>
        <v>0</v>
      </c>
      <c r="DF283" s="1536">
        <f t="shared" si="697"/>
        <v>0</v>
      </c>
      <c r="DG283" s="1536">
        <f t="shared" si="698"/>
        <v>0</v>
      </c>
      <c r="DH283" s="1537"/>
      <c r="DI283" s="1538"/>
      <c r="DJ283" s="1538"/>
      <c r="DK283" s="1538"/>
      <c r="DL283" s="1538"/>
      <c r="DM283" s="1538"/>
      <c r="DN283" s="1538"/>
      <c r="DO283" s="1538"/>
      <c r="DP283" s="1538"/>
    </row>
    <row r="284" spans="1:121" s="1539" customFormat="1" ht="15.75" customHeight="1">
      <c r="A284" s="1545" t="s">
        <v>258</v>
      </c>
      <c r="B284" s="1548"/>
      <c r="C284" s="1548"/>
      <c r="D284" s="1548"/>
      <c r="E284" s="1548"/>
      <c r="F284" s="1548"/>
      <c r="G284" s="1548"/>
      <c r="H284" s="1548"/>
      <c r="I284" s="1548"/>
      <c r="J284" s="1548"/>
      <c r="K284" s="1548"/>
      <c r="L284" s="1548"/>
      <c r="M284" s="1548"/>
      <c r="N284" s="1548"/>
      <c r="O284" s="1548"/>
      <c r="P284" s="1548"/>
      <c r="Q284" s="1548"/>
      <c r="R284" s="1548"/>
      <c r="S284" s="1530"/>
      <c r="T284" s="1548"/>
      <c r="U284" s="1548"/>
      <c r="V284" s="1548"/>
      <c r="W284" s="1548"/>
      <c r="X284" s="1548"/>
      <c r="Y284" s="1548"/>
      <c r="Z284" s="1548"/>
      <c r="AA284" s="1548"/>
      <c r="AB284" s="1548"/>
      <c r="AC284" s="1548"/>
      <c r="AD284" s="1548"/>
      <c r="AE284" s="1548"/>
      <c r="AF284" s="1548"/>
      <c r="AG284" s="1548"/>
      <c r="AH284" s="1548"/>
      <c r="AI284" s="1548"/>
      <c r="AJ284" s="1548"/>
      <c r="AK284" s="1530"/>
      <c r="AL284" s="1548"/>
      <c r="AM284" s="1548"/>
      <c r="AN284" s="1548"/>
      <c r="AO284" s="1548"/>
      <c r="AP284" s="1548"/>
      <c r="AQ284" s="1548"/>
      <c r="AR284" s="1548"/>
      <c r="AS284" s="1548"/>
      <c r="AT284" s="1548"/>
      <c r="AU284" s="1548"/>
      <c r="AV284" s="1548"/>
      <c r="AW284" s="1548"/>
      <c r="AX284" s="1548"/>
      <c r="AY284" s="1548"/>
      <c r="AZ284" s="1548"/>
      <c r="BA284" s="1548"/>
      <c r="BB284" s="1548"/>
      <c r="BC284" s="1530"/>
      <c r="BD284" s="1548"/>
      <c r="BE284" s="1548"/>
      <c r="BF284" s="1548"/>
      <c r="BG284" s="1548"/>
      <c r="BH284" s="1548"/>
      <c r="BI284" s="1548"/>
      <c r="BJ284" s="1548"/>
      <c r="BK284" s="1548"/>
      <c r="BL284" s="1548"/>
      <c r="BM284" s="1548"/>
      <c r="BN284" s="1548"/>
      <c r="BO284" s="1548"/>
      <c r="BP284" s="1548"/>
      <c r="BQ284" s="1548"/>
      <c r="BR284" s="1548"/>
      <c r="BS284" s="1548"/>
      <c r="BT284" s="1548"/>
      <c r="BU284" s="1530"/>
      <c r="BV284" s="1548"/>
      <c r="BW284" s="1548"/>
      <c r="BX284" s="1548"/>
      <c r="BY284" s="1548"/>
      <c r="BZ284" s="1531" t="str">
        <f t="shared" si="600"/>
        <v/>
      </c>
      <c r="CA284" s="1531" t="str">
        <f t="shared" si="601"/>
        <v/>
      </c>
      <c r="CB284" s="1531" t="str">
        <f t="shared" si="602"/>
        <v/>
      </c>
      <c r="CC284" s="1532" t="str">
        <f t="shared" si="603"/>
        <v/>
      </c>
      <c r="CD284" s="1533" t="str">
        <f t="shared" si="736"/>
        <v/>
      </c>
      <c r="CE284" s="1533" t="str">
        <f t="shared" si="735"/>
        <v/>
      </c>
      <c r="CF284" s="1533" t="str">
        <f t="shared" si="735"/>
        <v/>
      </c>
      <c r="CG284" s="1533" t="str">
        <f t="shared" si="735"/>
        <v/>
      </c>
      <c r="CH284" s="1533" t="str">
        <f t="shared" si="735"/>
        <v/>
      </c>
      <c r="CI284" s="1533" t="str">
        <f t="shared" si="735"/>
        <v/>
      </c>
      <c r="CJ284" s="1533" t="str">
        <f t="shared" si="735"/>
        <v/>
      </c>
      <c r="CK284" s="1533" t="str">
        <f t="shared" si="735"/>
        <v/>
      </c>
      <c r="CL284" s="1533" t="str">
        <f t="shared" si="735"/>
        <v/>
      </c>
      <c r="CM284" s="1533" t="str">
        <f t="shared" si="735"/>
        <v/>
      </c>
      <c r="CN284" s="1534" t="str">
        <f t="shared" si="614"/>
        <v/>
      </c>
      <c r="CO284" s="1534" t="str">
        <f t="shared" si="615"/>
        <v/>
      </c>
      <c r="CP284" s="1534" t="str">
        <f t="shared" si="616"/>
        <v/>
      </c>
      <c r="CQ284" s="1534" t="str">
        <f t="shared" si="617"/>
        <v/>
      </c>
      <c r="CR284" s="1534" t="str">
        <f t="shared" si="618"/>
        <v/>
      </c>
      <c r="CS284" s="1534" t="str">
        <f t="shared" si="619"/>
        <v/>
      </c>
      <c r="CT284" s="1534" t="str">
        <f t="shared" si="620"/>
        <v/>
      </c>
      <c r="CU284" s="1534" t="str">
        <f t="shared" si="621"/>
        <v/>
      </c>
      <c r="CV284" s="1534" t="str">
        <f t="shared" si="622"/>
        <v/>
      </c>
      <c r="CW284" s="1534" t="str">
        <f t="shared" si="623"/>
        <v/>
      </c>
      <c r="CX284" s="1534" t="str">
        <f t="shared" si="624"/>
        <v/>
      </c>
      <c r="CY284" s="1534" t="str">
        <f t="shared" si="625"/>
        <v/>
      </c>
      <c r="CZ284" s="1534" t="str">
        <f t="shared" si="626"/>
        <v/>
      </c>
      <c r="DA284" s="1534" t="str">
        <f t="shared" si="627"/>
        <v/>
      </c>
      <c r="DB284" s="1534" t="str">
        <f t="shared" si="628"/>
        <v/>
      </c>
      <c r="DC284" s="1534" t="str">
        <f t="shared" si="629"/>
        <v/>
      </c>
      <c r="DD284" s="1535">
        <f t="shared" si="695"/>
        <v>0</v>
      </c>
      <c r="DE284" s="1536">
        <f t="shared" si="696"/>
        <v>0</v>
      </c>
      <c r="DF284" s="1536">
        <f t="shared" si="697"/>
        <v>0</v>
      </c>
      <c r="DG284" s="1536">
        <f t="shared" si="698"/>
        <v>0</v>
      </c>
      <c r="DH284" s="1537"/>
      <c r="DI284" s="1538"/>
      <c r="DJ284" s="1538"/>
      <c r="DK284" s="1538"/>
      <c r="DL284" s="1538"/>
      <c r="DM284" s="1538"/>
      <c r="DN284" s="1538"/>
      <c r="DO284" s="1538"/>
      <c r="DP284" s="1538"/>
    </row>
    <row r="285" spans="1:121" s="1557" customFormat="1" ht="15.75" customHeight="1">
      <c r="A285" s="1549" t="s">
        <v>227</v>
      </c>
      <c r="B285" s="1550" t="str">
        <f t="shared" ref="B285:K285" si="745">IF(B279="","",(B279-B281-B284)*B280/B$46/365/$G$1)</f>
        <v/>
      </c>
      <c r="C285" s="1550" t="str">
        <f t="shared" si="745"/>
        <v/>
      </c>
      <c r="D285" s="1550" t="str">
        <f t="shared" si="745"/>
        <v/>
      </c>
      <c r="E285" s="1550" t="str">
        <f t="shared" si="745"/>
        <v/>
      </c>
      <c r="F285" s="1550" t="str">
        <f t="shared" si="745"/>
        <v/>
      </c>
      <c r="G285" s="1550" t="str">
        <f t="shared" si="745"/>
        <v/>
      </c>
      <c r="H285" s="1550" t="str">
        <f t="shared" si="745"/>
        <v/>
      </c>
      <c r="I285" s="1550" t="str">
        <f t="shared" si="745"/>
        <v/>
      </c>
      <c r="J285" s="1550" t="str">
        <f t="shared" si="745"/>
        <v/>
      </c>
      <c r="K285" s="1550" t="str">
        <f t="shared" si="745"/>
        <v/>
      </c>
      <c r="L285" s="1550"/>
      <c r="M285" s="1550"/>
      <c r="N285" s="1550"/>
      <c r="O285" s="1550"/>
      <c r="P285" s="1550"/>
      <c r="Q285" s="1550"/>
      <c r="R285" s="1550"/>
      <c r="S285" s="1550"/>
      <c r="T285" s="1550" t="str">
        <f t="shared" ref="T285:AC285" si="746">IF(T279="","",(T279-T281-T284)*T280/T$46/365/$G$1)</f>
        <v/>
      </c>
      <c r="U285" s="1550" t="str">
        <f t="shared" si="746"/>
        <v/>
      </c>
      <c r="V285" s="1550" t="str">
        <f t="shared" si="746"/>
        <v/>
      </c>
      <c r="W285" s="1550" t="str">
        <f t="shared" si="746"/>
        <v/>
      </c>
      <c r="X285" s="1550" t="str">
        <f t="shared" si="746"/>
        <v/>
      </c>
      <c r="Y285" s="1550" t="str">
        <f t="shared" si="746"/>
        <v/>
      </c>
      <c r="Z285" s="1550" t="str">
        <f t="shared" si="746"/>
        <v/>
      </c>
      <c r="AA285" s="1550" t="str">
        <f t="shared" si="746"/>
        <v/>
      </c>
      <c r="AB285" s="1550" t="str">
        <f t="shared" si="746"/>
        <v/>
      </c>
      <c r="AC285" s="1550" t="str">
        <f t="shared" si="746"/>
        <v/>
      </c>
      <c r="AD285" s="1550"/>
      <c r="AE285" s="1550"/>
      <c r="AF285" s="1550"/>
      <c r="AG285" s="1550"/>
      <c r="AH285" s="1550"/>
      <c r="AI285" s="1550"/>
      <c r="AJ285" s="1550"/>
      <c r="AK285" s="1550"/>
      <c r="AL285" s="1550" t="str">
        <f t="shared" ref="AL285:AU285" si="747">IF(AL279="","",(AL279-AL281-AL284)*AL280/AL$46/365/$G$1)</f>
        <v/>
      </c>
      <c r="AM285" s="1550" t="str">
        <f t="shared" si="747"/>
        <v/>
      </c>
      <c r="AN285" s="1550" t="str">
        <f t="shared" si="747"/>
        <v/>
      </c>
      <c r="AO285" s="1550" t="str">
        <f t="shared" si="747"/>
        <v/>
      </c>
      <c r="AP285" s="1550" t="str">
        <f t="shared" si="747"/>
        <v/>
      </c>
      <c r="AQ285" s="1550" t="str">
        <f t="shared" si="747"/>
        <v/>
      </c>
      <c r="AR285" s="1550" t="str">
        <f t="shared" si="747"/>
        <v/>
      </c>
      <c r="AS285" s="1550" t="str">
        <f t="shared" si="747"/>
        <v/>
      </c>
      <c r="AT285" s="1550" t="str">
        <f t="shared" si="747"/>
        <v/>
      </c>
      <c r="AU285" s="1550" t="str">
        <f t="shared" si="747"/>
        <v/>
      </c>
      <c r="AV285" s="1550"/>
      <c r="AW285" s="1550"/>
      <c r="AX285" s="1550"/>
      <c r="AY285" s="1550"/>
      <c r="AZ285" s="1550"/>
      <c r="BA285" s="1550"/>
      <c r="BB285" s="1550"/>
      <c r="BC285" s="1550"/>
      <c r="BD285" s="1550" t="str">
        <f t="shared" ref="BD285:BM285" si="748">IF(BD279="","",(BD279-BD281-BD284)*BD280/BD$46/365/$G$1)</f>
        <v/>
      </c>
      <c r="BE285" s="1550" t="str">
        <f t="shared" si="748"/>
        <v/>
      </c>
      <c r="BF285" s="1550" t="str">
        <f t="shared" si="748"/>
        <v/>
      </c>
      <c r="BG285" s="1550" t="str">
        <f t="shared" si="748"/>
        <v/>
      </c>
      <c r="BH285" s="1550" t="str">
        <f t="shared" si="748"/>
        <v/>
      </c>
      <c r="BI285" s="1550" t="str">
        <f t="shared" si="748"/>
        <v/>
      </c>
      <c r="BJ285" s="1550" t="str">
        <f t="shared" si="748"/>
        <v/>
      </c>
      <c r="BK285" s="1550" t="str">
        <f t="shared" si="748"/>
        <v/>
      </c>
      <c r="BL285" s="1550" t="str">
        <f t="shared" si="748"/>
        <v/>
      </c>
      <c r="BM285" s="1550" t="str">
        <f t="shared" si="748"/>
        <v/>
      </c>
      <c r="BN285" s="1550"/>
      <c r="BO285" s="1550"/>
      <c r="BP285" s="1550"/>
      <c r="BQ285" s="1550"/>
      <c r="BR285" s="1550"/>
      <c r="BS285" s="1550"/>
      <c r="BT285" s="1550"/>
      <c r="BU285" s="1550"/>
      <c r="BV285" s="1550" t="str">
        <f>IF(BV279="","",(BV279-BV281-BV284)*BV280/BV$46/365/$G$1)</f>
        <v/>
      </c>
      <c r="BW285" s="1550" t="str">
        <f>IF(BW279="","",(BW279-BW281-BW284)*BW280/BW$46/365/$G$1)</f>
        <v/>
      </c>
      <c r="BX285" s="1550" t="str">
        <f>IF(BX279="","",(BX279-BX281-BX284)*BX280/BX$46/365/$G$1)</f>
        <v/>
      </c>
      <c r="BY285" s="1550" t="str">
        <f>IF(BY279="","",(BY279-BY281-BY284)*BY280/BY$46/365/$G$1)</f>
        <v/>
      </c>
      <c r="BZ285" s="1531" t="str">
        <f t="shared" si="600"/>
        <v/>
      </c>
      <c r="CA285" s="1551" t="str">
        <f t="shared" si="601"/>
        <v/>
      </c>
      <c r="CB285" s="1551" t="str">
        <f t="shared" si="602"/>
        <v/>
      </c>
      <c r="CC285" s="1552" t="str">
        <f t="shared" si="603"/>
        <v/>
      </c>
      <c r="CD285" s="15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3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3" t="str">
        <f t="shared" si="749"/>
        <v/>
      </c>
      <c r="CG285" s="1553" t="str">
        <f t="shared" si="749"/>
        <v/>
      </c>
      <c r="CH285" s="1553" t="str">
        <f t="shared" si="749"/>
        <v/>
      </c>
      <c r="CI285" s="1553" t="str">
        <f t="shared" si="749"/>
        <v/>
      </c>
      <c r="CJ285" s="1553" t="str">
        <f t="shared" si="749"/>
        <v/>
      </c>
      <c r="CK285" s="1553" t="str">
        <f t="shared" si="749"/>
        <v/>
      </c>
      <c r="CL285" s="1553" t="str">
        <f t="shared" si="749"/>
        <v/>
      </c>
      <c r="CM285" s="1553" t="str">
        <f t="shared" si="749"/>
        <v/>
      </c>
      <c r="CN285" s="1554" t="str">
        <f t="shared" si="614"/>
        <v/>
      </c>
      <c r="CO285" s="1554" t="str">
        <f t="shared" si="615"/>
        <v/>
      </c>
      <c r="CP285" s="1554" t="str">
        <f t="shared" si="616"/>
        <v/>
      </c>
      <c r="CQ285" s="1554" t="str">
        <f t="shared" si="617"/>
        <v/>
      </c>
      <c r="CR285" s="1554" t="str">
        <f t="shared" si="618"/>
        <v/>
      </c>
      <c r="CS285" s="1554" t="str">
        <f t="shared" si="619"/>
        <v/>
      </c>
      <c r="CT285" s="1554" t="str">
        <f t="shared" si="620"/>
        <v/>
      </c>
      <c r="CU285" s="1554" t="str">
        <f t="shared" si="621"/>
        <v/>
      </c>
      <c r="CV285" s="1554" t="str">
        <f t="shared" si="622"/>
        <v/>
      </c>
      <c r="CW285" s="1554" t="str">
        <f t="shared" si="623"/>
        <v/>
      </c>
      <c r="CX285" s="1554" t="str">
        <f t="shared" si="624"/>
        <v/>
      </c>
      <c r="CY285" s="1554" t="str">
        <f t="shared" si="625"/>
        <v/>
      </c>
      <c r="CZ285" s="1554" t="str">
        <f t="shared" si="626"/>
        <v/>
      </c>
      <c r="DA285" s="1554" t="str">
        <f t="shared" si="627"/>
        <v/>
      </c>
      <c r="DB285" s="1554" t="str">
        <f t="shared" si="628"/>
        <v/>
      </c>
      <c r="DC285" s="1554" t="str">
        <f t="shared" si="629"/>
        <v/>
      </c>
      <c r="DD285" s="1535">
        <f t="shared" si="695"/>
        <v>0</v>
      </c>
      <c r="DE285" s="1536">
        <f t="shared" si="696"/>
        <v>0</v>
      </c>
      <c r="DF285" s="1536">
        <f t="shared" si="697"/>
        <v>0</v>
      </c>
      <c r="DG285" s="1536">
        <f t="shared" si="698"/>
        <v>0</v>
      </c>
      <c r="DH285" s="1555"/>
      <c r="DI285" s="1556"/>
      <c r="DJ285" s="1556"/>
      <c r="DK285" s="1556"/>
      <c r="DL285" s="1556"/>
      <c r="DM285" s="1556"/>
      <c r="DN285" s="1556"/>
      <c r="DO285" s="1556"/>
      <c r="DP285" s="1538"/>
    </row>
    <row r="286" spans="1:121" s="1539" customFormat="1" ht="15.75" customHeight="1">
      <c r="A286" s="1528" t="s">
        <v>911</v>
      </c>
      <c r="B286" s="1529"/>
      <c r="C286" s="1529"/>
      <c r="D286" s="1529"/>
      <c r="E286" s="1529"/>
      <c r="F286" s="1529"/>
      <c r="G286" s="1529"/>
      <c r="H286" s="1529"/>
      <c r="I286" s="1529"/>
      <c r="J286" s="1529"/>
      <c r="K286" s="1529"/>
      <c r="L286" s="1529"/>
      <c r="M286" s="1529"/>
      <c r="N286" s="1529"/>
      <c r="O286" s="1529"/>
      <c r="P286" s="1529"/>
      <c r="Q286" s="1529"/>
      <c r="R286" s="1529"/>
      <c r="S286" s="1530"/>
      <c r="T286" s="1529"/>
      <c r="U286" s="1529"/>
      <c r="V286" s="1529"/>
      <c r="W286" s="1529"/>
      <c r="X286" s="1529"/>
      <c r="Y286" s="1529"/>
      <c r="Z286" s="1529"/>
      <c r="AA286" s="1529"/>
      <c r="AB286" s="1529"/>
      <c r="AC286" s="1529"/>
      <c r="AD286" s="1529"/>
      <c r="AE286" s="1529"/>
      <c r="AF286" s="1529"/>
      <c r="AG286" s="1529"/>
      <c r="AH286" s="1529"/>
      <c r="AI286" s="1558"/>
      <c r="AJ286" s="1529"/>
      <c r="AK286" s="1530"/>
      <c r="AL286" s="1529"/>
      <c r="AM286" s="1529"/>
      <c r="AN286" s="1529"/>
      <c r="AO286" s="1529"/>
      <c r="AP286" s="1529"/>
      <c r="AQ286" s="1529"/>
      <c r="AR286" s="1529"/>
      <c r="AS286" s="1529"/>
      <c r="AT286" s="1529"/>
      <c r="AU286" s="1529"/>
      <c r="AV286" s="1529"/>
      <c r="AW286" s="1529"/>
      <c r="AX286" s="1529"/>
      <c r="AY286" s="1529"/>
      <c r="AZ286" s="1529"/>
      <c r="BA286" s="1559"/>
      <c r="BB286" s="1529"/>
      <c r="BC286" s="1530"/>
      <c r="BD286" s="1529"/>
      <c r="BE286" s="1529"/>
      <c r="BF286" s="1529"/>
      <c r="BG286" s="1529"/>
      <c r="BH286" s="1529"/>
      <c r="BI286" s="1529"/>
      <c r="BJ286" s="1529"/>
      <c r="BK286" s="1529"/>
      <c r="BL286" s="1529"/>
      <c r="BM286" s="1529"/>
      <c r="BN286" s="1529"/>
      <c r="BO286" s="1529"/>
      <c r="BP286" s="1529"/>
      <c r="BQ286" s="1529"/>
      <c r="BR286" s="1559"/>
      <c r="BS286" s="1529"/>
      <c r="BT286" s="1559"/>
      <c r="BU286" s="1530"/>
      <c r="BV286" s="1529"/>
      <c r="BW286" s="1529"/>
      <c r="BX286" s="1529"/>
      <c r="BY286" s="1529"/>
      <c r="BZ286" s="1531" t="str">
        <f t="shared" ref="BZ286:BZ300" si="750">IF(DD286&lt;3,"",(SUM(B286:R286)-MIN(B286:R286)-MAX(B286:R286))/(DD286-2))</f>
        <v/>
      </c>
      <c r="CA286" s="1531" t="str">
        <f t="shared" ref="CA286:CA300" si="751">IF(DE286&lt;3,"",(SUM(T286:AJ286)-MIN(T286:AJ286)-MAX(T286:AJ286))/(DE286-2))</f>
        <v/>
      </c>
      <c r="CB286" s="1531" t="str">
        <f t="shared" ref="CB286:CB300" si="752">IF(DF286&lt;3,"",(SUM(AL286:BB286)-MIN(AL286:BB286)-MAX(AL286:BB286))/(DF286-2))</f>
        <v/>
      </c>
      <c r="CC286" s="1532" t="str">
        <f t="shared" ref="CC286:CC300" si="753">IF(DG286&lt;3,"",(SUM(BD286:BT286)-MIN(BD286:BT286)-MAX(BD286:BT286))/(DG286-2))</f>
        <v/>
      </c>
      <c r="CD286" s="1533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3" t="str">
        <f t="shared" si="749"/>
        <v/>
      </c>
      <c r="CF286" s="1533" t="str">
        <f t="shared" si="749"/>
        <v/>
      </c>
      <c r="CG286" s="1533" t="str">
        <f t="shared" si="749"/>
        <v/>
      </c>
      <c r="CH286" s="1533" t="str">
        <f t="shared" si="749"/>
        <v/>
      </c>
      <c r="CI286" s="1533" t="str">
        <f t="shared" si="749"/>
        <v/>
      </c>
      <c r="CJ286" s="1533" t="str">
        <f t="shared" si="749"/>
        <v/>
      </c>
      <c r="CK286" s="1533" t="str">
        <f t="shared" si="749"/>
        <v/>
      </c>
      <c r="CL286" s="1533" t="str">
        <f t="shared" si="749"/>
        <v/>
      </c>
      <c r="CM286" s="1533" t="str">
        <f t="shared" si="749"/>
        <v/>
      </c>
      <c r="CN286" s="1534" t="str">
        <f t="shared" si="614"/>
        <v/>
      </c>
      <c r="CO286" s="1534" t="str">
        <f t="shared" si="615"/>
        <v/>
      </c>
      <c r="CP286" s="1534" t="str">
        <f t="shared" si="616"/>
        <v/>
      </c>
      <c r="CQ286" s="1534" t="str">
        <f t="shared" si="617"/>
        <v/>
      </c>
      <c r="CR286" s="1534" t="str">
        <f t="shared" si="618"/>
        <v/>
      </c>
      <c r="CS286" s="1534" t="str">
        <f t="shared" si="619"/>
        <v/>
      </c>
      <c r="CT286" s="1534" t="str">
        <f t="shared" si="620"/>
        <v/>
      </c>
      <c r="CU286" s="1534" t="str">
        <f t="shared" si="621"/>
        <v/>
      </c>
      <c r="CV286" s="1534" t="str">
        <f t="shared" si="622"/>
        <v/>
      </c>
      <c r="CW286" s="1534" t="str">
        <f t="shared" si="623"/>
        <v/>
      </c>
      <c r="CX286" s="1534" t="str">
        <f t="shared" si="624"/>
        <v/>
      </c>
      <c r="CY286" s="1534" t="str">
        <f t="shared" si="625"/>
        <v/>
      </c>
      <c r="CZ286" s="1534" t="str">
        <f t="shared" si="626"/>
        <v/>
      </c>
      <c r="DA286" s="1534" t="str">
        <f t="shared" si="627"/>
        <v/>
      </c>
      <c r="DB286" s="1534" t="str">
        <f t="shared" si="628"/>
        <v/>
      </c>
      <c r="DC286" s="1534" t="str">
        <f t="shared" si="629"/>
        <v/>
      </c>
      <c r="DD286" s="1535">
        <f t="shared" si="695"/>
        <v>0</v>
      </c>
      <c r="DE286" s="1536">
        <f t="shared" si="696"/>
        <v>0</v>
      </c>
      <c r="DF286" s="1536">
        <f t="shared" si="697"/>
        <v>0</v>
      </c>
      <c r="DG286" s="1536">
        <f t="shared" si="698"/>
        <v>0</v>
      </c>
      <c r="DH286" s="1537"/>
      <c r="DI286" s="1538"/>
      <c r="DJ286" s="1538"/>
      <c r="DK286" s="1538"/>
      <c r="DL286" s="1538"/>
      <c r="DM286" s="1538"/>
      <c r="DN286" s="1538"/>
      <c r="DO286" s="1538"/>
      <c r="DP286" s="1538"/>
    </row>
    <row r="287" spans="1:121" s="1539" customFormat="1" ht="15.75" customHeight="1">
      <c r="A287" s="1540" t="s">
        <v>260</v>
      </c>
      <c r="B287" s="1541">
        <f>3360*$K$1</f>
        <v>14067.647999999999</v>
      </c>
      <c r="C287" s="1541">
        <f t="shared" ref="C287:K287" si="755">3360*$K$1</f>
        <v>14067.647999999999</v>
      </c>
      <c r="D287" s="1541">
        <f t="shared" si="755"/>
        <v>14067.647999999999</v>
      </c>
      <c r="E287" s="1541">
        <f t="shared" si="755"/>
        <v>14067.647999999999</v>
      </c>
      <c r="F287" s="1541">
        <f t="shared" si="755"/>
        <v>14067.647999999999</v>
      </c>
      <c r="G287" s="1541">
        <f t="shared" si="755"/>
        <v>14067.647999999999</v>
      </c>
      <c r="H287" s="1541">
        <f t="shared" si="755"/>
        <v>14067.647999999999</v>
      </c>
      <c r="I287" s="1541">
        <f t="shared" si="755"/>
        <v>14067.647999999999</v>
      </c>
      <c r="J287" s="1541">
        <f t="shared" si="755"/>
        <v>14067.647999999999</v>
      </c>
      <c r="K287" s="1541">
        <f t="shared" si="755"/>
        <v>14067.647999999999</v>
      </c>
      <c r="L287" s="1541"/>
      <c r="M287" s="1541"/>
      <c r="N287" s="1541"/>
      <c r="O287" s="1541"/>
      <c r="P287" s="1541"/>
      <c r="Q287" s="1541"/>
      <c r="R287" s="1541"/>
      <c r="S287" s="1529"/>
      <c r="T287" s="1541">
        <f>3360*$K$1</f>
        <v>14067.647999999999</v>
      </c>
      <c r="U287" s="1541">
        <f t="shared" ref="U287:AC287" si="756">3360*$K$1</f>
        <v>14067.647999999999</v>
      </c>
      <c r="V287" s="1541">
        <f t="shared" si="756"/>
        <v>14067.647999999999</v>
      </c>
      <c r="W287" s="1541">
        <f t="shared" si="756"/>
        <v>14067.647999999999</v>
      </c>
      <c r="X287" s="1541">
        <f t="shared" si="756"/>
        <v>14067.647999999999</v>
      </c>
      <c r="Y287" s="1541">
        <f t="shared" si="756"/>
        <v>14067.647999999999</v>
      </c>
      <c r="Z287" s="1541">
        <f t="shared" si="756"/>
        <v>14067.647999999999</v>
      </c>
      <c r="AA287" s="1541">
        <f t="shared" si="756"/>
        <v>14067.647999999999</v>
      </c>
      <c r="AB287" s="1541">
        <f t="shared" si="756"/>
        <v>14067.647999999999</v>
      </c>
      <c r="AC287" s="1541">
        <f t="shared" si="756"/>
        <v>14067.647999999999</v>
      </c>
      <c r="AD287" s="1541"/>
      <c r="AE287" s="1541"/>
      <c r="AF287" s="1541"/>
      <c r="AG287" s="1541"/>
      <c r="AH287" s="1541"/>
      <c r="AI287" s="1541"/>
      <c r="AJ287" s="1541"/>
      <c r="AK287" s="1529"/>
      <c r="AL287" s="1541">
        <f>3360*$K$1</f>
        <v>14067.647999999999</v>
      </c>
      <c r="AM287" s="1541">
        <f t="shared" ref="AM287:AU287" si="757">3360*$K$1</f>
        <v>14067.647999999999</v>
      </c>
      <c r="AN287" s="1541">
        <f t="shared" si="757"/>
        <v>14067.647999999999</v>
      </c>
      <c r="AO287" s="1541">
        <f t="shared" si="757"/>
        <v>14067.647999999999</v>
      </c>
      <c r="AP287" s="1541">
        <f t="shared" si="757"/>
        <v>14067.647999999999</v>
      </c>
      <c r="AQ287" s="1541">
        <f t="shared" si="757"/>
        <v>14067.647999999999</v>
      </c>
      <c r="AR287" s="1541">
        <f t="shared" si="757"/>
        <v>14067.647999999999</v>
      </c>
      <c r="AS287" s="1541">
        <f t="shared" si="757"/>
        <v>14067.647999999999</v>
      </c>
      <c r="AT287" s="1541">
        <f t="shared" si="757"/>
        <v>14067.647999999999</v>
      </c>
      <c r="AU287" s="1541">
        <f t="shared" si="757"/>
        <v>14067.647999999999</v>
      </c>
      <c r="AV287" s="1541"/>
      <c r="AW287" s="1541"/>
      <c r="AX287" s="1541"/>
      <c r="AY287" s="1541"/>
      <c r="AZ287" s="1541"/>
      <c r="BA287" s="1541"/>
      <c r="BB287" s="1541"/>
      <c r="BC287" s="1529"/>
      <c r="BD287" s="1541">
        <f>3360*$K$1</f>
        <v>14067.647999999999</v>
      </c>
      <c r="BE287" s="1541">
        <f t="shared" ref="BE287:BY287" si="758">3360*$K$1</f>
        <v>14067.647999999999</v>
      </c>
      <c r="BF287" s="1541">
        <f t="shared" si="758"/>
        <v>14067.647999999999</v>
      </c>
      <c r="BG287" s="1541">
        <f t="shared" si="758"/>
        <v>14067.647999999999</v>
      </c>
      <c r="BH287" s="1541">
        <f t="shared" si="758"/>
        <v>14067.647999999999</v>
      </c>
      <c r="BI287" s="1541">
        <f t="shared" si="758"/>
        <v>14067.647999999999</v>
      </c>
      <c r="BJ287" s="1541">
        <f t="shared" si="758"/>
        <v>14067.647999999999</v>
      </c>
      <c r="BK287" s="1541">
        <f t="shared" si="758"/>
        <v>14067.647999999999</v>
      </c>
      <c r="BL287" s="1541">
        <f t="shared" si="758"/>
        <v>14067.647999999999</v>
      </c>
      <c r="BM287" s="1541">
        <f t="shared" si="758"/>
        <v>14067.647999999999</v>
      </c>
      <c r="BN287" s="1541"/>
      <c r="BO287" s="1541"/>
      <c r="BP287" s="1541"/>
      <c r="BQ287" s="1541"/>
      <c r="BR287" s="1541"/>
      <c r="BS287" s="1541"/>
      <c r="BT287" s="1541"/>
      <c r="BU287" s="1560"/>
      <c r="BV287" s="1541">
        <f t="shared" si="758"/>
        <v>14067.647999999999</v>
      </c>
      <c r="BW287" s="1541">
        <f t="shared" si="758"/>
        <v>14067.647999999999</v>
      </c>
      <c r="BX287" s="1541">
        <f t="shared" si="758"/>
        <v>14067.647999999999</v>
      </c>
      <c r="BY287" s="1541">
        <f t="shared" si="758"/>
        <v>14067.647999999999</v>
      </c>
      <c r="BZ287" s="1531">
        <f t="shared" si="750"/>
        <v>14067.647999999997</v>
      </c>
      <c r="CA287" s="1531">
        <f t="shared" si="751"/>
        <v>14067.647999999997</v>
      </c>
      <c r="CB287" s="1531">
        <f t="shared" si="752"/>
        <v>14067.647999999997</v>
      </c>
      <c r="CC287" s="1532">
        <f t="shared" si="753"/>
        <v>14067.647999999997</v>
      </c>
      <c r="CD287" s="1533">
        <f t="shared" si="754"/>
        <v>14067.647999999999</v>
      </c>
      <c r="CE287" s="1533">
        <f t="shared" si="749"/>
        <v>14067.647999999999</v>
      </c>
      <c r="CF287" s="1533">
        <f t="shared" si="749"/>
        <v>14067.647999999999</v>
      </c>
      <c r="CG287" s="1533">
        <f t="shared" si="749"/>
        <v>14067.647999999999</v>
      </c>
      <c r="CH287" s="1533">
        <f t="shared" si="749"/>
        <v>14067.647999999999</v>
      </c>
      <c r="CI287" s="1533">
        <f t="shared" si="749"/>
        <v>14067.647999999999</v>
      </c>
      <c r="CJ287" s="1533">
        <f t="shared" si="749"/>
        <v>14067.647999999999</v>
      </c>
      <c r="CK287" s="1533">
        <f t="shared" si="749"/>
        <v>14067.647999999999</v>
      </c>
      <c r="CL287" s="1533">
        <f t="shared" si="749"/>
        <v>14067.647999999999</v>
      </c>
      <c r="CM287" s="1533">
        <f t="shared" si="749"/>
        <v>14067.647999999999</v>
      </c>
      <c r="CN287" s="1534" t="str">
        <f t="shared" si="614"/>
        <v/>
      </c>
      <c r="CO287" s="1534" t="str">
        <f t="shared" si="615"/>
        <v/>
      </c>
      <c r="CP287" s="1534" t="str">
        <f t="shared" si="616"/>
        <v/>
      </c>
      <c r="CQ287" s="1534">
        <f t="shared" si="617"/>
        <v>14067.647999999999</v>
      </c>
      <c r="CR287" s="1534">
        <f t="shared" si="618"/>
        <v>14067.647999999999</v>
      </c>
      <c r="CS287" s="1534">
        <f t="shared" si="619"/>
        <v>14067.647999999999</v>
      </c>
      <c r="CT287" s="1534">
        <f t="shared" si="620"/>
        <v>14067.647999999999</v>
      </c>
      <c r="CU287" s="1534">
        <f t="shared" si="621"/>
        <v>14067.647999999999</v>
      </c>
      <c r="CV287" s="1534">
        <f t="shared" si="622"/>
        <v>14067.647999999999</v>
      </c>
      <c r="CW287" s="1534">
        <f t="shared" si="623"/>
        <v>14067.647999999999</v>
      </c>
      <c r="CX287" s="1534">
        <f t="shared" si="624"/>
        <v>14067.647999999999</v>
      </c>
      <c r="CY287" s="1534">
        <f t="shared" si="625"/>
        <v>14067.647999999999</v>
      </c>
      <c r="CZ287" s="1534">
        <f t="shared" si="626"/>
        <v>14067.647999999999</v>
      </c>
      <c r="DA287" s="1534" t="str">
        <f t="shared" si="627"/>
        <v/>
      </c>
      <c r="DB287" s="1534" t="str">
        <f t="shared" si="628"/>
        <v/>
      </c>
      <c r="DC287" s="1534" t="str">
        <f t="shared" si="629"/>
        <v/>
      </c>
      <c r="DD287" s="1535">
        <f t="shared" si="695"/>
        <v>10</v>
      </c>
      <c r="DE287" s="1536">
        <f t="shared" si="696"/>
        <v>10</v>
      </c>
      <c r="DF287" s="1536">
        <f t="shared" si="697"/>
        <v>10</v>
      </c>
      <c r="DG287" s="1536">
        <f t="shared" si="698"/>
        <v>10</v>
      </c>
      <c r="DH287" s="1537"/>
      <c r="DI287" s="1538"/>
      <c r="DJ287" s="1538"/>
      <c r="DK287" s="1538"/>
      <c r="DL287" s="1538"/>
      <c r="DM287" s="1538"/>
      <c r="DN287" s="1538"/>
      <c r="DO287" s="1538"/>
      <c r="DP287" s="1538"/>
    </row>
    <row r="288" spans="1:121" s="1539" customFormat="1" ht="15.75" customHeight="1">
      <c r="A288" s="1542" t="s">
        <v>257</v>
      </c>
      <c r="B288" s="1543"/>
      <c r="C288" s="1543"/>
      <c r="D288" s="1543"/>
      <c r="E288" s="1543"/>
      <c r="F288" s="1543"/>
      <c r="G288" s="1543"/>
      <c r="H288" s="1543"/>
      <c r="I288" s="1543"/>
      <c r="J288" s="1543"/>
      <c r="K288" s="1543"/>
      <c r="L288" s="1543"/>
      <c r="M288" s="1543"/>
      <c r="N288" s="1543"/>
      <c r="O288" s="1543"/>
      <c r="P288" s="1543"/>
      <c r="Q288" s="1543"/>
      <c r="R288" s="1543"/>
      <c r="S288" s="1561"/>
      <c r="T288" s="1543"/>
      <c r="U288" s="1543"/>
      <c r="V288" s="1543"/>
      <c r="W288" s="1543"/>
      <c r="X288" s="1543"/>
      <c r="Y288" s="1543"/>
      <c r="Z288" s="1543"/>
      <c r="AA288" s="1543"/>
      <c r="AB288" s="1543"/>
      <c r="AC288" s="1543"/>
      <c r="AD288" s="1543"/>
      <c r="AE288" s="1543"/>
      <c r="AF288" s="1543"/>
      <c r="AG288" s="1543"/>
      <c r="AH288" s="1543"/>
      <c r="AI288" s="1543"/>
      <c r="AJ288" s="1543"/>
      <c r="AK288" s="1561"/>
      <c r="AL288" s="1543"/>
      <c r="AM288" s="1543"/>
      <c r="AN288" s="1543"/>
      <c r="AO288" s="1543"/>
      <c r="AP288" s="1543"/>
      <c r="AQ288" s="1543"/>
      <c r="AR288" s="1543"/>
      <c r="AS288" s="1543"/>
      <c r="AT288" s="1543"/>
      <c r="AU288" s="1543"/>
      <c r="AV288" s="1543"/>
      <c r="AW288" s="1543"/>
      <c r="AX288" s="1543"/>
      <c r="AY288" s="1543"/>
      <c r="AZ288" s="1543"/>
      <c r="BA288" s="1543"/>
      <c r="BB288" s="1543"/>
      <c r="BC288" s="1561"/>
      <c r="BD288" s="1543"/>
      <c r="BE288" s="1543"/>
      <c r="BF288" s="1543"/>
      <c r="BG288" s="1543"/>
      <c r="BH288" s="1543"/>
      <c r="BI288" s="1543"/>
      <c r="BJ288" s="1543"/>
      <c r="BK288" s="1543"/>
      <c r="BL288" s="1543"/>
      <c r="BM288" s="1543"/>
      <c r="BN288" s="1543"/>
      <c r="BO288" s="1543"/>
      <c r="BP288" s="1543"/>
      <c r="BQ288" s="1543"/>
      <c r="BR288" s="1543"/>
      <c r="BS288" s="1543"/>
      <c r="BT288" s="1543"/>
      <c r="BU288" s="1561"/>
      <c r="BV288" s="1543"/>
      <c r="BW288" s="1543"/>
      <c r="BX288" s="1543"/>
      <c r="BY288" s="1543"/>
      <c r="BZ288" s="1531" t="str">
        <f t="shared" si="750"/>
        <v/>
      </c>
      <c r="CA288" s="1531" t="str">
        <f t="shared" si="751"/>
        <v/>
      </c>
      <c r="CB288" s="1531" t="str">
        <f t="shared" si="752"/>
        <v/>
      </c>
      <c r="CC288" s="1532" t="str">
        <f t="shared" si="753"/>
        <v/>
      </c>
      <c r="CD288" s="1533" t="str">
        <f t="shared" si="754"/>
        <v/>
      </c>
      <c r="CE288" s="1533" t="str">
        <f t="shared" si="749"/>
        <v/>
      </c>
      <c r="CF288" s="1533" t="str">
        <f t="shared" si="749"/>
        <v/>
      </c>
      <c r="CG288" s="1533" t="str">
        <f t="shared" si="749"/>
        <v/>
      </c>
      <c r="CH288" s="1533" t="str">
        <f t="shared" si="749"/>
        <v/>
      </c>
      <c r="CI288" s="1533" t="str">
        <f t="shared" si="749"/>
        <v/>
      </c>
      <c r="CJ288" s="1533" t="str">
        <f t="shared" si="749"/>
        <v/>
      </c>
      <c r="CK288" s="1533" t="str">
        <f t="shared" si="749"/>
        <v/>
      </c>
      <c r="CL288" s="1533" t="str">
        <f t="shared" si="749"/>
        <v/>
      </c>
      <c r="CM288" s="1533" t="str">
        <f t="shared" si="749"/>
        <v/>
      </c>
      <c r="CN288" s="1534" t="str">
        <f t="shared" si="614"/>
        <v/>
      </c>
      <c r="CO288" s="1534" t="str">
        <f t="shared" si="615"/>
        <v/>
      </c>
      <c r="CP288" s="1534" t="str">
        <f t="shared" si="616"/>
        <v/>
      </c>
      <c r="CQ288" s="1534" t="str">
        <f t="shared" si="617"/>
        <v/>
      </c>
      <c r="CR288" s="1534" t="str">
        <f t="shared" si="618"/>
        <v/>
      </c>
      <c r="CS288" s="1534" t="str">
        <f t="shared" si="619"/>
        <v/>
      </c>
      <c r="CT288" s="1534" t="str">
        <f t="shared" si="620"/>
        <v/>
      </c>
      <c r="CU288" s="1534" t="str">
        <f t="shared" si="621"/>
        <v/>
      </c>
      <c r="CV288" s="1534" t="str">
        <f t="shared" si="622"/>
        <v/>
      </c>
      <c r="CW288" s="1534" t="str">
        <f t="shared" si="623"/>
        <v/>
      </c>
      <c r="CX288" s="1534" t="str">
        <f t="shared" si="624"/>
        <v/>
      </c>
      <c r="CY288" s="1534" t="str">
        <f t="shared" si="625"/>
        <v/>
      </c>
      <c r="CZ288" s="1534" t="str">
        <f t="shared" si="626"/>
        <v/>
      </c>
      <c r="DA288" s="1534" t="str">
        <f t="shared" si="627"/>
        <v/>
      </c>
      <c r="DB288" s="1534" t="str">
        <f t="shared" si="628"/>
        <v/>
      </c>
      <c r="DC288" s="1534" t="str">
        <f t="shared" si="629"/>
        <v/>
      </c>
      <c r="DD288" s="1535">
        <f t="shared" si="695"/>
        <v>0</v>
      </c>
      <c r="DE288" s="1536">
        <f t="shared" si="696"/>
        <v>0</v>
      </c>
      <c r="DF288" s="1536">
        <f t="shared" si="697"/>
        <v>0</v>
      </c>
      <c r="DG288" s="1536">
        <f t="shared" si="698"/>
        <v>0</v>
      </c>
      <c r="DH288" s="1537"/>
      <c r="DI288" s="1538"/>
      <c r="DJ288" s="1538"/>
      <c r="DK288" s="1538"/>
      <c r="DL288" s="1538"/>
      <c r="DM288" s="1538"/>
      <c r="DN288" s="1538"/>
      <c r="DO288" s="1538"/>
      <c r="DP288" s="1538"/>
    </row>
    <row r="289" spans="1:121" s="1539" customFormat="1" ht="15.75" customHeight="1">
      <c r="A289" s="1545" t="s">
        <v>181</v>
      </c>
      <c r="B289" s="1546"/>
      <c r="C289" s="1546"/>
      <c r="D289" s="1546"/>
      <c r="E289" s="1546"/>
      <c r="F289" s="1546"/>
      <c r="G289" s="1546"/>
      <c r="H289" s="1546"/>
      <c r="I289" s="1546"/>
      <c r="J289" s="1546"/>
      <c r="K289" s="1546"/>
      <c r="L289" s="1546"/>
      <c r="M289" s="1546"/>
      <c r="N289" s="1546"/>
      <c r="O289" s="1546"/>
      <c r="P289" s="1546"/>
      <c r="Q289" s="1546"/>
      <c r="R289" s="1546"/>
      <c r="S289" s="1562"/>
      <c r="T289" s="1546"/>
      <c r="U289" s="1546"/>
      <c r="V289" s="1546"/>
      <c r="W289" s="1546"/>
      <c r="X289" s="1546"/>
      <c r="Y289" s="1546"/>
      <c r="Z289" s="1546"/>
      <c r="AA289" s="1546"/>
      <c r="AB289" s="1546"/>
      <c r="AC289" s="1546"/>
      <c r="AD289" s="1546"/>
      <c r="AE289" s="1546"/>
      <c r="AF289" s="1546"/>
      <c r="AG289" s="1546"/>
      <c r="AH289" s="1546"/>
      <c r="AI289" s="1546"/>
      <c r="AJ289" s="1546"/>
      <c r="AK289" s="1562"/>
      <c r="AL289" s="1546"/>
      <c r="AM289" s="1546"/>
      <c r="AN289" s="1546"/>
      <c r="AO289" s="1546"/>
      <c r="AP289" s="1546"/>
      <c r="AQ289" s="1546"/>
      <c r="AR289" s="1546"/>
      <c r="AS289" s="1546"/>
      <c r="AT289" s="1546"/>
      <c r="AU289" s="1546"/>
      <c r="AV289" s="1546"/>
      <c r="AW289" s="1546"/>
      <c r="AX289" s="1546"/>
      <c r="AY289" s="1546"/>
      <c r="AZ289" s="1546"/>
      <c r="BA289" s="1546"/>
      <c r="BB289" s="1546"/>
      <c r="BC289" s="1562"/>
      <c r="BD289" s="1546"/>
      <c r="BE289" s="1546"/>
      <c r="BF289" s="1546"/>
      <c r="BG289" s="1546"/>
      <c r="BH289" s="1546"/>
      <c r="BI289" s="1546"/>
      <c r="BJ289" s="1546"/>
      <c r="BK289" s="1546"/>
      <c r="BL289" s="1546"/>
      <c r="BM289" s="1546"/>
      <c r="BN289" s="1546"/>
      <c r="BO289" s="1546"/>
      <c r="BP289" s="1546"/>
      <c r="BQ289" s="1546"/>
      <c r="BR289" s="1546"/>
      <c r="BS289" s="1546"/>
      <c r="BT289" s="1546"/>
      <c r="BU289" s="1562"/>
      <c r="BV289" s="1546"/>
      <c r="BW289" s="1546"/>
      <c r="BX289" s="1546"/>
      <c r="BY289" s="1546"/>
      <c r="BZ289" s="1531" t="str">
        <f t="shared" si="750"/>
        <v/>
      </c>
      <c r="CA289" s="1531" t="str">
        <f t="shared" si="751"/>
        <v/>
      </c>
      <c r="CB289" s="1531" t="str">
        <f t="shared" si="752"/>
        <v/>
      </c>
      <c r="CC289" s="1532" t="str">
        <f t="shared" si="753"/>
        <v/>
      </c>
      <c r="CD289" s="1533" t="str">
        <f t="shared" si="754"/>
        <v/>
      </c>
      <c r="CE289" s="1533" t="str">
        <f t="shared" si="749"/>
        <v/>
      </c>
      <c r="CF289" s="1533" t="str">
        <f t="shared" si="749"/>
        <v/>
      </c>
      <c r="CG289" s="1533" t="str">
        <f t="shared" si="749"/>
        <v/>
      </c>
      <c r="CH289" s="1533" t="str">
        <f t="shared" si="749"/>
        <v/>
      </c>
      <c r="CI289" s="1533" t="str">
        <f t="shared" si="749"/>
        <v/>
      </c>
      <c r="CJ289" s="1533" t="str">
        <f t="shared" si="749"/>
        <v/>
      </c>
      <c r="CK289" s="1533" t="str">
        <f t="shared" si="749"/>
        <v/>
      </c>
      <c r="CL289" s="1533" t="str">
        <f t="shared" si="749"/>
        <v/>
      </c>
      <c r="CM289" s="1533" t="str">
        <f t="shared" si="749"/>
        <v/>
      </c>
      <c r="CN289" s="1534" t="str">
        <f t="shared" si="614"/>
        <v/>
      </c>
      <c r="CO289" s="1534" t="str">
        <f t="shared" si="615"/>
        <v/>
      </c>
      <c r="CP289" s="1534" t="str">
        <f t="shared" si="616"/>
        <v/>
      </c>
      <c r="CQ289" s="1534" t="str">
        <f t="shared" si="617"/>
        <v/>
      </c>
      <c r="CR289" s="1534" t="str">
        <f t="shared" si="618"/>
        <v/>
      </c>
      <c r="CS289" s="1534" t="str">
        <f t="shared" si="619"/>
        <v/>
      </c>
      <c r="CT289" s="1534" t="str">
        <f t="shared" si="620"/>
        <v/>
      </c>
      <c r="CU289" s="1534" t="str">
        <f t="shared" si="621"/>
        <v/>
      </c>
      <c r="CV289" s="1534" t="str">
        <f t="shared" si="622"/>
        <v/>
      </c>
      <c r="CW289" s="1534" t="str">
        <f t="shared" si="623"/>
        <v/>
      </c>
      <c r="CX289" s="1534" t="str">
        <f t="shared" si="624"/>
        <v/>
      </c>
      <c r="CY289" s="1534" t="str">
        <f t="shared" si="625"/>
        <v/>
      </c>
      <c r="CZ289" s="1534" t="str">
        <f t="shared" si="626"/>
        <v/>
      </c>
      <c r="DA289" s="1534" t="str">
        <f t="shared" si="627"/>
        <v/>
      </c>
      <c r="DB289" s="1534" t="str">
        <f t="shared" si="628"/>
        <v/>
      </c>
      <c r="DC289" s="1534" t="str">
        <f t="shared" si="629"/>
        <v/>
      </c>
      <c r="DD289" s="1535">
        <f t="shared" si="695"/>
        <v>0</v>
      </c>
      <c r="DE289" s="1536">
        <f t="shared" si="696"/>
        <v>0</v>
      </c>
      <c r="DF289" s="1536">
        <f t="shared" si="697"/>
        <v>0</v>
      </c>
      <c r="DG289" s="1536">
        <f t="shared" si="698"/>
        <v>0</v>
      </c>
      <c r="DH289" s="1537"/>
      <c r="DI289" s="1538"/>
      <c r="DJ289" s="1538"/>
      <c r="DK289" s="1538"/>
      <c r="DL289" s="1538"/>
      <c r="DM289" s="1538"/>
      <c r="DN289" s="1538"/>
      <c r="DO289" s="1538"/>
      <c r="DP289" s="1538"/>
    </row>
    <row r="290" spans="1:121" s="1539" customFormat="1" ht="15.75" customHeight="1">
      <c r="A290" s="1545" t="s">
        <v>183</v>
      </c>
      <c r="B290" s="1547" t="str">
        <f t="shared" ref="B290:K290" si="759">IF(B288="","",B288*B289)</f>
        <v/>
      </c>
      <c r="C290" s="1547" t="str">
        <f t="shared" si="759"/>
        <v/>
      </c>
      <c r="D290" s="1547" t="str">
        <f t="shared" si="759"/>
        <v/>
      </c>
      <c r="E290" s="1547" t="str">
        <f t="shared" si="759"/>
        <v/>
      </c>
      <c r="F290" s="1547" t="str">
        <f t="shared" si="759"/>
        <v/>
      </c>
      <c r="G290" s="1547" t="str">
        <f t="shared" si="759"/>
        <v/>
      </c>
      <c r="H290" s="1547" t="str">
        <f t="shared" si="759"/>
        <v/>
      </c>
      <c r="I290" s="1547" t="str">
        <f t="shared" si="759"/>
        <v/>
      </c>
      <c r="J290" s="1547" t="str">
        <f t="shared" si="759"/>
        <v/>
      </c>
      <c r="K290" s="1547" t="str">
        <f t="shared" si="759"/>
        <v/>
      </c>
      <c r="L290" s="1547"/>
      <c r="M290" s="1547"/>
      <c r="N290" s="1547"/>
      <c r="O290" s="1547"/>
      <c r="P290" s="1547"/>
      <c r="Q290" s="1547"/>
      <c r="R290" s="1547"/>
      <c r="S290" s="1547"/>
      <c r="T290" s="1547" t="str">
        <f t="shared" ref="T290:AC290" si="760">IF(T288="","",T288*T289)</f>
        <v/>
      </c>
      <c r="U290" s="1547" t="str">
        <f t="shared" si="760"/>
        <v/>
      </c>
      <c r="V290" s="1547" t="str">
        <f t="shared" si="760"/>
        <v/>
      </c>
      <c r="W290" s="1547" t="str">
        <f t="shared" si="760"/>
        <v/>
      </c>
      <c r="X290" s="1547" t="str">
        <f t="shared" si="760"/>
        <v/>
      </c>
      <c r="Y290" s="1547" t="str">
        <f t="shared" si="760"/>
        <v/>
      </c>
      <c r="Z290" s="1547" t="str">
        <f t="shared" si="760"/>
        <v/>
      </c>
      <c r="AA290" s="1547" t="str">
        <f t="shared" si="760"/>
        <v/>
      </c>
      <c r="AB290" s="1547" t="str">
        <f t="shared" si="760"/>
        <v/>
      </c>
      <c r="AC290" s="1547" t="str">
        <f t="shared" si="760"/>
        <v/>
      </c>
      <c r="AD290" s="1547"/>
      <c r="AE290" s="1547"/>
      <c r="AF290" s="1547"/>
      <c r="AG290" s="1547"/>
      <c r="AH290" s="1547"/>
      <c r="AI290" s="1547"/>
      <c r="AJ290" s="1547"/>
      <c r="AK290" s="1547"/>
      <c r="AL290" s="1547" t="str">
        <f t="shared" ref="AL290:AU290" si="761">IF(AL288="","",AL288*AL289)</f>
        <v/>
      </c>
      <c r="AM290" s="1547" t="str">
        <f t="shared" si="761"/>
        <v/>
      </c>
      <c r="AN290" s="1547" t="str">
        <f t="shared" si="761"/>
        <v/>
      </c>
      <c r="AO290" s="1547" t="str">
        <f t="shared" si="761"/>
        <v/>
      </c>
      <c r="AP290" s="1547" t="str">
        <f t="shared" si="761"/>
        <v/>
      </c>
      <c r="AQ290" s="1547" t="str">
        <f t="shared" si="761"/>
        <v/>
      </c>
      <c r="AR290" s="1547" t="str">
        <f t="shared" si="761"/>
        <v/>
      </c>
      <c r="AS290" s="1547" t="str">
        <f t="shared" si="761"/>
        <v/>
      </c>
      <c r="AT290" s="1547" t="str">
        <f t="shared" si="761"/>
        <v/>
      </c>
      <c r="AU290" s="1547" t="str">
        <f t="shared" si="761"/>
        <v/>
      </c>
      <c r="AV290" s="1547"/>
      <c r="AW290" s="1547"/>
      <c r="AX290" s="1547"/>
      <c r="AY290" s="1547"/>
      <c r="AZ290" s="1547"/>
      <c r="BA290" s="1547"/>
      <c r="BB290" s="1547"/>
      <c r="BC290" s="1547"/>
      <c r="BD290" s="1547" t="str">
        <f t="shared" ref="BD290:BM290" si="762">IF(BD288="","",BD288*BD289)</f>
        <v/>
      </c>
      <c r="BE290" s="1547" t="str">
        <f t="shared" si="762"/>
        <v/>
      </c>
      <c r="BF290" s="1547" t="str">
        <f t="shared" si="762"/>
        <v/>
      </c>
      <c r="BG290" s="1547" t="str">
        <f t="shared" si="762"/>
        <v/>
      </c>
      <c r="BH290" s="1547" t="str">
        <f t="shared" si="762"/>
        <v/>
      </c>
      <c r="BI290" s="1547" t="str">
        <f t="shared" si="762"/>
        <v/>
      </c>
      <c r="BJ290" s="1547" t="str">
        <f t="shared" si="762"/>
        <v/>
      </c>
      <c r="BK290" s="1547" t="str">
        <f t="shared" si="762"/>
        <v/>
      </c>
      <c r="BL290" s="1547" t="str">
        <f t="shared" si="762"/>
        <v/>
      </c>
      <c r="BM290" s="1547" t="str">
        <f t="shared" si="762"/>
        <v/>
      </c>
      <c r="BN290" s="1547"/>
      <c r="BO290" s="1547"/>
      <c r="BP290" s="1547"/>
      <c r="BQ290" s="1547"/>
      <c r="BR290" s="1547"/>
      <c r="BS290" s="1547"/>
      <c r="BT290" s="1547"/>
      <c r="BU290" s="1547"/>
      <c r="BV290" s="1547" t="str">
        <f>IF(BV288="","",BV288*BV289)</f>
        <v/>
      </c>
      <c r="BW290" s="1547" t="str">
        <f>IF(BW288="","",BW288*BW289)</f>
        <v/>
      </c>
      <c r="BX290" s="1547" t="str">
        <f>IF(BX288="","",BX288*BX289)</f>
        <v/>
      </c>
      <c r="BY290" s="1547" t="str">
        <f>IF(BY288="","",BY288*BY289)</f>
        <v/>
      </c>
      <c r="BZ290" s="1531" t="str">
        <f t="shared" si="750"/>
        <v/>
      </c>
      <c r="CA290" s="1531" t="str">
        <f t="shared" si="751"/>
        <v/>
      </c>
      <c r="CB290" s="1531" t="str">
        <f t="shared" si="752"/>
        <v/>
      </c>
      <c r="CC290" s="1532" t="str">
        <f t="shared" si="753"/>
        <v/>
      </c>
      <c r="CD290" s="1533" t="str">
        <f t="shared" si="754"/>
        <v/>
      </c>
      <c r="CE290" s="1533" t="str">
        <f t="shared" si="749"/>
        <v/>
      </c>
      <c r="CF290" s="1533" t="str">
        <f t="shared" si="749"/>
        <v/>
      </c>
      <c r="CG290" s="1533" t="str">
        <f t="shared" si="749"/>
        <v/>
      </c>
      <c r="CH290" s="1533" t="str">
        <f t="shared" si="749"/>
        <v/>
      </c>
      <c r="CI290" s="1533" t="str">
        <f t="shared" si="749"/>
        <v/>
      </c>
      <c r="CJ290" s="1533" t="str">
        <f t="shared" si="749"/>
        <v/>
      </c>
      <c r="CK290" s="1533" t="str">
        <f t="shared" si="749"/>
        <v/>
      </c>
      <c r="CL290" s="1533" t="str">
        <f t="shared" si="749"/>
        <v/>
      </c>
      <c r="CM290" s="1533" t="str">
        <f t="shared" si="749"/>
        <v/>
      </c>
      <c r="CN290" s="1534" t="str">
        <f t="shared" si="614"/>
        <v/>
      </c>
      <c r="CO290" s="1534" t="str">
        <f t="shared" si="615"/>
        <v/>
      </c>
      <c r="CP290" s="1534" t="str">
        <f t="shared" si="616"/>
        <v/>
      </c>
      <c r="CQ290" s="1534" t="str">
        <f t="shared" si="617"/>
        <v/>
      </c>
      <c r="CR290" s="1534" t="str">
        <f t="shared" si="618"/>
        <v/>
      </c>
      <c r="CS290" s="1534" t="str">
        <f t="shared" si="619"/>
        <v/>
      </c>
      <c r="CT290" s="1534" t="str">
        <f t="shared" si="620"/>
        <v/>
      </c>
      <c r="CU290" s="1534" t="str">
        <f t="shared" si="621"/>
        <v/>
      </c>
      <c r="CV290" s="1534" t="str">
        <f t="shared" si="622"/>
        <v/>
      </c>
      <c r="CW290" s="1534" t="str">
        <f t="shared" si="623"/>
        <v/>
      </c>
      <c r="CX290" s="1534" t="str">
        <f t="shared" si="624"/>
        <v/>
      </c>
      <c r="CY290" s="1534" t="str">
        <f t="shared" si="625"/>
        <v/>
      </c>
      <c r="CZ290" s="1534" t="str">
        <f t="shared" si="626"/>
        <v/>
      </c>
      <c r="DA290" s="1534" t="str">
        <f t="shared" si="627"/>
        <v/>
      </c>
      <c r="DB290" s="1534" t="str">
        <f t="shared" si="628"/>
        <v/>
      </c>
      <c r="DC290" s="1534" t="str">
        <f t="shared" si="629"/>
        <v/>
      </c>
      <c r="DD290" s="1535">
        <f t="shared" si="695"/>
        <v>0</v>
      </c>
      <c r="DE290" s="1536">
        <f t="shared" si="696"/>
        <v>0</v>
      </c>
      <c r="DF290" s="1536">
        <f t="shared" si="697"/>
        <v>0</v>
      </c>
      <c r="DG290" s="1536">
        <f t="shared" si="698"/>
        <v>0</v>
      </c>
      <c r="DH290" s="1537"/>
      <c r="DI290" s="1538"/>
      <c r="DJ290" s="1538"/>
      <c r="DK290" s="1538"/>
      <c r="DL290" s="1538"/>
      <c r="DM290" s="1538"/>
      <c r="DN290" s="1538"/>
      <c r="DO290" s="1538"/>
      <c r="DP290" s="1538"/>
    </row>
    <row r="291" spans="1:121" s="1539" customFormat="1" ht="15.75" customHeight="1">
      <c r="A291" s="1545" t="s">
        <v>258</v>
      </c>
      <c r="B291" s="1548"/>
      <c r="C291" s="1548"/>
      <c r="D291" s="1548"/>
      <c r="E291" s="1548"/>
      <c r="F291" s="1548"/>
      <c r="G291" s="1548"/>
      <c r="H291" s="1548"/>
      <c r="I291" s="1548"/>
      <c r="J291" s="1548"/>
      <c r="K291" s="1548"/>
      <c r="L291" s="1548"/>
      <c r="M291" s="1548"/>
      <c r="N291" s="1548"/>
      <c r="O291" s="1548"/>
      <c r="P291" s="1548"/>
      <c r="Q291" s="1548"/>
      <c r="R291" s="1548"/>
      <c r="S291" s="1544"/>
      <c r="T291" s="1548"/>
      <c r="U291" s="1548"/>
      <c r="V291" s="1548"/>
      <c r="W291" s="1548"/>
      <c r="X291" s="1548"/>
      <c r="Y291" s="1548"/>
      <c r="Z291" s="1548"/>
      <c r="AA291" s="1548"/>
      <c r="AB291" s="1548"/>
      <c r="AC291" s="1548"/>
      <c r="AD291" s="1548"/>
      <c r="AE291" s="1548"/>
      <c r="AF291" s="1548"/>
      <c r="AG291" s="1548"/>
      <c r="AH291" s="1548"/>
      <c r="AI291" s="1548"/>
      <c r="AJ291" s="1548"/>
      <c r="AK291" s="1544"/>
      <c r="AL291" s="1548"/>
      <c r="AM291" s="1548"/>
      <c r="AN291" s="1548"/>
      <c r="AO291" s="1548"/>
      <c r="AP291" s="1548"/>
      <c r="AQ291" s="1548"/>
      <c r="AR291" s="1548"/>
      <c r="AS291" s="1548"/>
      <c r="AT291" s="1548"/>
      <c r="AU291" s="1548"/>
      <c r="AV291" s="1548"/>
      <c r="AW291" s="1548"/>
      <c r="AX291" s="1548"/>
      <c r="AY291" s="1548"/>
      <c r="AZ291" s="1548"/>
      <c r="BA291" s="1548"/>
      <c r="BB291" s="1548"/>
      <c r="BC291" s="1544"/>
      <c r="BD291" s="1548"/>
      <c r="BE291" s="1548"/>
      <c r="BF291" s="1548"/>
      <c r="BG291" s="1548"/>
      <c r="BH291" s="1548"/>
      <c r="BI291" s="1548"/>
      <c r="BJ291" s="1548"/>
      <c r="BK291" s="1548"/>
      <c r="BL291" s="1548"/>
      <c r="BM291" s="1548"/>
      <c r="BN291" s="1548"/>
      <c r="BO291" s="1548"/>
      <c r="BP291" s="1548"/>
      <c r="BQ291" s="1548"/>
      <c r="BR291" s="1548"/>
      <c r="BS291" s="1548"/>
      <c r="BT291" s="1548"/>
      <c r="BU291" s="1544"/>
      <c r="BV291" s="1548"/>
      <c r="BW291" s="1548"/>
      <c r="BX291" s="1548"/>
      <c r="BY291" s="1548"/>
      <c r="BZ291" s="1531" t="str">
        <f t="shared" si="750"/>
        <v/>
      </c>
      <c r="CA291" s="1531" t="str">
        <f t="shared" si="751"/>
        <v/>
      </c>
      <c r="CB291" s="1531" t="str">
        <f t="shared" si="752"/>
        <v/>
      </c>
      <c r="CC291" s="1532" t="str">
        <f t="shared" si="753"/>
        <v/>
      </c>
      <c r="CD291" s="1533" t="str">
        <f t="shared" si="754"/>
        <v/>
      </c>
      <c r="CE291" s="1533" t="str">
        <f t="shared" si="749"/>
        <v/>
      </c>
      <c r="CF291" s="1533" t="str">
        <f t="shared" si="749"/>
        <v/>
      </c>
      <c r="CG291" s="1533" t="str">
        <f t="shared" si="749"/>
        <v/>
      </c>
      <c r="CH291" s="1533" t="str">
        <f t="shared" si="749"/>
        <v/>
      </c>
      <c r="CI291" s="1533" t="str">
        <f t="shared" si="749"/>
        <v/>
      </c>
      <c r="CJ291" s="1533" t="str">
        <f t="shared" si="749"/>
        <v/>
      </c>
      <c r="CK291" s="1533" t="str">
        <f t="shared" si="749"/>
        <v/>
      </c>
      <c r="CL291" s="1533" t="str">
        <f t="shared" si="749"/>
        <v/>
      </c>
      <c r="CM291" s="1533" t="str">
        <f t="shared" si="749"/>
        <v/>
      </c>
      <c r="CN291" s="1534" t="str">
        <f t="shared" si="614"/>
        <v/>
      </c>
      <c r="CO291" s="1534" t="str">
        <f t="shared" si="615"/>
        <v/>
      </c>
      <c r="CP291" s="1534" t="str">
        <f t="shared" si="616"/>
        <v/>
      </c>
      <c r="CQ291" s="1534" t="str">
        <f t="shared" si="617"/>
        <v/>
      </c>
      <c r="CR291" s="1534" t="str">
        <f t="shared" si="618"/>
        <v/>
      </c>
      <c r="CS291" s="1534" t="str">
        <f t="shared" si="619"/>
        <v/>
      </c>
      <c r="CT291" s="1534" t="str">
        <f t="shared" si="620"/>
        <v/>
      </c>
      <c r="CU291" s="1534" t="str">
        <f t="shared" si="621"/>
        <v/>
      </c>
      <c r="CV291" s="1534" t="str">
        <f t="shared" si="622"/>
        <v/>
      </c>
      <c r="CW291" s="1534" t="str">
        <f t="shared" si="623"/>
        <v/>
      </c>
      <c r="CX291" s="1534" t="str">
        <f t="shared" si="624"/>
        <v/>
      </c>
      <c r="CY291" s="1534" t="str">
        <f t="shared" si="625"/>
        <v/>
      </c>
      <c r="CZ291" s="1534" t="str">
        <f t="shared" si="626"/>
        <v/>
      </c>
      <c r="DA291" s="1534" t="str">
        <f t="shared" si="627"/>
        <v/>
      </c>
      <c r="DB291" s="1534" t="str">
        <f t="shared" si="628"/>
        <v/>
      </c>
      <c r="DC291" s="1534" t="str">
        <f t="shared" si="629"/>
        <v/>
      </c>
      <c r="DD291" s="1535">
        <f t="shared" si="695"/>
        <v>0</v>
      </c>
      <c r="DE291" s="1536">
        <f t="shared" si="696"/>
        <v>0</v>
      </c>
      <c r="DF291" s="1536">
        <f t="shared" si="697"/>
        <v>0</v>
      </c>
      <c r="DG291" s="1536">
        <f t="shared" si="698"/>
        <v>0</v>
      </c>
      <c r="DH291" s="1537"/>
      <c r="DI291" s="1538"/>
      <c r="DJ291" s="1538"/>
      <c r="DK291" s="1538"/>
      <c r="DL291" s="1538"/>
      <c r="DM291" s="1538"/>
      <c r="DN291" s="1538"/>
      <c r="DO291" s="1538"/>
      <c r="DP291" s="1538"/>
    </row>
    <row r="292" spans="1:121" s="1557" customFormat="1" ht="15.75" customHeight="1">
      <c r="A292" s="1549" t="s">
        <v>227</v>
      </c>
      <c r="B292" s="1550" t="str">
        <f t="shared" ref="B292:K292" si="763">IF(B286="","",(B286-B288-B291)*B287/B$46/365/$G$1)</f>
        <v/>
      </c>
      <c r="C292" s="1550" t="str">
        <f t="shared" si="763"/>
        <v/>
      </c>
      <c r="D292" s="1550" t="str">
        <f t="shared" si="763"/>
        <v/>
      </c>
      <c r="E292" s="1550" t="str">
        <f t="shared" si="763"/>
        <v/>
      </c>
      <c r="F292" s="1550" t="str">
        <f t="shared" si="763"/>
        <v/>
      </c>
      <c r="G292" s="1550" t="str">
        <f t="shared" si="763"/>
        <v/>
      </c>
      <c r="H292" s="1550" t="str">
        <f t="shared" si="763"/>
        <v/>
      </c>
      <c r="I292" s="1550" t="str">
        <f t="shared" si="763"/>
        <v/>
      </c>
      <c r="J292" s="1550" t="str">
        <f t="shared" si="763"/>
        <v/>
      </c>
      <c r="K292" s="1550" t="str">
        <f t="shared" si="763"/>
        <v/>
      </c>
      <c r="L292" s="1550"/>
      <c r="M292" s="1550"/>
      <c r="N292" s="1550"/>
      <c r="O292" s="1550"/>
      <c r="P292" s="1550"/>
      <c r="Q292" s="1550"/>
      <c r="R292" s="1550"/>
      <c r="S292" s="1550"/>
      <c r="T292" s="1550" t="str">
        <f t="shared" ref="T292:AC292" si="764">IF(T286="","",(T286-T288-T291)*T287/T$46/365/$G$1)</f>
        <v/>
      </c>
      <c r="U292" s="1550" t="str">
        <f t="shared" si="764"/>
        <v/>
      </c>
      <c r="V292" s="1550" t="str">
        <f t="shared" si="764"/>
        <v/>
      </c>
      <c r="W292" s="1550" t="str">
        <f t="shared" si="764"/>
        <v/>
      </c>
      <c r="X292" s="1550" t="str">
        <f t="shared" si="764"/>
        <v/>
      </c>
      <c r="Y292" s="1550" t="str">
        <f t="shared" si="764"/>
        <v/>
      </c>
      <c r="Z292" s="1550" t="str">
        <f t="shared" si="764"/>
        <v/>
      </c>
      <c r="AA292" s="1550" t="str">
        <f t="shared" si="764"/>
        <v/>
      </c>
      <c r="AB292" s="1550" t="str">
        <f t="shared" si="764"/>
        <v/>
      </c>
      <c r="AC292" s="1550" t="str">
        <f t="shared" si="764"/>
        <v/>
      </c>
      <c r="AD292" s="1550"/>
      <c r="AE292" s="1550"/>
      <c r="AF292" s="1550"/>
      <c r="AG292" s="1550"/>
      <c r="AH292" s="1550"/>
      <c r="AI292" s="1550"/>
      <c r="AJ292" s="1550"/>
      <c r="AK292" s="1550"/>
      <c r="AL292" s="1550" t="str">
        <f t="shared" ref="AL292:AU292" si="765">IF(AL286="","",(AL286-AL288-AL291)*AL287/AL$46/365/$G$1)</f>
        <v/>
      </c>
      <c r="AM292" s="1550" t="str">
        <f t="shared" si="765"/>
        <v/>
      </c>
      <c r="AN292" s="1550" t="str">
        <f t="shared" si="765"/>
        <v/>
      </c>
      <c r="AO292" s="1550" t="str">
        <f t="shared" si="765"/>
        <v/>
      </c>
      <c r="AP292" s="1550" t="str">
        <f t="shared" si="765"/>
        <v/>
      </c>
      <c r="AQ292" s="1550" t="str">
        <f t="shared" si="765"/>
        <v/>
      </c>
      <c r="AR292" s="1550" t="str">
        <f t="shared" si="765"/>
        <v/>
      </c>
      <c r="AS292" s="1550" t="str">
        <f t="shared" si="765"/>
        <v/>
      </c>
      <c r="AT292" s="1550" t="str">
        <f t="shared" si="765"/>
        <v/>
      </c>
      <c r="AU292" s="1550" t="str">
        <f t="shared" si="765"/>
        <v/>
      </c>
      <c r="AV292" s="1550"/>
      <c r="AW292" s="1550"/>
      <c r="AX292" s="1550"/>
      <c r="AY292" s="1550"/>
      <c r="AZ292" s="1550"/>
      <c r="BA292" s="1550"/>
      <c r="BB292" s="1550"/>
      <c r="BC292" s="1550"/>
      <c r="BD292" s="1550" t="str">
        <f t="shared" ref="BD292:BM292" si="766">IF(BD286="","",(BD286-BD288-BD291)*BD287/BD$46/365/$G$1)</f>
        <v/>
      </c>
      <c r="BE292" s="1550" t="str">
        <f t="shared" si="766"/>
        <v/>
      </c>
      <c r="BF292" s="1550" t="str">
        <f t="shared" si="766"/>
        <v/>
      </c>
      <c r="BG292" s="1550" t="str">
        <f t="shared" si="766"/>
        <v/>
      </c>
      <c r="BH292" s="1550" t="str">
        <f t="shared" si="766"/>
        <v/>
      </c>
      <c r="BI292" s="1550" t="str">
        <f t="shared" si="766"/>
        <v/>
      </c>
      <c r="BJ292" s="1550" t="str">
        <f t="shared" si="766"/>
        <v/>
      </c>
      <c r="BK292" s="1550" t="str">
        <f t="shared" si="766"/>
        <v/>
      </c>
      <c r="BL292" s="1550" t="str">
        <f t="shared" si="766"/>
        <v/>
      </c>
      <c r="BM292" s="1550" t="str">
        <f t="shared" si="766"/>
        <v/>
      </c>
      <c r="BN292" s="1550"/>
      <c r="BO292" s="1550"/>
      <c r="BP292" s="1550"/>
      <c r="BQ292" s="1550"/>
      <c r="BR292" s="1550"/>
      <c r="BS292" s="1550"/>
      <c r="BT292" s="1550"/>
      <c r="BU292" s="1550"/>
      <c r="BV292" s="1550" t="str">
        <f>IF(BV286="","",(BV286-BV288-BV291)*BV287/BV$46/365/$G$1)</f>
        <v/>
      </c>
      <c r="BW292" s="1550" t="str">
        <f>IF(BW286="","",(BW286-BW288-BW291)*BW287/BW$46/365/$G$1)</f>
        <v/>
      </c>
      <c r="BX292" s="1550" t="str">
        <f>IF(BX286="","",(BX286-BX288-BX291)*BX287/BX$46/365/$G$1)</f>
        <v/>
      </c>
      <c r="BY292" s="1550" t="str">
        <f>IF(BY286="","",(BY286-BY288-BY291)*BY287/BY$46/365/$G$1)</f>
        <v/>
      </c>
      <c r="BZ292" s="1531" t="str">
        <f t="shared" si="750"/>
        <v/>
      </c>
      <c r="CA292" s="1551" t="str">
        <f t="shared" si="751"/>
        <v/>
      </c>
      <c r="CB292" s="1551" t="str">
        <f t="shared" si="752"/>
        <v/>
      </c>
      <c r="CC292" s="1552" t="str">
        <f t="shared" si="753"/>
        <v/>
      </c>
      <c r="CD292" s="15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3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3" t="str">
        <f t="shared" si="767"/>
        <v/>
      </c>
      <c r="CG292" s="1553" t="str">
        <f t="shared" si="767"/>
        <v/>
      </c>
      <c r="CH292" s="1553" t="str">
        <f t="shared" si="767"/>
        <v/>
      </c>
      <c r="CI292" s="1553" t="str">
        <f t="shared" si="767"/>
        <v/>
      </c>
      <c r="CJ292" s="1553" t="str">
        <f t="shared" si="767"/>
        <v/>
      </c>
      <c r="CK292" s="1553" t="str">
        <f t="shared" si="767"/>
        <v/>
      </c>
      <c r="CL292" s="1553" t="str">
        <f t="shared" si="767"/>
        <v/>
      </c>
      <c r="CM292" s="1553" t="str">
        <f t="shared" si="767"/>
        <v/>
      </c>
      <c r="CN292" s="1554" t="str">
        <f t="shared" si="614"/>
        <v/>
      </c>
      <c r="CO292" s="1554" t="str">
        <f t="shared" si="615"/>
        <v/>
      </c>
      <c r="CP292" s="1554" t="str">
        <f t="shared" si="616"/>
        <v/>
      </c>
      <c r="CQ292" s="1554" t="str">
        <f t="shared" si="617"/>
        <v/>
      </c>
      <c r="CR292" s="1554" t="str">
        <f t="shared" si="618"/>
        <v/>
      </c>
      <c r="CS292" s="1554" t="str">
        <f t="shared" si="619"/>
        <v/>
      </c>
      <c r="CT292" s="1554" t="str">
        <f t="shared" si="620"/>
        <v/>
      </c>
      <c r="CU292" s="1554" t="str">
        <f t="shared" si="621"/>
        <v/>
      </c>
      <c r="CV292" s="1554" t="str">
        <f t="shared" si="622"/>
        <v/>
      </c>
      <c r="CW292" s="1554" t="str">
        <f t="shared" si="623"/>
        <v/>
      </c>
      <c r="CX292" s="1554" t="str">
        <f t="shared" si="624"/>
        <v/>
      </c>
      <c r="CY292" s="1554" t="str">
        <f t="shared" si="625"/>
        <v/>
      </c>
      <c r="CZ292" s="1554" t="str">
        <f t="shared" si="626"/>
        <v/>
      </c>
      <c r="DA292" s="1554" t="str">
        <f t="shared" si="627"/>
        <v/>
      </c>
      <c r="DB292" s="1554" t="str">
        <f t="shared" si="628"/>
        <v/>
      </c>
      <c r="DC292" s="1554" t="str">
        <f t="shared" si="629"/>
        <v/>
      </c>
      <c r="DD292" s="1535">
        <f t="shared" ref="DD292:DD300" si="768">COUNT(B292:R292)</f>
        <v>0</v>
      </c>
      <c r="DE292" s="1536">
        <f t="shared" ref="DE292:DE300" si="769">COUNT(T292:AJ292)</f>
        <v>0</v>
      </c>
      <c r="DF292" s="1536">
        <f t="shared" ref="DF292:DF300" si="770">COUNT(AL292:BB292)</f>
        <v>0</v>
      </c>
      <c r="DG292" s="1536">
        <f t="shared" ref="DG292:DG300" si="771">COUNT(BD292:BT292)</f>
        <v>0</v>
      </c>
      <c r="DH292" s="1555"/>
      <c r="DI292" s="1556"/>
      <c r="DJ292" s="1556"/>
      <c r="DK292" s="1556"/>
      <c r="DL292" s="1556"/>
      <c r="DM292" s="1556"/>
      <c r="DN292" s="1556"/>
      <c r="DO292" s="1556"/>
      <c r="DP292" s="1538"/>
    </row>
    <row r="293" spans="1:121" s="1539" customFormat="1" ht="15.75" customHeight="1">
      <c r="A293" s="1528" t="s">
        <v>912</v>
      </c>
      <c r="B293" s="1529"/>
      <c r="C293" s="1529"/>
      <c r="D293" s="1529"/>
      <c r="E293" s="1529"/>
      <c r="F293" s="1529"/>
      <c r="G293" s="1529"/>
      <c r="H293" s="1529"/>
      <c r="I293" s="1529"/>
      <c r="J293" s="1529"/>
      <c r="K293" s="1529"/>
      <c r="L293" s="1529"/>
      <c r="M293" s="1529"/>
      <c r="N293" s="1529"/>
      <c r="O293" s="1529"/>
      <c r="P293" s="1529"/>
      <c r="Q293" s="1529"/>
      <c r="R293" s="1529"/>
      <c r="S293" s="1530"/>
      <c r="T293" s="1529"/>
      <c r="U293" s="1529"/>
      <c r="V293" s="1529"/>
      <c r="W293" s="1529"/>
      <c r="X293" s="1529"/>
      <c r="Y293" s="1529"/>
      <c r="Z293" s="1529"/>
      <c r="AA293" s="1529"/>
      <c r="AB293" s="1529"/>
      <c r="AC293" s="1529"/>
      <c r="AD293" s="1529"/>
      <c r="AE293" s="1529"/>
      <c r="AF293" s="1529"/>
      <c r="AG293" s="1529"/>
      <c r="AH293" s="1529"/>
      <c r="AI293" s="1529"/>
      <c r="AJ293" s="1529"/>
      <c r="AK293" s="1530"/>
      <c r="AL293" s="1529"/>
      <c r="AM293" s="1529"/>
      <c r="AN293" s="1529"/>
      <c r="AO293" s="1529"/>
      <c r="AP293" s="1529"/>
      <c r="AQ293" s="1529"/>
      <c r="AR293" s="1529"/>
      <c r="AS293" s="1529"/>
      <c r="AT293" s="1529"/>
      <c r="AU293" s="1529"/>
      <c r="AV293" s="1529"/>
      <c r="AW293" s="1529"/>
      <c r="AX293" s="1529"/>
      <c r="AY293" s="1529"/>
      <c r="AZ293" s="1529"/>
      <c r="BA293" s="1529"/>
      <c r="BB293" s="1529"/>
      <c r="BC293" s="1530"/>
      <c r="BD293" s="1529"/>
      <c r="BE293" s="1529"/>
      <c r="BF293" s="1529"/>
      <c r="BG293" s="1529"/>
      <c r="BH293" s="1529"/>
      <c r="BI293" s="1529"/>
      <c r="BJ293" s="1529"/>
      <c r="BK293" s="1529"/>
      <c r="BL293" s="1529"/>
      <c r="BM293" s="1529"/>
      <c r="BN293" s="1529"/>
      <c r="BO293" s="1529"/>
      <c r="BP293" s="1529"/>
      <c r="BQ293" s="1529"/>
      <c r="BR293" s="1529"/>
      <c r="BS293" s="1529"/>
      <c r="BT293" s="1529"/>
      <c r="BU293" s="1530"/>
      <c r="BV293" s="1529"/>
      <c r="BW293" s="1529"/>
      <c r="BX293" s="1529"/>
      <c r="BY293" s="1529"/>
      <c r="BZ293" s="1531" t="str">
        <f t="shared" si="750"/>
        <v/>
      </c>
      <c r="CA293" s="1531" t="str">
        <f t="shared" si="751"/>
        <v/>
      </c>
      <c r="CB293" s="1531" t="str">
        <f t="shared" si="752"/>
        <v/>
      </c>
      <c r="CC293" s="1532" t="str">
        <f t="shared" si="753"/>
        <v/>
      </c>
      <c r="CD293" s="1533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3" t="str">
        <f t="shared" si="767"/>
        <v/>
      </c>
      <c r="CF293" s="1533" t="str">
        <f t="shared" si="767"/>
        <v/>
      </c>
      <c r="CG293" s="1533" t="str">
        <f t="shared" si="767"/>
        <v/>
      </c>
      <c r="CH293" s="1533" t="str">
        <f t="shared" si="767"/>
        <v/>
      </c>
      <c r="CI293" s="1533" t="str">
        <f t="shared" si="767"/>
        <v/>
      </c>
      <c r="CJ293" s="1533" t="str">
        <f t="shared" si="767"/>
        <v/>
      </c>
      <c r="CK293" s="1533" t="str">
        <f t="shared" si="767"/>
        <v/>
      </c>
      <c r="CL293" s="1533" t="str">
        <f t="shared" si="767"/>
        <v/>
      </c>
      <c r="CM293" s="1533" t="str">
        <f t="shared" si="767"/>
        <v/>
      </c>
      <c r="CN293" s="1534" t="str">
        <f t="shared" si="614"/>
        <v/>
      </c>
      <c r="CO293" s="1534" t="str">
        <f t="shared" si="615"/>
        <v/>
      </c>
      <c r="CP293" s="1534" t="str">
        <f t="shared" si="616"/>
        <v/>
      </c>
      <c r="CQ293" s="1534" t="str">
        <f t="shared" si="617"/>
        <v/>
      </c>
      <c r="CR293" s="1534" t="str">
        <f t="shared" si="618"/>
        <v/>
      </c>
      <c r="CS293" s="1534" t="str">
        <f t="shared" si="619"/>
        <v/>
      </c>
      <c r="CT293" s="1534" t="str">
        <f t="shared" si="620"/>
        <v/>
      </c>
      <c r="CU293" s="1534" t="str">
        <f t="shared" si="621"/>
        <v/>
      </c>
      <c r="CV293" s="1534" t="str">
        <f t="shared" si="622"/>
        <v/>
      </c>
      <c r="CW293" s="1534" t="str">
        <f t="shared" si="623"/>
        <v/>
      </c>
      <c r="CX293" s="1534" t="str">
        <f t="shared" si="624"/>
        <v/>
      </c>
      <c r="CY293" s="1534" t="str">
        <f t="shared" si="625"/>
        <v/>
      </c>
      <c r="CZ293" s="1534" t="str">
        <f t="shared" si="626"/>
        <v/>
      </c>
      <c r="DA293" s="1534" t="str">
        <f t="shared" si="627"/>
        <v/>
      </c>
      <c r="DB293" s="1534" t="str">
        <f t="shared" si="628"/>
        <v/>
      </c>
      <c r="DC293" s="1534" t="str">
        <f t="shared" si="629"/>
        <v/>
      </c>
      <c r="DD293" s="1535">
        <f t="shared" si="768"/>
        <v>0</v>
      </c>
      <c r="DE293" s="1536">
        <f t="shared" si="769"/>
        <v>0</v>
      </c>
      <c r="DF293" s="1536">
        <f t="shared" si="770"/>
        <v>0</v>
      </c>
      <c r="DG293" s="1536">
        <f t="shared" si="771"/>
        <v>0</v>
      </c>
      <c r="DH293" s="1537"/>
      <c r="DI293" s="1538"/>
      <c r="DJ293" s="1538"/>
      <c r="DK293" s="1538"/>
      <c r="DL293" s="1538"/>
      <c r="DM293" s="1538"/>
      <c r="DN293" s="1538"/>
      <c r="DO293" s="1538"/>
      <c r="DP293" s="1538"/>
    </row>
    <row r="294" spans="1:121" s="1539" customFormat="1" ht="15.75" customHeight="1">
      <c r="A294" s="1540" t="s">
        <v>260</v>
      </c>
      <c r="B294" s="1541">
        <f>3440*$K$1</f>
        <v>14402.591999999999</v>
      </c>
      <c r="C294" s="1541">
        <f t="shared" ref="C294:K294" si="773">3440*$K$1</f>
        <v>14402.591999999999</v>
      </c>
      <c r="D294" s="1541">
        <f t="shared" si="773"/>
        <v>14402.591999999999</v>
      </c>
      <c r="E294" s="1541">
        <f t="shared" si="773"/>
        <v>14402.591999999999</v>
      </c>
      <c r="F294" s="1541">
        <f t="shared" si="773"/>
        <v>14402.591999999999</v>
      </c>
      <c r="G294" s="1541">
        <f t="shared" si="773"/>
        <v>14402.591999999999</v>
      </c>
      <c r="H294" s="1541">
        <f t="shared" si="773"/>
        <v>14402.591999999999</v>
      </c>
      <c r="I294" s="1541">
        <f t="shared" si="773"/>
        <v>14402.591999999999</v>
      </c>
      <c r="J294" s="1541">
        <f t="shared" si="773"/>
        <v>14402.591999999999</v>
      </c>
      <c r="K294" s="1541">
        <f t="shared" si="773"/>
        <v>14402.591999999999</v>
      </c>
      <c r="L294" s="1541"/>
      <c r="M294" s="1541"/>
      <c r="N294" s="1541"/>
      <c r="O294" s="1541"/>
      <c r="P294" s="1541"/>
      <c r="Q294" s="1541"/>
      <c r="R294" s="1541"/>
      <c r="S294" s="1563"/>
      <c r="T294" s="1541">
        <f>3440*$K$1</f>
        <v>14402.591999999999</v>
      </c>
      <c r="U294" s="1541">
        <f t="shared" ref="U294:AC294" si="774">3440*$K$1</f>
        <v>14402.591999999999</v>
      </c>
      <c r="V294" s="1541">
        <f t="shared" si="774"/>
        <v>14402.591999999999</v>
      </c>
      <c r="W294" s="1541">
        <f t="shared" si="774"/>
        <v>14402.591999999999</v>
      </c>
      <c r="X294" s="1541">
        <f t="shared" si="774"/>
        <v>14402.591999999999</v>
      </c>
      <c r="Y294" s="1541">
        <f t="shared" si="774"/>
        <v>14402.591999999999</v>
      </c>
      <c r="Z294" s="1541">
        <f t="shared" si="774"/>
        <v>14402.591999999999</v>
      </c>
      <c r="AA294" s="1541">
        <f t="shared" si="774"/>
        <v>14402.591999999999</v>
      </c>
      <c r="AB294" s="1541">
        <f t="shared" si="774"/>
        <v>14402.591999999999</v>
      </c>
      <c r="AC294" s="1541">
        <f t="shared" si="774"/>
        <v>14402.591999999999</v>
      </c>
      <c r="AD294" s="1541"/>
      <c r="AE294" s="1541"/>
      <c r="AF294" s="1541"/>
      <c r="AG294" s="1541"/>
      <c r="AH294" s="1541"/>
      <c r="AI294" s="1541"/>
      <c r="AJ294" s="1541"/>
      <c r="AK294" s="1563"/>
      <c r="AL294" s="1541">
        <f>3440*$K$1</f>
        <v>14402.591999999999</v>
      </c>
      <c r="AM294" s="1541">
        <f t="shared" ref="AM294:AU294" si="775">3440*$K$1</f>
        <v>14402.591999999999</v>
      </c>
      <c r="AN294" s="1541">
        <f t="shared" si="775"/>
        <v>14402.591999999999</v>
      </c>
      <c r="AO294" s="1541">
        <f t="shared" si="775"/>
        <v>14402.591999999999</v>
      </c>
      <c r="AP294" s="1541">
        <f t="shared" si="775"/>
        <v>14402.591999999999</v>
      </c>
      <c r="AQ294" s="1541">
        <f t="shared" si="775"/>
        <v>14402.591999999999</v>
      </c>
      <c r="AR294" s="1541">
        <f t="shared" si="775"/>
        <v>14402.591999999999</v>
      </c>
      <c r="AS294" s="1541">
        <f t="shared" si="775"/>
        <v>14402.591999999999</v>
      </c>
      <c r="AT294" s="1541">
        <f t="shared" si="775"/>
        <v>14402.591999999999</v>
      </c>
      <c r="AU294" s="1541">
        <f t="shared" si="775"/>
        <v>14402.591999999999</v>
      </c>
      <c r="AV294" s="1541"/>
      <c r="AW294" s="1541"/>
      <c r="AX294" s="1541"/>
      <c r="AY294" s="1541"/>
      <c r="AZ294" s="1541"/>
      <c r="BA294" s="1541"/>
      <c r="BB294" s="1541"/>
      <c r="BC294" s="1563"/>
      <c r="BD294" s="1541">
        <f>3440*$K$1</f>
        <v>14402.591999999999</v>
      </c>
      <c r="BE294" s="1541">
        <f t="shared" ref="BE294:BY294" si="776">3440*$K$1</f>
        <v>14402.591999999999</v>
      </c>
      <c r="BF294" s="1541">
        <f t="shared" si="776"/>
        <v>14402.591999999999</v>
      </c>
      <c r="BG294" s="1541">
        <f t="shared" si="776"/>
        <v>14402.591999999999</v>
      </c>
      <c r="BH294" s="1541">
        <f t="shared" si="776"/>
        <v>14402.591999999999</v>
      </c>
      <c r="BI294" s="1541">
        <f t="shared" si="776"/>
        <v>14402.591999999999</v>
      </c>
      <c r="BJ294" s="1541">
        <f t="shared" si="776"/>
        <v>14402.591999999999</v>
      </c>
      <c r="BK294" s="1541">
        <f t="shared" si="776"/>
        <v>14402.591999999999</v>
      </c>
      <c r="BL294" s="1541">
        <f t="shared" si="776"/>
        <v>14402.591999999999</v>
      </c>
      <c r="BM294" s="1541">
        <f t="shared" si="776"/>
        <v>14402.591999999999</v>
      </c>
      <c r="BN294" s="1541"/>
      <c r="BO294" s="1541"/>
      <c r="BP294" s="1541"/>
      <c r="BQ294" s="1541"/>
      <c r="BR294" s="1541"/>
      <c r="BS294" s="1541"/>
      <c r="BT294" s="1541"/>
      <c r="BU294" s="1530"/>
      <c r="BV294" s="1541">
        <f t="shared" si="776"/>
        <v>14402.591999999999</v>
      </c>
      <c r="BW294" s="1541">
        <f t="shared" si="776"/>
        <v>14402.591999999999</v>
      </c>
      <c r="BX294" s="1541">
        <f t="shared" si="776"/>
        <v>14402.591999999999</v>
      </c>
      <c r="BY294" s="1541">
        <f t="shared" si="776"/>
        <v>14402.591999999999</v>
      </c>
      <c r="BZ294" s="1531">
        <f t="shared" si="750"/>
        <v>14402.592000000001</v>
      </c>
      <c r="CA294" s="1531">
        <f t="shared" si="751"/>
        <v>14402.592000000001</v>
      </c>
      <c r="CB294" s="1531">
        <f t="shared" si="752"/>
        <v>14402.592000000001</v>
      </c>
      <c r="CC294" s="1532">
        <f t="shared" si="753"/>
        <v>14402.592000000001</v>
      </c>
      <c r="CD294" s="1533">
        <f t="shared" si="772"/>
        <v>14402.591999999999</v>
      </c>
      <c r="CE294" s="1533">
        <f t="shared" si="767"/>
        <v>14402.591999999999</v>
      </c>
      <c r="CF294" s="1533">
        <f t="shared" si="767"/>
        <v>14402.591999999999</v>
      </c>
      <c r="CG294" s="1533">
        <f t="shared" si="767"/>
        <v>14402.591999999999</v>
      </c>
      <c r="CH294" s="1533">
        <f t="shared" si="767"/>
        <v>14402.591999999999</v>
      </c>
      <c r="CI294" s="1533">
        <f t="shared" si="767"/>
        <v>14402.591999999999</v>
      </c>
      <c r="CJ294" s="1533">
        <f t="shared" si="767"/>
        <v>14402.591999999999</v>
      </c>
      <c r="CK294" s="1533">
        <f t="shared" si="767"/>
        <v>14402.591999999999</v>
      </c>
      <c r="CL294" s="1533">
        <f t="shared" si="767"/>
        <v>14402.591999999999</v>
      </c>
      <c r="CM294" s="1533">
        <f t="shared" si="767"/>
        <v>14402.591999999999</v>
      </c>
      <c r="CN294" s="1534" t="str">
        <f t="shared" si="614"/>
        <v/>
      </c>
      <c r="CO294" s="1534" t="str">
        <f t="shared" si="615"/>
        <v/>
      </c>
      <c r="CP294" s="1534" t="str">
        <f t="shared" si="616"/>
        <v/>
      </c>
      <c r="CQ294" s="1534">
        <f t="shared" si="617"/>
        <v>14402.591999999999</v>
      </c>
      <c r="CR294" s="1534">
        <f t="shared" si="618"/>
        <v>14402.591999999999</v>
      </c>
      <c r="CS294" s="1534">
        <f t="shared" si="619"/>
        <v>14402.591999999999</v>
      </c>
      <c r="CT294" s="1534">
        <f t="shared" si="620"/>
        <v>14402.591999999999</v>
      </c>
      <c r="CU294" s="1534">
        <f t="shared" si="621"/>
        <v>14402.591999999999</v>
      </c>
      <c r="CV294" s="1534">
        <f t="shared" si="622"/>
        <v>14402.591999999999</v>
      </c>
      <c r="CW294" s="1534">
        <f t="shared" si="623"/>
        <v>14402.591999999999</v>
      </c>
      <c r="CX294" s="1534">
        <f t="shared" si="624"/>
        <v>14402.591999999999</v>
      </c>
      <c r="CY294" s="1534">
        <f t="shared" si="625"/>
        <v>14402.591999999999</v>
      </c>
      <c r="CZ294" s="1534">
        <f t="shared" si="626"/>
        <v>14402.591999999999</v>
      </c>
      <c r="DA294" s="1534" t="str">
        <f t="shared" si="627"/>
        <v/>
      </c>
      <c r="DB294" s="1534" t="str">
        <f t="shared" si="628"/>
        <v/>
      </c>
      <c r="DC294" s="1534" t="str">
        <f t="shared" si="629"/>
        <v/>
      </c>
      <c r="DD294" s="1535">
        <f t="shared" si="768"/>
        <v>10</v>
      </c>
      <c r="DE294" s="1536">
        <f t="shared" si="769"/>
        <v>10</v>
      </c>
      <c r="DF294" s="1536">
        <f t="shared" si="770"/>
        <v>10</v>
      </c>
      <c r="DG294" s="1536">
        <f t="shared" si="771"/>
        <v>10</v>
      </c>
      <c r="DH294" s="1537"/>
      <c r="DI294" s="1538"/>
      <c r="DJ294" s="1538"/>
      <c r="DK294" s="1538"/>
      <c r="DL294" s="1538"/>
      <c r="DM294" s="1538"/>
      <c r="DN294" s="1538"/>
      <c r="DO294" s="1538"/>
      <c r="DP294" s="1538"/>
    </row>
    <row r="295" spans="1:121" s="1539" customFormat="1" ht="15.75" customHeight="1">
      <c r="A295" s="1542" t="s">
        <v>257</v>
      </c>
      <c r="B295" s="1543"/>
      <c r="C295" s="1543"/>
      <c r="D295" s="1543"/>
      <c r="E295" s="1543"/>
      <c r="F295" s="1543"/>
      <c r="G295" s="1543"/>
      <c r="H295" s="1543"/>
      <c r="I295" s="1543"/>
      <c r="J295" s="1543"/>
      <c r="K295" s="1543"/>
      <c r="L295" s="1543"/>
      <c r="M295" s="1543"/>
      <c r="N295" s="1543"/>
      <c r="O295" s="1543"/>
      <c r="P295" s="1543"/>
      <c r="Q295" s="1543"/>
      <c r="R295" s="1543"/>
      <c r="S295" s="1530"/>
      <c r="T295" s="1543"/>
      <c r="U295" s="1543"/>
      <c r="V295" s="1543"/>
      <c r="W295" s="1543"/>
      <c r="X295" s="1543"/>
      <c r="Y295" s="1543"/>
      <c r="Z295" s="1543"/>
      <c r="AA295" s="1543"/>
      <c r="AB295" s="1543"/>
      <c r="AC295" s="1543"/>
      <c r="AD295" s="1543"/>
      <c r="AE295" s="1543"/>
      <c r="AF295" s="1543"/>
      <c r="AG295" s="1543"/>
      <c r="AH295" s="1543"/>
      <c r="AI295" s="1543"/>
      <c r="AJ295" s="1543"/>
      <c r="AK295" s="1530"/>
      <c r="AL295" s="1543"/>
      <c r="AM295" s="1543"/>
      <c r="AN295" s="1543"/>
      <c r="AO295" s="1543"/>
      <c r="AP295" s="1543"/>
      <c r="AQ295" s="1543"/>
      <c r="AR295" s="1543"/>
      <c r="AS295" s="1543"/>
      <c r="AT295" s="1543"/>
      <c r="AU295" s="1543"/>
      <c r="AV295" s="1543"/>
      <c r="AW295" s="1543"/>
      <c r="AX295" s="1543"/>
      <c r="AY295" s="1543"/>
      <c r="AZ295" s="1543"/>
      <c r="BA295" s="1543"/>
      <c r="BB295" s="1543"/>
      <c r="BC295" s="1530"/>
      <c r="BD295" s="1543"/>
      <c r="BE295" s="1543"/>
      <c r="BF295" s="1543"/>
      <c r="BG295" s="1543"/>
      <c r="BH295" s="1543"/>
      <c r="BI295" s="1543"/>
      <c r="BJ295" s="1543"/>
      <c r="BK295" s="1543"/>
      <c r="BL295" s="1543"/>
      <c r="BM295" s="1543"/>
      <c r="BN295" s="1543"/>
      <c r="BO295" s="1543"/>
      <c r="BP295" s="1543"/>
      <c r="BQ295" s="1543"/>
      <c r="BR295" s="1543"/>
      <c r="BS295" s="1543"/>
      <c r="BT295" s="1543"/>
      <c r="BU295" s="1530"/>
      <c r="BV295" s="1543"/>
      <c r="BW295" s="1543"/>
      <c r="BX295" s="1543"/>
      <c r="BY295" s="1543"/>
      <c r="BZ295" s="1531" t="str">
        <f t="shared" si="750"/>
        <v/>
      </c>
      <c r="CA295" s="1531" t="str">
        <f t="shared" si="751"/>
        <v/>
      </c>
      <c r="CB295" s="1531" t="str">
        <f t="shared" si="752"/>
        <v/>
      </c>
      <c r="CC295" s="1532" t="str">
        <f t="shared" si="753"/>
        <v/>
      </c>
      <c r="CD295" s="1533" t="str">
        <f t="shared" si="772"/>
        <v/>
      </c>
      <c r="CE295" s="1533" t="str">
        <f t="shared" si="767"/>
        <v/>
      </c>
      <c r="CF295" s="1533" t="str">
        <f t="shared" si="767"/>
        <v/>
      </c>
      <c r="CG295" s="1533" t="str">
        <f t="shared" si="767"/>
        <v/>
      </c>
      <c r="CH295" s="1533" t="str">
        <f t="shared" si="767"/>
        <v/>
      </c>
      <c r="CI295" s="1533" t="str">
        <f t="shared" si="767"/>
        <v/>
      </c>
      <c r="CJ295" s="1533" t="str">
        <f t="shared" si="767"/>
        <v/>
      </c>
      <c r="CK295" s="1533" t="str">
        <f t="shared" si="767"/>
        <v/>
      </c>
      <c r="CL295" s="1533" t="str">
        <f t="shared" si="767"/>
        <v/>
      </c>
      <c r="CM295" s="1533" t="str">
        <f t="shared" si="767"/>
        <v/>
      </c>
      <c r="CN295" s="1534" t="str">
        <f t="shared" si="614"/>
        <v/>
      </c>
      <c r="CO295" s="1534" t="str">
        <f t="shared" si="615"/>
        <v/>
      </c>
      <c r="CP295" s="1534" t="str">
        <f t="shared" si="616"/>
        <v/>
      </c>
      <c r="CQ295" s="1534" t="str">
        <f t="shared" si="617"/>
        <v/>
      </c>
      <c r="CR295" s="1534" t="str">
        <f t="shared" si="618"/>
        <v/>
      </c>
      <c r="CS295" s="1534" t="str">
        <f t="shared" si="619"/>
        <v/>
      </c>
      <c r="CT295" s="1534" t="str">
        <f t="shared" si="620"/>
        <v/>
      </c>
      <c r="CU295" s="1534" t="str">
        <f t="shared" si="621"/>
        <v/>
      </c>
      <c r="CV295" s="1534" t="str">
        <f t="shared" si="622"/>
        <v/>
      </c>
      <c r="CW295" s="1534" t="str">
        <f t="shared" si="623"/>
        <v/>
      </c>
      <c r="CX295" s="1534" t="str">
        <f t="shared" si="624"/>
        <v/>
      </c>
      <c r="CY295" s="1534" t="str">
        <f t="shared" si="625"/>
        <v/>
      </c>
      <c r="CZ295" s="1534" t="str">
        <f t="shared" si="626"/>
        <v/>
      </c>
      <c r="DA295" s="1534" t="str">
        <f t="shared" si="627"/>
        <v/>
      </c>
      <c r="DB295" s="1534" t="str">
        <f t="shared" si="628"/>
        <v/>
      </c>
      <c r="DC295" s="1534" t="str">
        <f t="shared" si="629"/>
        <v/>
      </c>
      <c r="DD295" s="1535">
        <f t="shared" si="768"/>
        <v>0</v>
      </c>
      <c r="DE295" s="1536">
        <f t="shared" si="769"/>
        <v>0</v>
      </c>
      <c r="DF295" s="1536">
        <f t="shared" si="770"/>
        <v>0</v>
      </c>
      <c r="DG295" s="1536">
        <f t="shared" si="771"/>
        <v>0</v>
      </c>
      <c r="DH295" s="1537"/>
      <c r="DI295" s="1538"/>
      <c r="DJ295" s="1538"/>
      <c r="DK295" s="1538"/>
      <c r="DL295" s="1538"/>
      <c r="DM295" s="1538"/>
      <c r="DN295" s="1538"/>
      <c r="DO295" s="1538"/>
      <c r="DP295" s="1538"/>
    </row>
    <row r="296" spans="1:121" s="1539" customFormat="1" ht="15.75" customHeight="1">
      <c r="A296" s="1545" t="s">
        <v>181</v>
      </c>
      <c r="B296" s="1546"/>
      <c r="C296" s="1546"/>
      <c r="D296" s="1546"/>
      <c r="E296" s="1546"/>
      <c r="F296" s="1546"/>
      <c r="G296" s="1546"/>
      <c r="H296" s="1546"/>
      <c r="I296" s="1546"/>
      <c r="J296" s="1546"/>
      <c r="K296" s="1546"/>
      <c r="L296" s="1546"/>
      <c r="M296" s="1546"/>
      <c r="N296" s="1546"/>
      <c r="O296" s="1546"/>
      <c r="P296" s="1546"/>
      <c r="Q296" s="1546"/>
      <c r="R296" s="1546"/>
      <c r="S296" s="1530"/>
      <c r="T296" s="1546"/>
      <c r="U296" s="1546"/>
      <c r="V296" s="1546"/>
      <c r="W296" s="1546"/>
      <c r="X296" s="1546"/>
      <c r="Y296" s="1546"/>
      <c r="Z296" s="1546"/>
      <c r="AA296" s="1546"/>
      <c r="AB296" s="1546"/>
      <c r="AC296" s="1546"/>
      <c r="AD296" s="1546"/>
      <c r="AE296" s="1546"/>
      <c r="AF296" s="1546"/>
      <c r="AG296" s="1546"/>
      <c r="AH296" s="1546"/>
      <c r="AI296" s="1546"/>
      <c r="AJ296" s="1546"/>
      <c r="AK296" s="1530"/>
      <c r="AL296" s="1546"/>
      <c r="AM296" s="1546"/>
      <c r="AN296" s="1546"/>
      <c r="AO296" s="1546"/>
      <c r="AP296" s="1546"/>
      <c r="AQ296" s="1546"/>
      <c r="AR296" s="1546"/>
      <c r="AS296" s="1546"/>
      <c r="AT296" s="1546"/>
      <c r="AU296" s="1546"/>
      <c r="AV296" s="1546"/>
      <c r="AW296" s="1546"/>
      <c r="AX296" s="1546"/>
      <c r="AY296" s="1546"/>
      <c r="AZ296" s="1546"/>
      <c r="BA296" s="1546"/>
      <c r="BB296" s="1546"/>
      <c r="BC296" s="1530"/>
      <c r="BD296" s="1546"/>
      <c r="BE296" s="1546"/>
      <c r="BF296" s="1546"/>
      <c r="BG296" s="1546"/>
      <c r="BH296" s="1546"/>
      <c r="BI296" s="1546"/>
      <c r="BJ296" s="1546"/>
      <c r="BK296" s="1546"/>
      <c r="BL296" s="1546"/>
      <c r="BM296" s="1546"/>
      <c r="BN296" s="1546"/>
      <c r="BO296" s="1546"/>
      <c r="BP296" s="1546"/>
      <c r="BQ296" s="1546"/>
      <c r="BR296" s="1546"/>
      <c r="BS296" s="1546"/>
      <c r="BT296" s="1546"/>
      <c r="BU296" s="1530"/>
      <c r="BV296" s="1546"/>
      <c r="BW296" s="1546"/>
      <c r="BX296" s="1546"/>
      <c r="BY296" s="1546"/>
      <c r="BZ296" s="1531" t="str">
        <f t="shared" si="750"/>
        <v/>
      </c>
      <c r="CA296" s="1531" t="str">
        <f t="shared" si="751"/>
        <v/>
      </c>
      <c r="CB296" s="1531" t="str">
        <f t="shared" si="752"/>
        <v/>
      </c>
      <c r="CC296" s="1532" t="str">
        <f t="shared" si="753"/>
        <v/>
      </c>
      <c r="CD296" s="1533" t="str">
        <f t="shared" si="772"/>
        <v/>
      </c>
      <c r="CE296" s="1533" t="str">
        <f t="shared" si="767"/>
        <v/>
      </c>
      <c r="CF296" s="1533" t="str">
        <f t="shared" si="767"/>
        <v/>
      </c>
      <c r="CG296" s="1533" t="str">
        <f t="shared" si="767"/>
        <v/>
      </c>
      <c r="CH296" s="1533" t="str">
        <f t="shared" si="767"/>
        <v/>
      </c>
      <c r="CI296" s="1533" t="str">
        <f t="shared" si="767"/>
        <v/>
      </c>
      <c r="CJ296" s="1533" t="str">
        <f t="shared" si="767"/>
        <v/>
      </c>
      <c r="CK296" s="1533" t="str">
        <f t="shared" si="767"/>
        <v/>
      </c>
      <c r="CL296" s="1533" t="str">
        <f t="shared" si="767"/>
        <v/>
      </c>
      <c r="CM296" s="1533" t="str">
        <f t="shared" si="767"/>
        <v/>
      </c>
      <c r="CN296" s="1534" t="str">
        <f t="shared" si="614"/>
        <v/>
      </c>
      <c r="CO296" s="1534" t="str">
        <f t="shared" si="615"/>
        <v/>
      </c>
      <c r="CP296" s="1534" t="str">
        <f t="shared" si="616"/>
        <v/>
      </c>
      <c r="CQ296" s="1534" t="str">
        <f t="shared" si="617"/>
        <v/>
      </c>
      <c r="CR296" s="1534" t="str">
        <f t="shared" si="618"/>
        <v/>
      </c>
      <c r="CS296" s="1534" t="str">
        <f t="shared" si="619"/>
        <v/>
      </c>
      <c r="CT296" s="1534" t="str">
        <f t="shared" si="620"/>
        <v/>
      </c>
      <c r="CU296" s="1534" t="str">
        <f t="shared" si="621"/>
        <v/>
      </c>
      <c r="CV296" s="1534" t="str">
        <f t="shared" si="622"/>
        <v/>
      </c>
      <c r="CW296" s="1534" t="str">
        <f t="shared" si="623"/>
        <v/>
      </c>
      <c r="CX296" s="1534" t="str">
        <f t="shared" si="624"/>
        <v/>
      </c>
      <c r="CY296" s="1534" t="str">
        <f t="shared" si="625"/>
        <v/>
      </c>
      <c r="CZ296" s="1534" t="str">
        <f t="shared" si="626"/>
        <v/>
      </c>
      <c r="DA296" s="1534" t="str">
        <f t="shared" si="627"/>
        <v/>
      </c>
      <c r="DB296" s="1534" t="str">
        <f t="shared" si="628"/>
        <v/>
      </c>
      <c r="DC296" s="1534" t="str">
        <f t="shared" si="629"/>
        <v/>
      </c>
      <c r="DD296" s="1535">
        <f t="shared" si="768"/>
        <v>0</v>
      </c>
      <c r="DE296" s="1536">
        <f t="shared" si="769"/>
        <v>0</v>
      </c>
      <c r="DF296" s="1536">
        <f t="shared" si="770"/>
        <v>0</v>
      </c>
      <c r="DG296" s="1536">
        <f t="shared" si="771"/>
        <v>0</v>
      </c>
      <c r="DH296" s="1537"/>
      <c r="DI296" s="1538"/>
      <c r="DJ296" s="1538"/>
      <c r="DK296" s="1538"/>
      <c r="DL296" s="1538"/>
      <c r="DM296" s="1538"/>
      <c r="DN296" s="1538"/>
      <c r="DO296" s="1538"/>
      <c r="DP296" s="1538"/>
    </row>
    <row r="297" spans="1:121" s="1539" customFormat="1" ht="15.75" customHeight="1">
      <c r="A297" s="1545" t="s">
        <v>183</v>
      </c>
      <c r="B297" s="1547" t="str">
        <f t="shared" ref="B297:K297" si="777">IF(B295="","",B295*B296)</f>
        <v/>
      </c>
      <c r="C297" s="1547" t="str">
        <f t="shared" si="777"/>
        <v/>
      </c>
      <c r="D297" s="1547" t="str">
        <f t="shared" si="777"/>
        <v/>
      </c>
      <c r="E297" s="1547" t="str">
        <f t="shared" si="777"/>
        <v/>
      </c>
      <c r="F297" s="1547" t="str">
        <f t="shared" si="777"/>
        <v/>
      </c>
      <c r="G297" s="1547" t="str">
        <f t="shared" si="777"/>
        <v/>
      </c>
      <c r="H297" s="1547" t="str">
        <f t="shared" si="777"/>
        <v/>
      </c>
      <c r="I297" s="1547" t="str">
        <f t="shared" si="777"/>
        <v/>
      </c>
      <c r="J297" s="1547" t="str">
        <f t="shared" si="777"/>
        <v/>
      </c>
      <c r="K297" s="1547" t="str">
        <f t="shared" si="777"/>
        <v/>
      </c>
      <c r="L297" s="1547"/>
      <c r="M297" s="1547"/>
      <c r="N297" s="1547"/>
      <c r="O297" s="1547"/>
      <c r="P297" s="1547"/>
      <c r="Q297" s="1547"/>
      <c r="R297" s="1547"/>
      <c r="S297" s="1547"/>
      <c r="T297" s="1547" t="str">
        <f t="shared" ref="T297:AC297" si="778">IF(T295="","",T295*T296)</f>
        <v/>
      </c>
      <c r="U297" s="1547" t="str">
        <f t="shared" si="778"/>
        <v/>
      </c>
      <c r="V297" s="1547" t="str">
        <f t="shared" si="778"/>
        <v/>
      </c>
      <c r="W297" s="1547" t="str">
        <f t="shared" si="778"/>
        <v/>
      </c>
      <c r="X297" s="1547" t="str">
        <f t="shared" si="778"/>
        <v/>
      </c>
      <c r="Y297" s="1547" t="str">
        <f t="shared" si="778"/>
        <v/>
      </c>
      <c r="Z297" s="1547" t="str">
        <f t="shared" si="778"/>
        <v/>
      </c>
      <c r="AA297" s="1547" t="str">
        <f t="shared" si="778"/>
        <v/>
      </c>
      <c r="AB297" s="1547" t="str">
        <f t="shared" si="778"/>
        <v/>
      </c>
      <c r="AC297" s="1547" t="str">
        <f t="shared" si="778"/>
        <v/>
      </c>
      <c r="AD297" s="1547"/>
      <c r="AE297" s="1547"/>
      <c r="AF297" s="1547"/>
      <c r="AG297" s="1547"/>
      <c r="AH297" s="1547"/>
      <c r="AI297" s="1547"/>
      <c r="AJ297" s="1547"/>
      <c r="AK297" s="1547"/>
      <c r="AL297" s="1547" t="str">
        <f t="shared" ref="AL297:AU297" si="779">IF(AL295="","",AL295*AL296)</f>
        <v/>
      </c>
      <c r="AM297" s="1547" t="str">
        <f t="shared" si="779"/>
        <v/>
      </c>
      <c r="AN297" s="1547" t="str">
        <f t="shared" si="779"/>
        <v/>
      </c>
      <c r="AO297" s="1547" t="str">
        <f t="shared" si="779"/>
        <v/>
      </c>
      <c r="AP297" s="1547" t="str">
        <f t="shared" si="779"/>
        <v/>
      </c>
      <c r="AQ297" s="1547" t="str">
        <f t="shared" si="779"/>
        <v/>
      </c>
      <c r="AR297" s="1547" t="str">
        <f t="shared" si="779"/>
        <v/>
      </c>
      <c r="AS297" s="1547" t="str">
        <f t="shared" si="779"/>
        <v/>
      </c>
      <c r="AT297" s="1547" t="str">
        <f t="shared" si="779"/>
        <v/>
      </c>
      <c r="AU297" s="1547" t="str">
        <f t="shared" si="779"/>
        <v/>
      </c>
      <c r="AV297" s="1547"/>
      <c r="AW297" s="1547"/>
      <c r="AX297" s="1547"/>
      <c r="AY297" s="1547"/>
      <c r="AZ297" s="1547"/>
      <c r="BA297" s="1547"/>
      <c r="BB297" s="1547"/>
      <c r="BC297" s="1547"/>
      <c r="BD297" s="1547" t="str">
        <f t="shared" ref="BD297:BM297" si="780">IF(BD295="","",BD295*BD296)</f>
        <v/>
      </c>
      <c r="BE297" s="1547" t="str">
        <f t="shared" si="780"/>
        <v/>
      </c>
      <c r="BF297" s="1547" t="str">
        <f t="shared" si="780"/>
        <v/>
      </c>
      <c r="BG297" s="1547" t="str">
        <f t="shared" si="780"/>
        <v/>
      </c>
      <c r="BH297" s="1547" t="str">
        <f t="shared" si="780"/>
        <v/>
      </c>
      <c r="BI297" s="1547" t="str">
        <f t="shared" si="780"/>
        <v/>
      </c>
      <c r="BJ297" s="1547" t="str">
        <f t="shared" si="780"/>
        <v/>
      </c>
      <c r="BK297" s="1547" t="str">
        <f t="shared" si="780"/>
        <v/>
      </c>
      <c r="BL297" s="1547" t="str">
        <f t="shared" si="780"/>
        <v/>
      </c>
      <c r="BM297" s="1547" t="str">
        <f t="shared" si="780"/>
        <v/>
      </c>
      <c r="BN297" s="1547"/>
      <c r="BO297" s="1547"/>
      <c r="BP297" s="1547"/>
      <c r="BQ297" s="1547"/>
      <c r="BR297" s="1547"/>
      <c r="BS297" s="1547"/>
      <c r="BT297" s="1547"/>
      <c r="BU297" s="1547"/>
      <c r="BV297" s="1547" t="str">
        <f>IF(BV295="","",BV295*BV296)</f>
        <v/>
      </c>
      <c r="BW297" s="1547" t="str">
        <f>IF(BW295="","",BW295*BW296)</f>
        <v/>
      </c>
      <c r="BX297" s="1547" t="str">
        <f>IF(BX295="","",BX295*BX296)</f>
        <v/>
      </c>
      <c r="BY297" s="1547" t="str">
        <f>IF(BY295="","",BY295*BY296)</f>
        <v/>
      </c>
      <c r="BZ297" s="1531" t="str">
        <f t="shared" si="750"/>
        <v/>
      </c>
      <c r="CA297" s="1531" t="str">
        <f t="shared" si="751"/>
        <v/>
      </c>
      <c r="CB297" s="1531" t="str">
        <f t="shared" si="752"/>
        <v/>
      </c>
      <c r="CC297" s="1532" t="str">
        <f t="shared" si="753"/>
        <v/>
      </c>
      <c r="CD297" s="1533" t="str">
        <f t="shared" si="772"/>
        <v/>
      </c>
      <c r="CE297" s="1533" t="str">
        <f t="shared" si="767"/>
        <v/>
      </c>
      <c r="CF297" s="1533" t="str">
        <f t="shared" si="767"/>
        <v/>
      </c>
      <c r="CG297" s="1533" t="str">
        <f t="shared" si="767"/>
        <v/>
      </c>
      <c r="CH297" s="1533" t="str">
        <f t="shared" si="767"/>
        <v/>
      </c>
      <c r="CI297" s="1533" t="str">
        <f t="shared" si="767"/>
        <v/>
      </c>
      <c r="CJ297" s="1533" t="str">
        <f t="shared" si="767"/>
        <v/>
      </c>
      <c r="CK297" s="1533" t="str">
        <f t="shared" si="767"/>
        <v/>
      </c>
      <c r="CL297" s="1533" t="str">
        <f t="shared" si="767"/>
        <v/>
      </c>
      <c r="CM297" s="1533" t="str">
        <f t="shared" si="767"/>
        <v/>
      </c>
      <c r="CN297" s="1534" t="str">
        <f t="shared" si="614"/>
        <v/>
      </c>
      <c r="CO297" s="1534" t="str">
        <f t="shared" si="615"/>
        <v/>
      </c>
      <c r="CP297" s="1534" t="str">
        <f t="shared" si="616"/>
        <v/>
      </c>
      <c r="CQ297" s="1534" t="str">
        <f t="shared" si="617"/>
        <v/>
      </c>
      <c r="CR297" s="1534" t="str">
        <f t="shared" si="618"/>
        <v/>
      </c>
      <c r="CS297" s="1534" t="str">
        <f t="shared" si="619"/>
        <v/>
      </c>
      <c r="CT297" s="1534" t="str">
        <f t="shared" si="620"/>
        <v/>
      </c>
      <c r="CU297" s="1534" t="str">
        <f t="shared" si="621"/>
        <v/>
      </c>
      <c r="CV297" s="1534" t="str">
        <f t="shared" si="622"/>
        <v/>
      </c>
      <c r="CW297" s="1534" t="str">
        <f t="shared" si="623"/>
        <v/>
      </c>
      <c r="CX297" s="1534" t="str">
        <f t="shared" si="624"/>
        <v/>
      </c>
      <c r="CY297" s="1534" t="str">
        <f t="shared" si="625"/>
        <v/>
      </c>
      <c r="CZ297" s="1534" t="str">
        <f t="shared" si="626"/>
        <v/>
      </c>
      <c r="DA297" s="1534" t="str">
        <f t="shared" si="627"/>
        <v/>
      </c>
      <c r="DB297" s="1534" t="str">
        <f t="shared" si="628"/>
        <v/>
      </c>
      <c r="DC297" s="1534" t="str">
        <f t="shared" si="629"/>
        <v/>
      </c>
      <c r="DD297" s="1535">
        <f t="shared" si="768"/>
        <v>0</v>
      </c>
      <c r="DE297" s="1536">
        <f t="shared" si="769"/>
        <v>0</v>
      </c>
      <c r="DF297" s="1536">
        <f t="shared" si="770"/>
        <v>0</v>
      </c>
      <c r="DG297" s="1536">
        <f t="shared" si="771"/>
        <v>0</v>
      </c>
      <c r="DH297" s="1537"/>
      <c r="DI297" s="1538"/>
      <c r="DJ297" s="1538"/>
      <c r="DK297" s="1538"/>
      <c r="DL297" s="1538"/>
      <c r="DM297" s="1538"/>
      <c r="DN297" s="1538"/>
      <c r="DO297" s="1538"/>
      <c r="DP297" s="1538"/>
    </row>
    <row r="298" spans="1:121" s="1539" customFormat="1" ht="15.75" customHeight="1">
      <c r="A298" s="1545" t="s">
        <v>258</v>
      </c>
      <c r="B298" s="1548"/>
      <c r="C298" s="1548"/>
      <c r="D298" s="1548"/>
      <c r="E298" s="1548"/>
      <c r="F298" s="1548"/>
      <c r="G298" s="1548"/>
      <c r="H298" s="1548"/>
      <c r="I298" s="1548"/>
      <c r="J298" s="1548"/>
      <c r="K298" s="1548"/>
      <c r="L298" s="1548"/>
      <c r="M298" s="1548"/>
      <c r="N298" s="1548"/>
      <c r="O298" s="1548"/>
      <c r="P298" s="1548"/>
      <c r="Q298" s="1548"/>
      <c r="R298" s="1548"/>
      <c r="S298" s="1561"/>
      <c r="T298" s="1548"/>
      <c r="U298" s="1548"/>
      <c r="V298" s="1548"/>
      <c r="W298" s="1548"/>
      <c r="X298" s="1548"/>
      <c r="Y298" s="1548"/>
      <c r="Z298" s="1548"/>
      <c r="AA298" s="1548"/>
      <c r="AB298" s="1548"/>
      <c r="AC298" s="1548"/>
      <c r="AD298" s="1548"/>
      <c r="AE298" s="1548"/>
      <c r="AF298" s="1548"/>
      <c r="AG298" s="1548"/>
      <c r="AH298" s="1548"/>
      <c r="AI298" s="1548"/>
      <c r="AJ298" s="1548"/>
      <c r="AK298" s="1561"/>
      <c r="AL298" s="1548"/>
      <c r="AM298" s="1548"/>
      <c r="AN298" s="1548"/>
      <c r="AO298" s="1548"/>
      <c r="AP298" s="1548"/>
      <c r="AQ298" s="1548"/>
      <c r="AR298" s="1548"/>
      <c r="AS298" s="1548"/>
      <c r="AT298" s="1548"/>
      <c r="AU298" s="1548"/>
      <c r="AV298" s="1548"/>
      <c r="AW298" s="1548"/>
      <c r="AX298" s="1548"/>
      <c r="AY298" s="1548"/>
      <c r="AZ298" s="1548"/>
      <c r="BA298" s="1548"/>
      <c r="BB298" s="1548"/>
      <c r="BC298" s="1561"/>
      <c r="BD298" s="1548"/>
      <c r="BE298" s="1548"/>
      <c r="BF298" s="1548"/>
      <c r="BG298" s="1548"/>
      <c r="BH298" s="1548"/>
      <c r="BI298" s="1548"/>
      <c r="BJ298" s="1548"/>
      <c r="BK298" s="1548"/>
      <c r="BL298" s="1548"/>
      <c r="BM298" s="1548"/>
      <c r="BN298" s="1548"/>
      <c r="BO298" s="1548"/>
      <c r="BP298" s="1548"/>
      <c r="BQ298" s="1548"/>
      <c r="BR298" s="1548"/>
      <c r="BS298" s="1548"/>
      <c r="BT298" s="1548"/>
      <c r="BU298" s="1561"/>
      <c r="BV298" s="1548"/>
      <c r="BW298" s="1548"/>
      <c r="BX298" s="1548"/>
      <c r="BY298" s="1548"/>
      <c r="BZ298" s="1531" t="str">
        <f t="shared" si="750"/>
        <v/>
      </c>
      <c r="CA298" s="1531" t="str">
        <f t="shared" si="751"/>
        <v/>
      </c>
      <c r="CB298" s="1531" t="str">
        <f t="shared" si="752"/>
        <v/>
      </c>
      <c r="CC298" s="1532" t="str">
        <f t="shared" si="753"/>
        <v/>
      </c>
      <c r="CD298" s="1533" t="str">
        <f t="shared" si="772"/>
        <v/>
      </c>
      <c r="CE298" s="1533" t="str">
        <f t="shared" si="767"/>
        <v/>
      </c>
      <c r="CF298" s="1533" t="str">
        <f t="shared" si="767"/>
        <v/>
      </c>
      <c r="CG298" s="1533" t="str">
        <f t="shared" si="767"/>
        <v/>
      </c>
      <c r="CH298" s="1533" t="str">
        <f t="shared" si="767"/>
        <v/>
      </c>
      <c r="CI298" s="1533" t="str">
        <f t="shared" si="767"/>
        <v/>
      </c>
      <c r="CJ298" s="1533" t="str">
        <f t="shared" si="767"/>
        <v/>
      </c>
      <c r="CK298" s="1533" t="str">
        <f t="shared" si="767"/>
        <v/>
      </c>
      <c r="CL298" s="1533" t="str">
        <f t="shared" si="767"/>
        <v/>
      </c>
      <c r="CM298" s="1533" t="str">
        <f t="shared" si="767"/>
        <v/>
      </c>
      <c r="CN298" s="1534" t="str">
        <f t="shared" si="614"/>
        <v/>
      </c>
      <c r="CO298" s="1534" t="str">
        <f t="shared" si="615"/>
        <v/>
      </c>
      <c r="CP298" s="1534" t="str">
        <f t="shared" si="616"/>
        <v/>
      </c>
      <c r="CQ298" s="1534" t="str">
        <f t="shared" si="617"/>
        <v/>
      </c>
      <c r="CR298" s="1534" t="str">
        <f t="shared" si="618"/>
        <v/>
      </c>
      <c r="CS298" s="1534" t="str">
        <f t="shared" si="619"/>
        <v/>
      </c>
      <c r="CT298" s="1534" t="str">
        <f t="shared" si="620"/>
        <v/>
      </c>
      <c r="CU298" s="1534" t="str">
        <f t="shared" si="621"/>
        <v/>
      </c>
      <c r="CV298" s="1534" t="str">
        <f t="shared" si="622"/>
        <v/>
      </c>
      <c r="CW298" s="1534" t="str">
        <f t="shared" si="623"/>
        <v/>
      </c>
      <c r="CX298" s="1534" t="str">
        <f t="shared" si="624"/>
        <v/>
      </c>
      <c r="CY298" s="1534" t="str">
        <f t="shared" si="625"/>
        <v/>
      </c>
      <c r="CZ298" s="1534" t="str">
        <f t="shared" si="626"/>
        <v/>
      </c>
      <c r="DA298" s="1534" t="str">
        <f t="shared" si="627"/>
        <v/>
      </c>
      <c r="DB298" s="1534" t="str">
        <f t="shared" si="628"/>
        <v/>
      </c>
      <c r="DC298" s="1534" t="str">
        <f t="shared" si="629"/>
        <v/>
      </c>
      <c r="DD298" s="1535">
        <f t="shared" si="768"/>
        <v>0</v>
      </c>
      <c r="DE298" s="1536">
        <f t="shared" si="769"/>
        <v>0</v>
      </c>
      <c r="DF298" s="1536">
        <f t="shared" si="770"/>
        <v>0</v>
      </c>
      <c r="DG298" s="1536">
        <f t="shared" si="771"/>
        <v>0</v>
      </c>
      <c r="DH298" s="1537"/>
      <c r="DI298" s="1538"/>
      <c r="DJ298" s="1538"/>
      <c r="DK298" s="1538"/>
      <c r="DL298" s="1538"/>
      <c r="DM298" s="1538"/>
      <c r="DN298" s="1538"/>
      <c r="DO298" s="1538"/>
      <c r="DP298" s="1538"/>
    </row>
    <row r="299" spans="1:121" s="1557" customFormat="1" ht="15.75" customHeight="1">
      <c r="A299" s="1549" t="s">
        <v>227</v>
      </c>
      <c r="B299" s="1550" t="str">
        <f t="shared" ref="B299:K299" si="781">IF(B293="","",(B293-B295-B298)*B294/B$46/365/$G$1)</f>
        <v/>
      </c>
      <c r="C299" s="1550" t="str">
        <f t="shared" si="781"/>
        <v/>
      </c>
      <c r="D299" s="1550" t="str">
        <f t="shared" si="781"/>
        <v/>
      </c>
      <c r="E299" s="1550" t="str">
        <f t="shared" si="781"/>
        <v/>
      </c>
      <c r="F299" s="1550" t="str">
        <f t="shared" si="781"/>
        <v/>
      </c>
      <c r="G299" s="1550" t="str">
        <f t="shared" si="781"/>
        <v/>
      </c>
      <c r="H299" s="1550" t="str">
        <f t="shared" si="781"/>
        <v/>
      </c>
      <c r="I299" s="1550" t="str">
        <f t="shared" si="781"/>
        <v/>
      </c>
      <c r="J299" s="1550" t="str">
        <f t="shared" si="781"/>
        <v/>
      </c>
      <c r="K299" s="1550" t="str">
        <f t="shared" si="781"/>
        <v/>
      </c>
      <c r="L299" s="1550"/>
      <c r="M299" s="1550"/>
      <c r="N299" s="1550"/>
      <c r="O299" s="1550"/>
      <c r="P299" s="1550"/>
      <c r="Q299" s="1550"/>
      <c r="R299" s="1550"/>
      <c r="S299" s="1550"/>
      <c r="T299" s="1550" t="str">
        <f t="shared" ref="T299:AC299" si="782">IF(T293="","",(T293-T295-T298)*T294/T$46/365/$G$1)</f>
        <v/>
      </c>
      <c r="U299" s="1550" t="str">
        <f t="shared" si="782"/>
        <v/>
      </c>
      <c r="V299" s="1550" t="str">
        <f t="shared" si="782"/>
        <v/>
      </c>
      <c r="W299" s="1550" t="str">
        <f t="shared" si="782"/>
        <v/>
      </c>
      <c r="X299" s="1550" t="str">
        <f t="shared" si="782"/>
        <v/>
      </c>
      <c r="Y299" s="1550" t="str">
        <f t="shared" si="782"/>
        <v/>
      </c>
      <c r="Z299" s="1550" t="str">
        <f t="shared" si="782"/>
        <v/>
      </c>
      <c r="AA299" s="1550" t="str">
        <f t="shared" si="782"/>
        <v/>
      </c>
      <c r="AB299" s="1550" t="str">
        <f t="shared" si="782"/>
        <v/>
      </c>
      <c r="AC299" s="1550" t="str">
        <f t="shared" si="782"/>
        <v/>
      </c>
      <c r="AD299" s="1550"/>
      <c r="AE299" s="1550"/>
      <c r="AF299" s="1550"/>
      <c r="AG299" s="1550"/>
      <c r="AH299" s="1550"/>
      <c r="AI299" s="1550"/>
      <c r="AJ299" s="1550"/>
      <c r="AK299" s="1550"/>
      <c r="AL299" s="1550" t="str">
        <f t="shared" ref="AL299:AU299" si="783">IF(AL293="","",(AL293-AL295-AL298)*AL294/AL$46/365/$G$1)</f>
        <v/>
      </c>
      <c r="AM299" s="1550" t="str">
        <f t="shared" si="783"/>
        <v/>
      </c>
      <c r="AN299" s="1550" t="str">
        <f t="shared" si="783"/>
        <v/>
      </c>
      <c r="AO299" s="1550" t="str">
        <f t="shared" si="783"/>
        <v/>
      </c>
      <c r="AP299" s="1550" t="str">
        <f t="shared" si="783"/>
        <v/>
      </c>
      <c r="AQ299" s="1550" t="str">
        <f t="shared" si="783"/>
        <v/>
      </c>
      <c r="AR299" s="1550" t="str">
        <f t="shared" si="783"/>
        <v/>
      </c>
      <c r="AS299" s="1550" t="str">
        <f t="shared" si="783"/>
        <v/>
      </c>
      <c r="AT299" s="1550" t="str">
        <f t="shared" si="783"/>
        <v/>
      </c>
      <c r="AU299" s="1550" t="str">
        <f t="shared" si="783"/>
        <v/>
      </c>
      <c r="AV299" s="1550"/>
      <c r="AW299" s="1550"/>
      <c r="AX299" s="1550"/>
      <c r="AY299" s="1550"/>
      <c r="AZ299" s="1550"/>
      <c r="BA299" s="1550"/>
      <c r="BB299" s="1550"/>
      <c r="BC299" s="1550"/>
      <c r="BD299" s="1550" t="str">
        <f t="shared" ref="BD299:BM299" si="784">IF(BD293="","",(BD293-BD295-BD298)*BD294/BD$46/365/$G$1)</f>
        <v/>
      </c>
      <c r="BE299" s="1550" t="str">
        <f t="shared" si="784"/>
        <v/>
      </c>
      <c r="BF299" s="1550" t="str">
        <f t="shared" si="784"/>
        <v/>
      </c>
      <c r="BG299" s="1550" t="str">
        <f t="shared" si="784"/>
        <v/>
      </c>
      <c r="BH299" s="1550" t="str">
        <f t="shared" si="784"/>
        <v/>
      </c>
      <c r="BI299" s="1550" t="str">
        <f t="shared" si="784"/>
        <v/>
      </c>
      <c r="BJ299" s="1550" t="str">
        <f t="shared" si="784"/>
        <v/>
      </c>
      <c r="BK299" s="1550" t="str">
        <f t="shared" si="784"/>
        <v/>
      </c>
      <c r="BL299" s="1550" t="str">
        <f t="shared" si="784"/>
        <v/>
      </c>
      <c r="BM299" s="1550" t="str">
        <f t="shared" si="784"/>
        <v/>
      </c>
      <c r="BN299" s="1550"/>
      <c r="BO299" s="1550"/>
      <c r="BP299" s="1550"/>
      <c r="BQ299" s="1550"/>
      <c r="BR299" s="1550"/>
      <c r="BS299" s="1550"/>
      <c r="BT299" s="1550"/>
      <c r="BU299" s="1550"/>
      <c r="BV299" s="1550" t="str">
        <f>IF(BV293="","",(BV293-BV295-BV298)*BV294/BV$46/365/$G$1)</f>
        <v/>
      </c>
      <c r="BW299" s="1550" t="str">
        <f>IF(BW293="","",(BW293-BW295-BW298)*BW294/BW$46/365/$G$1)</f>
        <v/>
      </c>
      <c r="BX299" s="1550" t="str">
        <f>IF(BX293="","",(BX293-BX295-BX298)*BX294/BX$46/365/$G$1)</f>
        <v/>
      </c>
      <c r="BY299" s="1550" t="str">
        <f>IF(BY293="","",(BY293-BY295-BY298)*BY294/BY$46/365/$G$1)</f>
        <v/>
      </c>
      <c r="BZ299" s="1531" t="str">
        <f t="shared" si="750"/>
        <v/>
      </c>
      <c r="CA299" s="1551" t="str">
        <f t="shared" si="751"/>
        <v/>
      </c>
      <c r="CB299" s="1551" t="str">
        <f t="shared" si="752"/>
        <v/>
      </c>
      <c r="CC299" s="1552" t="str">
        <f t="shared" si="753"/>
        <v/>
      </c>
      <c r="CD299" s="15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3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3" t="str">
        <f t="shared" si="785"/>
        <v/>
      </c>
      <c r="CG299" s="1553" t="str">
        <f t="shared" si="785"/>
        <v/>
      </c>
      <c r="CH299" s="1553" t="str">
        <f t="shared" si="785"/>
        <v/>
      </c>
      <c r="CI299" s="1553" t="str">
        <f t="shared" si="785"/>
        <v/>
      </c>
      <c r="CJ299" s="1553" t="str">
        <f t="shared" si="785"/>
        <v/>
      </c>
      <c r="CK299" s="1553" t="str">
        <f t="shared" si="785"/>
        <v/>
      </c>
      <c r="CL299" s="1553" t="str">
        <f t="shared" si="785"/>
        <v/>
      </c>
      <c r="CM299" s="1553" t="str">
        <f t="shared" si="785"/>
        <v/>
      </c>
      <c r="CN299" s="1554" t="str">
        <f t="shared" si="614"/>
        <v/>
      </c>
      <c r="CO299" s="1554" t="str">
        <f t="shared" si="615"/>
        <v/>
      </c>
      <c r="CP299" s="1554" t="str">
        <f t="shared" si="616"/>
        <v/>
      </c>
      <c r="CQ299" s="1554" t="str">
        <f t="shared" si="617"/>
        <v/>
      </c>
      <c r="CR299" s="1554" t="str">
        <f t="shared" si="618"/>
        <v/>
      </c>
      <c r="CS299" s="1554" t="str">
        <f t="shared" si="619"/>
        <v/>
      </c>
      <c r="CT299" s="1554" t="str">
        <f t="shared" si="620"/>
        <v/>
      </c>
      <c r="CU299" s="1554" t="str">
        <f t="shared" si="621"/>
        <v/>
      </c>
      <c r="CV299" s="1554" t="str">
        <f t="shared" si="622"/>
        <v/>
      </c>
      <c r="CW299" s="1554" t="str">
        <f t="shared" si="623"/>
        <v/>
      </c>
      <c r="CX299" s="1554" t="str">
        <f t="shared" si="624"/>
        <v/>
      </c>
      <c r="CY299" s="1554" t="str">
        <f t="shared" si="625"/>
        <v/>
      </c>
      <c r="CZ299" s="1554" t="str">
        <f t="shared" si="626"/>
        <v/>
      </c>
      <c r="DA299" s="1554" t="str">
        <f t="shared" si="627"/>
        <v/>
      </c>
      <c r="DB299" s="1554" t="str">
        <f t="shared" si="628"/>
        <v/>
      </c>
      <c r="DC299" s="1554" t="str">
        <f t="shared" si="629"/>
        <v/>
      </c>
      <c r="DD299" s="1535">
        <f t="shared" si="768"/>
        <v>0</v>
      </c>
      <c r="DE299" s="1536">
        <f t="shared" si="769"/>
        <v>0</v>
      </c>
      <c r="DF299" s="1536">
        <f t="shared" si="770"/>
        <v>0</v>
      </c>
      <c r="DG299" s="1536">
        <f t="shared" si="771"/>
        <v>0</v>
      </c>
      <c r="DH299" s="1555"/>
      <c r="DI299" s="1556"/>
      <c r="DJ299" s="1556"/>
      <c r="DK299" s="1556"/>
      <c r="DL299" s="1556"/>
      <c r="DM299" s="1556"/>
      <c r="DN299" s="1556"/>
      <c r="DO299" s="1556"/>
      <c r="DP299" s="1538"/>
    </row>
    <row r="300" spans="1:121" s="474" customFormat="1" ht="15.75" customHeight="1">
      <c r="A300" s="687" t="s">
        <v>264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50"/>
        <v>5</v>
      </c>
      <c r="CA300" s="586" t="str">
        <f t="shared" si="751"/>
        <v/>
      </c>
      <c r="CB300" s="586" t="str">
        <f t="shared" si="752"/>
        <v/>
      </c>
      <c r="CC300" s="676" t="str">
        <f t="shared" si="753"/>
        <v/>
      </c>
      <c r="CD300" s="131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7" t="str">
        <f t="shared" si="785"/>
        <v/>
      </c>
      <c r="CF300" s="1317" t="str">
        <f t="shared" si="785"/>
        <v/>
      </c>
      <c r="CG300" s="1317" t="str">
        <f t="shared" si="785"/>
        <v/>
      </c>
      <c r="CH300" s="1318">
        <f t="shared" si="785"/>
        <v>7</v>
      </c>
      <c r="CI300" s="1318">
        <f t="shared" si="785"/>
        <v>25</v>
      </c>
      <c r="CJ300" s="1317" t="str">
        <f t="shared" si="785"/>
        <v/>
      </c>
      <c r="CK300" s="1317" t="str">
        <f t="shared" si="785"/>
        <v/>
      </c>
      <c r="CL300" s="1317" t="str">
        <f t="shared" si="785"/>
        <v/>
      </c>
      <c r="CM300" s="1316" t="str">
        <f t="shared" si="785"/>
        <v/>
      </c>
      <c r="CN300" s="538" t="str">
        <f t="shared" si="614"/>
        <v/>
      </c>
      <c r="CO300" s="539" t="str">
        <f t="shared" si="615"/>
        <v/>
      </c>
      <c r="CP300" s="539" t="str">
        <f t="shared" si="616"/>
        <v/>
      </c>
      <c r="CQ300" s="539" t="str">
        <f t="shared" si="617"/>
        <v/>
      </c>
      <c r="CR300" s="539" t="str">
        <f t="shared" si="618"/>
        <v/>
      </c>
      <c r="CS300" s="539" t="str">
        <f t="shared" si="619"/>
        <v/>
      </c>
      <c r="CT300" s="540" t="str">
        <f t="shared" si="620"/>
        <v/>
      </c>
      <c r="CU300" s="540">
        <f t="shared" si="621"/>
        <v>15</v>
      </c>
      <c r="CV300" s="540" t="str">
        <f t="shared" si="622"/>
        <v/>
      </c>
      <c r="CW300" s="539" t="str">
        <f t="shared" si="623"/>
        <v/>
      </c>
      <c r="CX300" s="539" t="str">
        <f t="shared" si="624"/>
        <v/>
      </c>
      <c r="CY300" s="539" t="str">
        <f t="shared" si="625"/>
        <v/>
      </c>
      <c r="CZ300" s="539" t="str">
        <f t="shared" si="626"/>
        <v/>
      </c>
      <c r="DA300" s="539" t="str">
        <f t="shared" si="627"/>
        <v/>
      </c>
      <c r="DB300" s="538" t="str">
        <f t="shared" si="628"/>
        <v/>
      </c>
      <c r="DC300" s="537" t="str">
        <f t="shared" si="629"/>
        <v/>
      </c>
      <c r="DD300" s="641">
        <f t="shared" si="768"/>
        <v>3</v>
      </c>
      <c r="DE300" s="95">
        <f t="shared" si="769"/>
        <v>2</v>
      </c>
      <c r="DF300" s="95">
        <f t="shared" si="770"/>
        <v>2</v>
      </c>
      <c r="DG300" s="95">
        <f t="shared" si="771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265</v>
      </c>
      <c r="B301" s="215" t="s">
        <v>267</v>
      </c>
      <c r="C301" s="215" t="s">
        <v>267</v>
      </c>
      <c r="D301" s="215" t="s">
        <v>267</v>
      </c>
      <c r="E301" s="215" t="s">
        <v>267</v>
      </c>
      <c r="F301" s="215" t="s">
        <v>267</v>
      </c>
      <c r="G301" s="215" t="s">
        <v>267</v>
      </c>
      <c r="H301" s="215" t="s">
        <v>267</v>
      </c>
      <c r="I301" s="215" t="s">
        <v>267</v>
      </c>
      <c r="J301" s="215" t="s">
        <v>267</v>
      </c>
      <c r="K301" s="215" t="s">
        <v>267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267</v>
      </c>
      <c r="U301" s="215" t="s">
        <v>267</v>
      </c>
      <c r="V301" s="215" t="s">
        <v>267</v>
      </c>
      <c r="W301" s="215" t="s">
        <v>267</v>
      </c>
      <c r="X301" s="215" t="s">
        <v>267</v>
      </c>
      <c r="Y301" s="215" t="s">
        <v>267</v>
      </c>
      <c r="Z301" s="215" t="s">
        <v>267</v>
      </c>
      <c r="AA301" s="215" t="s">
        <v>267</v>
      </c>
      <c r="AB301" s="215" t="s">
        <v>267</v>
      </c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8"/>
      <c r="CA301" s="578"/>
      <c r="CB301" s="578"/>
      <c r="CC301" s="675"/>
      <c r="CD301" s="1338"/>
      <c r="CE301" s="1338"/>
      <c r="CF301" s="1338"/>
      <c r="CG301" s="1338"/>
      <c r="CH301" s="1338"/>
      <c r="CI301" s="1338"/>
      <c r="CJ301" s="1338"/>
      <c r="CK301" s="1338"/>
      <c r="CL301" s="1338"/>
      <c r="CM301" s="1338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266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6">IF(DD302&lt;3,"",(SUM(B302:R302)-MIN(B302:R302)-MAX(B302:R302))/(DD302-2))</f>
        <v>40</v>
      </c>
      <c r="CA302" s="586" t="str">
        <f t="shared" ref="CA302:CA310" si="787">IF(DE302&lt;3,"",(SUM(T302:AJ302)-MIN(T302:AJ302)-MAX(T302:AJ302))/(DE302-2))</f>
        <v/>
      </c>
      <c r="CB302" s="586" t="str">
        <f t="shared" ref="CB302:CB310" si="788">IF(DF302&lt;3,"",(SUM(AL302:BB302)-MIN(AL302:BB302)-MAX(AL302:BB302))/(DF302-2))</f>
        <v/>
      </c>
      <c r="CC302" s="676" t="str">
        <f t="shared" ref="CC302:CC310" si="789">IF(DG302&lt;3,"",(SUM(BD302:BT302)-MIN(BD302:BT302)-MAX(BD302:BT302))/(DG302-2))</f>
        <v/>
      </c>
      <c r="CD302" s="1316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7" t="str">
        <f t="shared" si="790"/>
        <v/>
      </c>
      <c r="CF302" s="1317" t="str">
        <f t="shared" si="790"/>
        <v/>
      </c>
      <c r="CG302" s="1317" t="str">
        <f t="shared" si="790"/>
        <v/>
      </c>
      <c r="CH302" s="1318">
        <f t="shared" si="790"/>
        <v>40</v>
      </c>
      <c r="CI302" s="1318">
        <f t="shared" si="790"/>
        <v>40</v>
      </c>
      <c r="CJ302" s="1317" t="str">
        <f t="shared" si="790"/>
        <v/>
      </c>
      <c r="CK302" s="1317" t="str">
        <f t="shared" si="790"/>
        <v/>
      </c>
      <c r="CL302" s="1317" t="str">
        <f t="shared" si="790"/>
        <v/>
      </c>
      <c r="CM302" s="1316" t="str">
        <f t="shared" si="790"/>
        <v/>
      </c>
      <c r="CN302" s="538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7">COUNT(B302:R302)</f>
        <v>3</v>
      </c>
      <c r="DE302" s="95">
        <f t="shared" ref="DE302:DE310" si="808">COUNT(T302:AJ302)</f>
        <v>2</v>
      </c>
      <c r="DF302" s="95">
        <f t="shared" ref="DF302:DF310" si="809">COUNT(AL302:BB302)</f>
        <v>2</v>
      </c>
      <c r="DG302" s="95">
        <f t="shared" ref="DG302:DG310" si="810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267</v>
      </c>
      <c r="B303" s="618" t="str">
        <f t="shared" ref="B303:K303" si="811">IF(B300="","",B300*B302)</f>
        <v/>
      </c>
      <c r="C303" s="618">
        <f t="shared" si="811"/>
        <v>240</v>
      </c>
      <c r="D303" s="618">
        <f t="shared" si="811"/>
        <v>200</v>
      </c>
      <c r="E303" s="618" t="str">
        <f t="shared" si="811"/>
        <v/>
      </c>
      <c r="F303" s="618" t="str">
        <f t="shared" si="811"/>
        <v/>
      </c>
      <c r="G303" s="618" t="str">
        <f t="shared" si="811"/>
        <v/>
      </c>
      <c r="H303" s="618" t="str">
        <f t="shared" si="811"/>
        <v/>
      </c>
      <c r="I303" s="618" t="str">
        <f t="shared" si="811"/>
        <v/>
      </c>
      <c r="J303" s="618" t="str">
        <f t="shared" si="811"/>
        <v/>
      </c>
      <c r="K303" s="618">
        <f t="shared" si="811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2">IF(T300="","",T300*T302)</f>
        <v/>
      </c>
      <c r="U303" s="618">
        <f t="shared" si="812"/>
        <v>100</v>
      </c>
      <c r="V303" s="618">
        <f t="shared" si="812"/>
        <v>80</v>
      </c>
      <c r="W303" s="618" t="str">
        <f t="shared" si="812"/>
        <v/>
      </c>
      <c r="X303" s="618" t="str">
        <f t="shared" si="812"/>
        <v/>
      </c>
      <c r="Y303" s="618" t="str">
        <f t="shared" si="812"/>
        <v/>
      </c>
      <c r="Z303" s="618" t="str">
        <f t="shared" si="812"/>
        <v/>
      </c>
      <c r="AA303" s="618" t="str">
        <f t="shared" si="812"/>
        <v/>
      </c>
      <c r="AB303" s="618" t="str">
        <f t="shared" si="812"/>
        <v/>
      </c>
      <c r="AC303" s="618" t="str">
        <f t="shared" si="812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3">IF(AL300="","",AL300*AL302)</f>
        <v/>
      </c>
      <c r="AM303" s="618">
        <f t="shared" si="813"/>
        <v>1000</v>
      </c>
      <c r="AN303" s="618">
        <f t="shared" si="813"/>
        <v>280</v>
      </c>
      <c r="AO303" s="618" t="str">
        <f t="shared" si="813"/>
        <v/>
      </c>
      <c r="AP303" s="618" t="str">
        <f t="shared" si="813"/>
        <v/>
      </c>
      <c r="AQ303" s="618" t="str">
        <f t="shared" si="813"/>
        <v/>
      </c>
      <c r="AR303" s="618" t="str">
        <f t="shared" si="813"/>
        <v/>
      </c>
      <c r="AS303" s="618" t="str">
        <f t="shared" si="813"/>
        <v/>
      </c>
      <c r="AT303" s="618" t="str">
        <f t="shared" si="813"/>
        <v/>
      </c>
      <c r="AU303" s="618" t="str">
        <f t="shared" si="813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4">IF(BD300="","",BD300*BD302)</f>
        <v/>
      </c>
      <c r="BE303" s="618" t="str">
        <f t="shared" si="814"/>
        <v/>
      </c>
      <c r="BF303" s="618">
        <f t="shared" si="814"/>
        <v>600</v>
      </c>
      <c r="BG303" s="618" t="str">
        <f t="shared" si="814"/>
        <v/>
      </c>
      <c r="BH303" s="618" t="str">
        <f t="shared" si="814"/>
        <v/>
      </c>
      <c r="BI303" s="618" t="str">
        <f t="shared" si="814"/>
        <v/>
      </c>
      <c r="BJ303" s="618" t="str">
        <f t="shared" si="814"/>
        <v/>
      </c>
      <c r="BK303" s="618" t="str">
        <f t="shared" si="814"/>
        <v/>
      </c>
      <c r="BL303" s="618" t="str">
        <f t="shared" si="814"/>
        <v/>
      </c>
      <c r="BM303" s="618" t="str">
        <f t="shared" si="814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6"/>
        <v>200</v>
      </c>
      <c r="CA303" s="586" t="str">
        <f t="shared" si="787"/>
        <v/>
      </c>
      <c r="CB303" s="586" t="str">
        <f t="shared" si="788"/>
        <v/>
      </c>
      <c r="CC303" s="676" t="str">
        <f t="shared" si="789"/>
        <v/>
      </c>
      <c r="CD303" s="1316" t="str">
        <f t="shared" si="790"/>
        <v/>
      </c>
      <c r="CE303" s="1317" t="str">
        <f t="shared" si="790"/>
        <v/>
      </c>
      <c r="CF303" s="1317" t="str">
        <f t="shared" si="790"/>
        <v/>
      </c>
      <c r="CG303" s="1317" t="str">
        <f t="shared" si="790"/>
        <v/>
      </c>
      <c r="CH303" s="1318">
        <f t="shared" si="790"/>
        <v>280</v>
      </c>
      <c r="CI303" s="1318">
        <f t="shared" si="790"/>
        <v>1000</v>
      </c>
      <c r="CJ303" s="1317" t="str">
        <f t="shared" si="790"/>
        <v/>
      </c>
      <c r="CK303" s="1317" t="str">
        <f t="shared" si="790"/>
        <v/>
      </c>
      <c r="CL303" s="1317" t="str">
        <f t="shared" si="790"/>
        <v/>
      </c>
      <c r="CM303" s="1316" t="str">
        <f t="shared" si="790"/>
        <v/>
      </c>
      <c r="CN303" s="538" t="str">
        <f t="shared" si="791"/>
        <v/>
      </c>
      <c r="CO303" s="539" t="str">
        <f t="shared" si="792"/>
        <v/>
      </c>
      <c r="CP303" s="539" t="str">
        <f t="shared" si="793"/>
        <v/>
      </c>
      <c r="CQ303" s="539" t="str">
        <f t="shared" si="794"/>
        <v/>
      </c>
      <c r="CR303" s="539" t="str">
        <f t="shared" si="795"/>
        <v/>
      </c>
      <c r="CS303" s="539" t="str">
        <f t="shared" si="796"/>
        <v/>
      </c>
      <c r="CT303" s="540" t="str">
        <f t="shared" si="797"/>
        <v/>
      </c>
      <c r="CU303" s="540">
        <f t="shared" si="798"/>
        <v>600</v>
      </c>
      <c r="CV303" s="540" t="str">
        <f t="shared" si="799"/>
        <v/>
      </c>
      <c r="CW303" s="539" t="str">
        <f t="shared" si="800"/>
        <v/>
      </c>
      <c r="CX303" s="539" t="str">
        <f t="shared" si="801"/>
        <v/>
      </c>
      <c r="CY303" s="539" t="str">
        <f t="shared" si="802"/>
        <v/>
      </c>
      <c r="CZ303" s="539" t="str">
        <f t="shared" si="803"/>
        <v/>
      </c>
      <c r="DA303" s="539" t="str">
        <f t="shared" si="804"/>
        <v/>
      </c>
      <c r="DB303" s="538" t="str">
        <f t="shared" si="805"/>
        <v/>
      </c>
      <c r="DC303" s="537" t="str">
        <f t="shared" si="806"/>
        <v/>
      </c>
      <c r="DD303" s="641">
        <f t="shared" si="807"/>
        <v>3</v>
      </c>
      <c r="DE303" s="95">
        <f t="shared" si="808"/>
        <v>2</v>
      </c>
      <c r="DF303" s="95">
        <f t="shared" si="809"/>
        <v>2</v>
      </c>
      <c r="DG303" s="95">
        <f t="shared" si="810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260</v>
      </c>
      <c r="B304" s="690">
        <f>1530*$K$1</f>
        <v>6405.8040000000001</v>
      </c>
      <c r="C304" s="690">
        <f t="shared" ref="C304:K304" si="815">1530*$K$1</f>
        <v>6405.8040000000001</v>
      </c>
      <c r="D304" s="690">
        <f t="shared" si="815"/>
        <v>6405.8040000000001</v>
      </c>
      <c r="E304" s="690">
        <f t="shared" si="815"/>
        <v>6405.8040000000001</v>
      </c>
      <c r="F304" s="690">
        <f t="shared" si="815"/>
        <v>6405.8040000000001</v>
      </c>
      <c r="G304" s="690">
        <f t="shared" si="815"/>
        <v>6405.8040000000001</v>
      </c>
      <c r="H304" s="690">
        <f t="shared" si="815"/>
        <v>6405.8040000000001</v>
      </c>
      <c r="I304" s="690">
        <f t="shared" si="815"/>
        <v>6405.8040000000001</v>
      </c>
      <c r="J304" s="690">
        <f t="shared" si="815"/>
        <v>6405.8040000000001</v>
      </c>
      <c r="K304" s="690">
        <f t="shared" si="815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6">1530*$K$1</f>
        <v>6405.8040000000001</v>
      </c>
      <c r="V304" s="690">
        <f t="shared" si="816"/>
        <v>6405.8040000000001</v>
      </c>
      <c r="W304" s="690">
        <f t="shared" si="816"/>
        <v>6405.8040000000001</v>
      </c>
      <c r="X304" s="690">
        <f t="shared" si="816"/>
        <v>6405.8040000000001</v>
      </c>
      <c r="Y304" s="690">
        <f t="shared" si="816"/>
        <v>6405.8040000000001</v>
      </c>
      <c r="Z304" s="690">
        <f t="shared" si="816"/>
        <v>6405.8040000000001</v>
      </c>
      <c r="AA304" s="690">
        <f t="shared" si="816"/>
        <v>6405.8040000000001</v>
      </c>
      <c r="AB304" s="690">
        <f t="shared" si="816"/>
        <v>6405.8040000000001</v>
      </c>
      <c r="AC304" s="690">
        <f t="shared" si="816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7">1530*$K$1</f>
        <v>6405.8040000000001</v>
      </c>
      <c r="AN304" s="690">
        <f t="shared" si="817"/>
        <v>6405.8040000000001</v>
      </c>
      <c r="AO304" s="690">
        <f t="shared" si="817"/>
        <v>6405.8040000000001</v>
      </c>
      <c r="AP304" s="690">
        <f t="shared" si="817"/>
        <v>6405.8040000000001</v>
      </c>
      <c r="AQ304" s="690">
        <f t="shared" si="817"/>
        <v>6405.8040000000001</v>
      </c>
      <c r="AR304" s="690">
        <f t="shared" si="817"/>
        <v>6405.8040000000001</v>
      </c>
      <c r="AS304" s="690">
        <f t="shared" si="817"/>
        <v>6405.8040000000001</v>
      </c>
      <c r="AT304" s="690">
        <f t="shared" si="817"/>
        <v>6405.8040000000001</v>
      </c>
      <c r="AU304" s="690">
        <f t="shared" si="817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8">1530*$K$1</f>
        <v>6405.8040000000001</v>
      </c>
      <c r="BF304" s="690">
        <f t="shared" si="818"/>
        <v>6405.8040000000001</v>
      </c>
      <c r="BG304" s="690">
        <f t="shared" si="818"/>
        <v>6405.8040000000001</v>
      </c>
      <c r="BH304" s="690">
        <f t="shared" si="818"/>
        <v>6405.8040000000001</v>
      </c>
      <c r="BI304" s="690">
        <f t="shared" si="818"/>
        <v>6405.8040000000001</v>
      </c>
      <c r="BJ304" s="690">
        <f t="shared" si="818"/>
        <v>6405.8040000000001</v>
      </c>
      <c r="BK304" s="690">
        <f t="shared" si="818"/>
        <v>6405.8040000000001</v>
      </c>
      <c r="BL304" s="690">
        <f t="shared" si="818"/>
        <v>6405.8040000000001</v>
      </c>
      <c r="BM304" s="690">
        <f t="shared" si="818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8"/>
        <v>6405.8040000000001</v>
      </c>
      <c r="BW304" s="690">
        <f t="shared" si="818"/>
        <v>6405.8040000000001</v>
      </c>
      <c r="BX304" s="690">
        <f t="shared" si="818"/>
        <v>6405.8040000000001</v>
      </c>
      <c r="BY304" s="690">
        <f t="shared" si="818"/>
        <v>6405.8040000000001</v>
      </c>
      <c r="BZ304" s="586">
        <f t="shared" si="786"/>
        <v>6405.8040000000001</v>
      </c>
      <c r="CA304" s="586">
        <f t="shared" si="787"/>
        <v>6405.8040000000001</v>
      </c>
      <c r="CB304" s="586">
        <f t="shared" si="788"/>
        <v>6405.8040000000001</v>
      </c>
      <c r="CC304" s="676">
        <f t="shared" si="789"/>
        <v>6405.8040000000001</v>
      </c>
      <c r="CD304" s="1316">
        <f t="shared" si="790"/>
        <v>6405.8040000000001</v>
      </c>
      <c r="CE304" s="1317">
        <f t="shared" si="790"/>
        <v>6405.8040000000001</v>
      </c>
      <c r="CF304" s="1317">
        <f t="shared" si="790"/>
        <v>6405.8040000000001</v>
      </c>
      <c r="CG304" s="1317">
        <f t="shared" si="790"/>
        <v>6405.8040000000001</v>
      </c>
      <c r="CH304" s="1318">
        <f t="shared" si="790"/>
        <v>6405.8040000000001</v>
      </c>
      <c r="CI304" s="1318">
        <f t="shared" si="790"/>
        <v>6405.8040000000001</v>
      </c>
      <c r="CJ304" s="1317">
        <f t="shared" si="790"/>
        <v>6405.8040000000001</v>
      </c>
      <c r="CK304" s="1317">
        <f t="shared" si="790"/>
        <v>6405.8040000000001</v>
      </c>
      <c r="CL304" s="1317">
        <f t="shared" si="790"/>
        <v>6405.8040000000001</v>
      </c>
      <c r="CM304" s="1316">
        <f t="shared" si="790"/>
        <v>6405.8040000000001</v>
      </c>
      <c r="CN304" s="538" t="str">
        <f t="shared" si="791"/>
        <v/>
      </c>
      <c r="CO304" s="539" t="str">
        <f t="shared" si="792"/>
        <v/>
      </c>
      <c r="CP304" s="539" t="str">
        <f t="shared" si="793"/>
        <v/>
      </c>
      <c r="CQ304" s="539">
        <f t="shared" si="794"/>
        <v>6405.8040000000001</v>
      </c>
      <c r="CR304" s="539">
        <f t="shared" si="795"/>
        <v>6405.8040000000001</v>
      </c>
      <c r="CS304" s="539">
        <f t="shared" si="796"/>
        <v>6405.8040000000001</v>
      </c>
      <c r="CT304" s="540">
        <f t="shared" si="797"/>
        <v>6405.8040000000001</v>
      </c>
      <c r="CU304" s="540">
        <f t="shared" si="798"/>
        <v>6405.8040000000001</v>
      </c>
      <c r="CV304" s="540">
        <f t="shared" si="799"/>
        <v>6405.8040000000001</v>
      </c>
      <c r="CW304" s="539">
        <f t="shared" si="800"/>
        <v>6405.8040000000001</v>
      </c>
      <c r="CX304" s="539">
        <f t="shared" si="801"/>
        <v>6405.8040000000001</v>
      </c>
      <c r="CY304" s="539">
        <f t="shared" si="802"/>
        <v>6405.8040000000001</v>
      </c>
      <c r="CZ304" s="539">
        <f t="shared" si="803"/>
        <v>6405.8040000000001</v>
      </c>
      <c r="DA304" s="539" t="str">
        <f t="shared" si="804"/>
        <v/>
      </c>
      <c r="DB304" s="538" t="str">
        <f t="shared" si="805"/>
        <v/>
      </c>
      <c r="DC304" s="537" t="str">
        <f t="shared" si="806"/>
        <v/>
      </c>
      <c r="DD304" s="641">
        <f t="shared" si="807"/>
        <v>10</v>
      </c>
      <c r="DE304" s="95">
        <f t="shared" si="808"/>
        <v>10</v>
      </c>
      <c r="DF304" s="95">
        <f t="shared" si="809"/>
        <v>10</v>
      </c>
      <c r="DG304" s="95">
        <f t="shared" si="810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257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6"/>
        <v/>
      </c>
      <c r="CA305" s="586" t="str">
        <f t="shared" si="787"/>
        <v/>
      </c>
      <c r="CB305" s="586" t="str">
        <f t="shared" si="788"/>
        <v/>
      </c>
      <c r="CC305" s="676" t="str">
        <f t="shared" si="789"/>
        <v/>
      </c>
      <c r="CD305" s="1316" t="str">
        <f t="shared" si="790"/>
        <v/>
      </c>
      <c r="CE305" s="1317" t="str">
        <f t="shared" si="790"/>
        <v/>
      </c>
      <c r="CF305" s="1317" t="str">
        <f t="shared" si="790"/>
        <v/>
      </c>
      <c r="CG305" s="1317" t="str">
        <f t="shared" si="790"/>
        <v/>
      </c>
      <c r="CH305" s="1318">
        <f t="shared" si="790"/>
        <v>200</v>
      </c>
      <c r="CI305" s="1318">
        <f t="shared" si="790"/>
        <v>1000</v>
      </c>
      <c r="CJ305" s="1317" t="str">
        <f t="shared" si="790"/>
        <v/>
      </c>
      <c r="CK305" s="1317" t="str">
        <f t="shared" si="790"/>
        <v/>
      </c>
      <c r="CL305" s="1317" t="str">
        <f t="shared" si="790"/>
        <v/>
      </c>
      <c r="CM305" s="1316" t="str">
        <f t="shared" si="790"/>
        <v/>
      </c>
      <c r="CN305" s="538" t="str">
        <f t="shared" si="791"/>
        <v/>
      </c>
      <c r="CO305" s="539" t="str">
        <f t="shared" si="792"/>
        <v/>
      </c>
      <c r="CP305" s="539" t="str">
        <f t="shared" si="793"/>
        <v/>
      </c>
      <c r="CQ305" s="539" t="str">
        <f t="shared" si="794"/>
        <v/>
      </c>
      <c r="CR305" s="539" t="str">
        <f t="shared" si="795"/>
        <v/>
      </c>
      <c r="CS305" s="539" t="str">
        <f t="shared" si="796"/>
        <v/>
      </c>
      <c r="CT305" s="540" t="str">
        <f t="shared" si="797"/>
        <v/>
      </c>
      <c r="CU305" s="540">
        <f t="shared" si="798"/>
        <v>10</v>
      </c>
      <c r="CV305" s="540" t="str">
        <f t="shared" si="799"/>
        <v/>
      </c>
      <c r="CW305" s="539" t="str">
        <f t="shared" si="800"/>
        <v/>
      </c>
      <c r="CX305" s="539" t="str">
        <f t="shared" si="801"/>
        <v/>
      </c>
      <c r="CY305" s="539" t="str">
        <f t="shared" si="802"/>
        <v/>
      </c>
      <c r="CZ305" s="539" t="str">
        <f t="shared" si="803"/>
        <v/>
      </c>
      <c r="DA305" s="539" t="str">
        <f t="shared" si="804"/>
        <v/>
      </c>
      <c r="DB305" s="538" t="str">
        <f t="shared" si="805"/>
        <v/>
      </c>
      <c r="DC305" s="537" t="str">
        <f t="shared" si="806"/>
        <v/>
      </c>
      <c r="DD305" s="641">
        <f t="shared" si="807"/>
        <v>2</v>
      </c>
      <c r="DE305" s="95">
        <f t="shared" si="808"/>
        <v>2</v>
      </c>
      <c r="DF305" s="95">
        <f t="shared" si="809"/>
        <v>2</v>
      </c>
      <c r="DG305" s="95">
        <f t="shared" si="810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6"/>
        <v/>
      </c>
      <c r="CA306" s="586" t="str">
        <f t="shared" si="787"/>
        <v/>
      </c>
      <c r="CB306" s="586" t="str">
        <f t="shared" si="788"/>
        <v/>
      </c>
      <c r="CC306" s="676" t="str">
        <f t="shared" si="789"/>
        <v/>
      </c>
      <c r="CD306" s="1316" t="str">
        <f t="shared" si="790"/>
        <v/>
      </c>
      <c r="CE306" s="1317" t="str">
        <f t="shared" si="790"/>
        <v/>
      </c>
      <c r="CF306" s="1317" t="str">
        <f t="shared" si="790"/>
        <v/>
      </c>
      <c r="CG306" s="1317" t="str">
        <f t="shared" si="790"/>
        <v/>
      </c>
      <c r="CH306" s="1318">
        <f t="shared" si="790"/>
        <v>3</v>
      </c>
      <c r="CI306" s="1318">
        <f t="shared" si="790"/>
        <v>3</v>
      </c>
      <c r="CJ306" s="1317" t="str">
        <f t="shared" si="790"/>
        <v/>
      </c>
      <c r="CK306" s="1317" t="str">
        <f t="shared" si="790"/>
        <v/>
      </c>
      <c r="CL306" s="1317" t="str">
        <f t="shared" si="790"/>
        <v/>
      </c>
      <c r="CM306" s="1316" t="str">
        <f t="shared" si="790"/>
        <v/>
      </c>
      <c r="CN306" s="538" t="str">
        <f t="shared" si="791"/>
        <v/>
      </c>
      <c r="CO306" s="539" t="str">
        <f t="shared" si="792"/>
        <v/>
      </c>
      <c r="CP306" s="539" t="str">
        <f t="shared" si="793"/>
        <v/>
      </c>
      <c r="CQ306" s="539" t="str">
        <f t="shared" si="794"/>
        <v/>
      </c>
      <c r="CR306" s="539" t="str">
        <f t="shared" si="795"/>
        <v/>
      </c>
      <c r="CS306" s="539" t="str">
        <f t="shared" si="796"/>
        <v/>
      </c>
      <c r="CT306" s="540" t="str">
        <f t="shared" si="797"/>
        <v/>
      </c>
      <c r="CU306" s="540">
        <f t="shared" si="798"/>
        <v>150</v>
      </c>
      <c r="CV306" s="540" t="str">
        <f t="shared" si="799"/>
        <v/>
      </c>
      <c r="CW306" s="539" t="str">
        <f t="shared" si="800"/>
        <v/>
      </c>
      <c r="CX306" s="539" t="str">
        <f t="shared" si="801"/>
        <v/>
      </c>
      <c r="CY306" s="539" t="str">
        <f t="shared" si="802"/>
        <v/>
      </c>
      <c r="CZ306" s="539" t="str">
        <f t="shared" si="803"/>
        <v/>
      </c>
      <c r="DA306" s="539" t="str">
        <f t="shared" si="804"/>
        <v/>
      </c>
      <c r="DB306" s="538" t="str">
        <f t="shared" si="805"/>
        <v/>
      </c>
      <c r="DC306" s="537" t="str">
        <f t="shared" si="806"/>
        <v/>
      </c>
      <c r="DD306" s="641">
        <f t="shared" si="807"/>
        <v>0</v>
      </c>
      <c r="DE306" s="95">
        <f t="shared" si="808"/>
        <v>1</v>
      </c>
      <c r="DF306" s="95">
        <f t="shared" si="809"/>
        <v>2</v>
      </c>
      <c r="DG306" s="95">
        <f t="shared" si="810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183</v>
      </c>
      <c r="B307" s="618" t="str">
        <f t="shared" ref="B307:K307" si="819">IF(B305="","",B305*B306)</f>
        <v/>
      </c>
      <c r="C307" s="618">
        <f t="shared" si="819"/>
        <v>0</v>
      </c>
      <c r="D307" s="618">
        <f t="shared" si="819"/>
        <v>0</v>
      </c>
      <c r="E307" s="618" t="str">
        <f t="shared" si="819"/>
        <v/>
      </c>
      <c r="F307" s="618" t="str">
        <f t="shared" si="819"/>
        <v/>
      </c>
      <c r="G307" s="618" t="str">
        <f t="shared" si="819"/>
        <v/>
      </c>
      <c r="H307" s="618" t="str">
        <f t="shared" si="819"/>
        <v/>
      </c>
      <c r="I307" s="618" t="str">
        <f t="shared" si="819"/>
        <v/>
      </c>
      <c r="J307" s="618" t="str">
        <f t="shared" si="819"/>
        <v/>
      </c>
      <c r="K307" s="618" t="str">
        <f t="shared" si="819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20">IF(T305="","",T305*T306)</f>
        <v/>
      </c>
      <c r="U307" s="618">
        <f t="shared" si="820"/>
        <v>100</v>
      </c>
      <c r="V307" s="618">
        <f t="shared" si="820"/>
        <v>0</v>
      </c>
      <c r="W307" s="618" t="str">
        <f t="shared" si="820"/>
        <v/>
      </c>
      <c r="X307" s="618" t="str">
        <f t="shared" si="820"/>
        <v/>
      </c>
      <c r="Y307" s="618" t="str">
        <f t="shared" si="820"/>
        <v/>
      </c>
      <c r="Z307" s="618" t="str">
        <f t="shared" si="820"/>
        <v/>
      </c>
      <c r="AA307" s="618" t="str">
        <f t="shared" si="820"/>
        <v/>
      </c>
      <c r="AB307" s="618" t="str">
        <f t="shared" si="820"/>
        <v/>
      </c>
      <c r="AC307" s="618" t="str">
        <f t="shared" si="820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21">IF(AL305="","",AL305*AL306)</f>
        <v/>
      </c>
      <c r="AM307" s="618">
        <f t="shared" si="821"/>
        <v>3000</v>
      </c>
      <c r="AN307" s="618">
        <f t="shared" si="821"/>
        <v>600</v>
      </c>
      <c r="AO307" s="618" t="str">
        <f t="shared" si="821"/>
        <v/>
      </c>
      <c r="AP307" s="618" t="str">
        <f t="shared" si="821"/>
        <v/>
      </c>
      <c r="AQ307" s="618" t="str">
        <f t="shared" si="821"/>
        <v/>
      </c>
      <c r="AR307" s="618" t="str">
        <f t="shared" si="821"/>
        <v/>
      </c>
      <c r="AS307" s="618" t="str">
        <f t="shared" si="821"/>
        <v/>
      </c>
      <c r="AT307" s="618" t="str">
        <f t="shared" si="821"/>
        <v/>
      </c>
      <c r="AU307" s="618" t="str">
        <f t="shared" si="821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2">IF(BD305="","",BD305*BD306)</f>
        <v/>
      </c>
      <c r="BE307" s="618" t="str">
        <f t="shared" si="822"/>
        <v/>
      </c>
      <c r="BF307" s="618">
        <f t="shared" si="822"/>
        <v>1500</v>
      </c>
      <c r="BG307" s="618" t="str">
        <f t="shared" si="822"/>
        <v/>
      </c>
      <c r="BH307" s="618" t="str">
        <f t="shared" si="822"/>
        <v/>
      </c>
      <c r="BI307" s="618" t="str">
        <f t="shared" si="822"/>
        <v/>
      </c>
      <c r="BJ307" s="618" t="str">
        <f t="shared" si="822"/>
        <v/>
      </c>
      <c r="BK307" s="618" t="str">
        <f t="shared" si="822"/>
        <v/>
      </c>
      <c r="BL307" s="618" t="str">
        <f t="shared" si="822"/>
        <v/>
      </c>
      <c r="BM307" s="618" t="str">
        <f t="shared" si="822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6"/>
        <v/>
      </c>
      <c r="CA307" s="586" t="str">
        <f t="shared" si="787"/>
        <v/>
      </c>
      <c r="CB307" s="586" t="str">
        <f t="shared" si="788"/>
        <v/>
      </c>
      <c r="CC307" s="676" t="str">
        <f t="shared" si="789"/>
        <v/>
      </c>
      <c r="CD307" s="1316" t="str">
        <f t="shared" si="790"/>
        <v/>
      </c>
      <c r="CE307" s="1317" t="str">
        <f t="shared" si="790"/>
        <v/>
      </c>
      <c r="CF307" s="1317" t="str">
        <f t="shared" si="790"/>
        <v/>
      </c>
      <c r="CG307" s="1317" t="str">
        <f t="shared" si="790"/>
        <v/>
      </c>
      <c r="CH307" s="1318">
        <f t="shared" si="790"/>
        <v>600</v>
      </c>
      <c r="CI307" s="1318">
        <f t="shared" si="790"/>
        <v>3000</v>
      </c>
      <c r="CJ307" s="1317" t="str">
        <f t="shared" si="790"/>
        <v/>
      </c>
      <c r="CK307" s="1317" t="str">
        <f t="shared" si="790"/>
        <v/>
      </c>
      <c r="CL307" s="1317" t="str">
        <f t="shared" si="790"/>
        <v/>
      </c>
      <c r="CM307" s="1316" t="str">
        <f t="shared" si="790"/>
        <v/>
      </c>
      <c r="CN307" s="538" t="str">
        <f t="shared" si="791"/>
        <v/>
      </c>
      <c r="CO307" s="539" t="str">
        <f t="shared" si="792"/>
        <v/>
      </c>
      <c r="CP307" s="539" t="str">
        <f t="shared" si="793"/>
        <v/>
      </c>
      <c r="CQ307" s="539" t="str">
        <f t="shared" si="794"/>
        <v/>
      </c>
      <c r="CR307" s="539" t="str">
        <f t="shared" si="795"/>
        <v/>
      </c>
      <c r="CS307" s="539" t="str">
        <f t="shared" si="796"/>
        <v/>
      </c>
      <c r="CT307" s="540" t="str">
        <f t="shared" si="797"/>
        <v/>
      </c>
      <c r="CU307" s="540">
        <f t="shared" si="798"/>
        <v>1500</v>
      </c>
      <c r="CV307" s="540" t="str">
        <f t="shared" si="799"/>
        <v/>
      </c>
      <c r="CW307" s="539" t="str">
        <f t="shared" si="800"/>
        <v/>
      </c>
      <c r="CX307" s="539" t="str">
        <f t="shared" si="801"/>
        <v/>
      </c>
      <c r="CY307" s="539" t="str">
        <f t="shared" si="802"/>
        <v/>
      </c>
      <c r="CZ307" s="539" t="str">
        <f t="shared" si="803"/>
        <v/>
      </c>
      <c r="DA307" s="539" t="str">
        <f t="shared" si="804"/>
        <v/>
      </c>
      <c r="DB307" s="538" t="str">
        <f t="shared" si="805"/>
        <v/>
      </c>
      <c r="DC307" s="537" t="str">
        <f t="shared" si="806"/>
        <v/>
      </c>
      <c r="DD307" s="641">
        <f t="shared" si="807"/>
        <v>2</v>
      </c>
      <c r="DE307" s="95">
        <f t="shared" si="808"/>
        <v>2</v>
      </c>
      <c r="DF307" s="95">
        <f t="shared" si="809"/>
        <v>2</v>
      </c>
      <c r="DG307" s="95">
        <f t="shared" si="810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258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6"/>
        <v>75</v>
      </c>
      <c r="CA308" s="586" t="str">
        <f t="shared" si="787"/>
        <v/>
      </c>
      <c r="CB308" s="586" t="str">
        <f t="shared" si="788"/>
        <v/>
      </c>
      <c r="CC308" s="676" t="str">
        <f t="shared" si="789"/>
        <v/>
      </c>
      <c r="CD308" s="1316" t="str">
        <f t="shared" si="790"/>
        <v/>
      </c>
      <c r="CE308" s="1317" t="str">
        <f t="shared" si="790"/>
        <v/>
      </c>
      <c r="CF308" s="1317" t="str">
        <f t="shared" si="790"/>
        <v/>
      </c>
      <c r="CG308" s="1317" t="str">
        <f t="shared" si="790"/>
        <v/>
      </c>
      <c r="CH308" s="1318">
        <f t="shared" si="790"/>
        <v>50</v>
      </c>
      <c r="CI308" s="1318">
        <f t="shared" si="790"/>
        <v>100</v>
      </c>
      <c r="CJ308" s="1317" t="str">
        <f t="shared" si="790"/>
        <v/>
      </c>
      <c r="CK308" s="1317" t="str">
        <f t="shared" si="790"/>
        <v/>
      </c>
      <c r="CL308" s="1317" t="str">
        <f t="shared" si="790"/>
        <v/>
      </c>
      <c r="CM308" s="1316" t="str">
        <f t="shared" si="790"/>
        <v/>
      </c>
      <c r="CN308" s="538" t="str">
        <f t="shared" si="791"/>
        <v/>
      </c>
      <c r="CO308" s="539" t="str">
        <f t="shared" si="792"/>
        <v/>
      </c>
      <c r="CP308" s="539" t="str">
        <f t="shared" si="793"/>
        <v/>
      </c>
      <c r="CQ308" s="539" t="str">
        <f t="shared" si="794"/>
        <v/>
      </c>
      <c r="CR308" s="539" t="str">
        <f t="shared" si="795"/>
        <v/>
      </c>
      <c r="CS308" s="539" t="str">
        <f t="shared" si="796"/>
        <v/>
      </c>
      <c r="CT308" s="540" t="str">
        <f t="shared" si="797"/>
        <v/>
      </c>
      <c r="CU308" s="540">
        <f t="shared" si="798"/>
        <v>0</v>
      </c>
      <c r="CV308" s="540" t="str">
        <f t="shared" si="799"/>
        <v/>
      </c>
      <c r="CW308" s="539" t="str">
        <f t="shared" si="800"/>
        <v/>
      </c>
      <c r="CX308" s="539" t="str">
        <f t="shared" si="801"/>
        <v/>
      </c>
      <c r="CY308" s="539" t="str">
        <f t="shared" si="802"/>
        <v/>
      </c>
      <c r="CZ308" s="539" t="str">
        <f t="shared" si="803"/>
        <v/>
      </c>
      <c r="DA308" s="539" t="str">
        <f t="shared" si="804"/>
        <v/>
      </c>
      <c r="DB308" s="538" t="str">
        <f t="shared" si="805"/>
        <v/>
      </c>
      <c r="DC308" s="537" t="str">
        <f t="shared" si="806"/>
        <v/>
      </c>
      <c r="DD308" s="641">
        <f t="shared" si="807"/>
        <v>4</v>
      </c>
      <c r="DE308" s="95">
        <f t="shared" si="808"/>
        <v>1</v>
      </c>
      <c r="DF308" s="95">
        <f t="shared" si="809"/>
        <v>2</v>
      </c>
      <c r="DG308" s="95">
        <f t="shared" si="810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227</v>
      </c>
      <c r="B309" s="621" t="str">
        <f t="shared" ref="B309:K309" si="823">IF(B303="","",(B303-B305-B308)*B304/B$46/365/$G$1)</f>
        <v/>
      </c>
      <c r="C309" s="621">
        <f t="shared" si="823"/>
        <v>2.564144991994307E-2</v>
      </c>
      <c r="D309" s="621">
        <f t="shared" si="823"/>
        <v>1.2464593711083438E-2</v>
      </c>
      <c r="E309" s="621" t="str">
        <f t="shared" si="823"/>
        <v/>
      </c>
      <c r="F309" s="621" t="str">
        <f t="shared" si="823"/>
        <v/>
      </c>
      <c r="G309" s="621" t="str">
        <f t="shared" si="823"/>
        <v/>
      </c>
      <c r="H309" s="621" t="str">
        <f t="shared" si="823"/>
        <v/>
      </c>
      <c r="I309" s="621" t="str">
        <f t="shared" si="823"/>
        <v/>
      </c>
      <c r="J309" s="621" t="str">
        <f t="shared" si="823"/>
        <v/>
      </c>
      <c r="K309" s="621">
        <f t="shared" si="823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4">IF(T303="","",(T303-T305-T308)*T304/T$46/365/$G$1)</f>
        <v/>
      </c>
      <c r="U309" s="621">
        <f t="shared" si="824"/>
        <v>2.1367874933285892E-2</v>
      </c>
      <c r="V309" s="621">
        <f t="shared" si="824"/>
        <v>6.6477833125778334E-3</v>
      </c>
      <c r="W309" s="621" t="str">
        <f t="shared" si="824"/>
        <v/>
      </c>
      <c r="X309" s="621" t="str">
        <f t="shared" si="824"/>
        <v/>
      </c>
      <c r="Y309" s="621" t="str">
        <f t="shared" si="824"/>
        <v/>
      </c>
      <c r="Z309" s="621" t="str">
        <f t="shared" si="824"/>
        <v/>
      </c>
      <c r="AA309" s="621" t="str">
        <f t="shared" si="824"/>
        <v/>
      </c>
      <c r="AB309" s="621" t="str">
        <f t="shared" si="824"/>
        <v/>
      </c>
      <c r="AC309" s="621" t="str">
        <f t="shared" si="824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5">IF(AL303="","",(AL303-AL305-AL308)*AL304/AL$46/365/$G$1)</f>
        <v/>
      </c>
      <c r="AM309" s="621">
        <f t="shared" si="825"/>
        <v>-1.2464593711083438E-2</v>
      </c>
      <c r="AN309" s="621">
        <f t="shared" si="825"/>
        <v>-7.9773399750934001E-3</v>
      </c>
      <c r="AO309" s="621" t="str">
        <f t="shared" si="825"/>
        <v/>
      </c>
      <c r="AP309" s="621" t="str">
        <f t="shared" si="825"/>
        <v/>
      </c>
      <c r="AQ309" s="621" t="str">
        <f t="shared" si="825"/>
        <v/>
      </c>
      <c r="AR309" s="621" t="str">
        <f t="shared" si="825"/>
        <v/>
      </c>
      <c r="AS309" s="621" t="str">
        <f t="shared" si="825"/>
        <v/>
      </c>
      <c r="AT309" s="621" t="str">
        <f t="shared" si="825"/>
        <v/>
      </c>
      <c r="AU309" s="621" t="str">
        <f t="shared" si="825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6">IF(BD303="","",(BD303-BD305-BD308)*BD304/BD$46/365/$G$1)</f>
        <v/>
      </c>
      <c r="BE309" s="621" t="str">
        <f t="shared" si="826"/>
        <v/>
      </c>
      <c r="BF309" s="621">
        <f t="shared" si="826"/>
        <v>9.8054803860523024E-2</v>
      </c>
      <c r="BG309" s="621" t="str">
        <f t="shared" si="826"/>
        <v/>
      </c>
      <c r="BH309" s="621" t="str">
        <f t="shared" si="826"/>
        <v/>
      </c>
      <c r="BI309" s="621" t="str">
        <f t="shared" si="826"/>
        <v/>
      </c>
      <c r="BJ309" s="621" t="str">
        <f t="shared" si="826"/>
        <v/>
      </c>
      <c r="BK309" s="621" t="str">
        <f t="shared" si="826"/>
        <v/>
      </c>
      <c r="BL309" s="621" t="str">
        <f t="shared" si="826"/>
        <v/>
      </c>
      <c r="BM309" s="621" t="str">
        <f t="shared" si="826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6"/>
        <v>1.2464593711083438E-2</v>
      </c>
      <c r="CA309" s="611" t="str">
        <f t="shared" si="787"/>
        <v/>
      </c>
      <c r="CB309" s="611" t="str">
        <f t="shared" si="788"/>
        <v/>
      </c>
      <c r="CC309" s="679" t="str">
        <f t="shared" si="789"/>
        <v/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0" t="str">
        <f t="shared" si="827"/>
        <v/>
      </c>
      <c r="CG309" s="1320" t="str">
        <f t="shared" si="827"/>
        <v/>
      </c>
      <c r="CH309" s="1321">
        <f t="shared" si="827"/>
        <v>-1.2464593711083438E-2</v>
      </c>
      <c r="CI309" s="1321">
        <f t="shared" si="827"/>
        <v>-7.9773399750934001E-3</v>
      </c>
      <c r="CJ309" s="1320" t="str">
        <f t="shared" si="827"/>
        <v/>
      </c>
      <c r="CK309" s="1320" t="str">
        <f t="shared" si="827"/>
        <v/>
      </c>
      <c r="CL309" s="1320" t="str">
        <f t="shared" si="827"/>
        <v/>
      </c>
      <c r="CM309" s="1319" t="str">
        <f t="shared" si="827"/>
        <v/>
      </c>
      <c r="CN309" s="526" t="str">
        <f t="shared" si="791"/>
        <v/>
      </c>
      <c r="CO309" s="527" t="str">
        <f t="shared" si="792"/>
        <v/>
      </c>
      <c r="CP309" s="527" t="str">
        <f t="shared" si="793"/>
        <v/>
      </c>
      <c r="CQ309" s="527" t="str">
        <f t="shared" si="794"/>
        <v/>
      </c>
      <c r="CR309" s="527" t="str">
        <f t="shared" si="795"/>
        <v/>
      </c>
      <c r="CS309" s="527" t="str">
        <f t="shared" si="796"/>
        <v/>
      </c>
      <c r="CT309" s="528" t="str">
        <f t="shared" si="797"/>
        <v/>
      </c>
      <c r="CU309" s="528">
        <f t="shared" si="798"/>
        <v>9.8054803860523024E-2</v>
      </c>
      <c r="CV309" s="528" t="str">
        <f t="shared" si="799"/>
        <v/>
      </c>
      <c r="CW309" s="527" t="str">
        <f t="shared" si="800"/>
        <v/>
      </c>
      <c r="CX309" s="527" t="str">
        <f t="shared" si="801"/>
        <v/>
      </c>
      <c r="CY309" s="527" t="str">
        <f t="shared" si="802"/>
        <v/>
      </c>
      <c r="CZ309" s="527" t="str">
        <f t="shared" si="803"/>
        <v/>
      </c>
      <c r="DA309" s="527" t="str">
        <f t="shared" si="804"/>
        <v/>
      </c>
      <c r="DB309" s="526" t="str">
        <f t="shared" si="805"/>
        <v/>
      </c>
      <c r="DC309" s="525" t="str">
        <f t="shared" si="806"/>
        <v/>
      </c>
      <c r="DD309" s="641">
        <f t="shared" si="807"/>
        <v>3</v>
      </c>
      <c r="DE309" s="95">
        <f t="shared" si="808"/>
        <v>2</v>
      </c>
      <c r="DF309" s="95">
        <f t="shared" si="809"/>
        <v>2</v>
      </c>
      <c r="DG309" s="95">
        <f t="shared" si="810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910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6"/>
        <v/>
      </c>
      <c r="CA310" s="586" t="str">
        <f t="shared" si="787"/>
        <v/>
      </c>
      <c r="CB310" s="586">
        <f t="shared" si="788"/>
        <v>50</v>
      </c>
      <c r="CC310" s="676">
        <f t="shared" si="789"/>
        <v>32</v>
      </c>
      <c r="CD310" s="131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7" t="str">
        <f t="shared" si="827"/>
        <v/>
      </c>
      <c r="CF310" s="1317" t="str">
        <f t="shared" si="827"/>
        <v/>
      </c>
      <c r="CG310" s="1317">
        <f t="shared" si="827"/>
        <v>30</v>
      </c>
      <c r="CH310" s="1318">
        <f t="shared" si="827"/>
        <v>50</v>
      </c>
      <c r="CI310" s="1318">
        <f t="shared" si="827"/>
        <v>60</v>
      </c>
      <c r="CJ310" s="1317" t="str">
        <f t="shared" si="827"/>
        <v/>
      </c>
      <c r="CK310" s="1317" t="str">
        <f t="shared" si="827"/>
        <v/>
      </c>
      <c r="CL310" s="1317" t="str">
        <f t="shared" si="827"/>
        <v/>
      </c>
      <c r="CM310" s="1316" t="str">
        <f t="shared" si="827"/>
        <v/>
      </c>
      <c r="CN310" s="538" t="str">
        <f t="shared" si="791"/>
        <v/>
      </c>
      <c r="CO310" s="539" t="str">
        <f t="shared" si="792"/>
        <v/>
      </c>
      <c r="CP310" s="539" t="str">
        <f t="shared" si="793"/>
        <v/>
      </c>
      <c r="CQ310" s="539" t="str">
        <f t="shared" si="794"/>
        <v/>
      </c>
      <c r="CR310" s="539">
        <f t="shared" si="795"/>
        <v>10</v>
      </c>
      <c r="CS310" s="539">
        <f t="shared" si="796"/>
        <v>20</v>
      </c>
      <c r="CT310" s="540">
        <f t="shared" si="797"/>
        <v>30</v>
      </c>
      <c r="CU310" s="540">
        <f t="shared" si="798"/>
        <v>30</v>
      </c>
      <c r="CV310" s="540">
        <f t="shared" si="799"/>
        <v>30</v>
      </c>
      <c r="CW310" s="539">
        <f t="shared" si="800"/>
        <v>50</v>
      </c>
      <c r="CX310" s="539">
        <f t="shared" si="801"/>
        <v>100</v>
      </c>
      <c r="CY310" s="539" t="str">
        <f t="shared" si="802"/>
        <v/>
      </c>
      <c r="CZ310" s="539" t="str">
        <f t="shared" si="803"/>
        <v/>
      </c>
      <c r="DA310" s="539" t="str">
        <f t="shared" si="804"/>
        <v/>
      </c>
      <c r="DB310" s="538" t="str">
        <f t="shared" si="805"/>
        <v/>
      </c>
      <c r="DC310" s="537" t="str">
        <f t="shared" si="806"/>
        <v/>
      </c>
      <c r="DD310" s="641">
        <f t="shared" si="807"/>
        <v>1</v>
      </c>
      <c r="DE310" s="95">
        <f t="shared" si="808"/>
        <v>0</v>
      </c>
      <c r="DF310" s="95">
        <f t="shared" si="809"/>
        <v>3</v>
      </c>
      <c r="DG310" s="95">
        <f t="shared" si="810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265</v>
      </c>
      <c r="B311" s="246" t="s">
        <v>267</v>
      </c>
      <c r="C311" s="246" t="s">
        <v>267</v>
      </c>
      <c r="D311" s="246" t="s">
        <v>267</v>
      </c>
      <c r="E311" s="246" t="s">
        <v>267</v>
      </c>
      <c r="F311" s="246" t="s">
        <v>267</v>
      </c>
      <c r="G311" s="246" t="s">
        <v>267</v>
      </c>
      <c r="H311" s="246" t="s">
        <v>267</v>
      </c>
      <c r="I311" s="246" t="s">
        <v>267</v>
      </c>
      <c r="J311" s="246" t="s">
        <v>267</v>
      </c>
      <c r="K311" s="246" t="s">
        <v>267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267</v>
      </c>
      <c r="U311" s="246" t="s">
        <v>267</v>
      </c>
      <c r="V311" s="246" t="s">
        <v>267</v>
      </c>
      <c r="W311" s="246" t="s">
        <v>267</v>
      </c>
      <c r="X311" s="246" t="s">
        <v>267</v>
      </c>
      <c r="Y311" s="246" t="s">
        <v>267</v>
      </c>
      <c r="Z311" s="246" t="s">
        <v>267</v>
      </c>
      <c r="AA311" s="246" t="s">
        <v>267</v>
      </c>
      <c r="AB311" s="246" t="s">
        <v>267</v>
      </c>
      <c r="AC311" s="246" t="s">
        <v>267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38"/>
      <c r="CE311" s="1338"/>
      <c r="CF311" s="1338"/>
      <c r="CG311" s="1338"/>
      <c r="CH311" s="1338"/>
      <c r="CI311" s="1338"/>
      <c r="CJ311" s="1338"/>
      <c r="CK311" s="1338"/>
      <c r="CL311" s="1338"/>
      <c r="CM311" s="1338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266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8">IF(DD312&lt;3,"",(SUM(B312:R312)-MIN(B312:R312)-MAX(B312:R312))/(DD312-2))</f>
        <v/>
      </c>
      <c r="CA312" s="586">
        <f t="shared" ref="CA312:CA320" si="829">IF(DE312&lt;3,"",(SUM(T312:AJ312)-MIN(T312:AJ312)-MAX(T312:AJ312))/(DE312-2))</f>
        <v>3</v>
      </c>
      <c r="CB312" s="586">
        <f t="shared" ref="CB312:CB320" si="830">IF(DF312&lt;3,"",(SUM(AL312:BB312)-MIN(AL312:BB312)-MAX(AL312:BB312))/(DF312-2))</f>
        <v>3</v>
      </c>
      <c r="CC312" s="676">
        <f t="shared" ref="CC312:CC320" si="831">IF(DG312&lt;3,"",(SUM(BD312:BT312)-MIN(BD312:BT312)-MAX(BD312:BT312))/(DG312-2))</f>
        <v>3</v>
      </c>
      <c r="CD312" s="1316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317">
        <f t="shared" si="832"/>
        <v>3</v>
      </c>
      <c r="CF312" s="1317">
        <f t="shared" si="832"/>
        <v>3</v>
      </c>
      <c r="CG312" s="1317">
        <f t="shared" si="832"/>
        <v>3</v>
      </c>
      <c r="CH312" s="1318">
        <f t="shared" si="832"/>
        <v>3</v>
      </c>
      <c r="CI312" s="1318">
        <f t="shared" si="832"/>
        <v>3</v>
      </c>
      <c r="CJ312" s="1317">
        <f t="shared" si="832"/>
        <v>3</v>
      </c>
      <c r="CK312" s="1317">
        <f t="shared" si="832"/>
        <v>3</v>
      </c>
      <c r="CL312" s="1317">
        <f t="shared" si="832"/>
        <v>3</v>
      </c>
      <c r="CM312" s="1316">
        <f t="shared" si="832"/>
        <v>3</v>
      </c>
      <c r="CN312" s="538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9">COUNT(B312:R312)</f>
        <v>1</v>
      </c>
      <c r="DE312" s="95">
        <f t="shared" ref="DE312:DE320" si="850">COUNT(T312:AJ312)</f>
        <v>10</v>
      </c>
      <c r="DF312" s="95">
        <f t="shared" ref="DF312:DF320" si="851">COUNT(AL312:BB312)</f>
        <v>10</v>
      </c>
      <c r="DG312" s="95">
        <f t="shared" ref="DG312:DG320" si="852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267</v>
      </c>
      <c r="B313" s="618">
        <f t="shared" ref="B313:K313" si="853">IF(B310="","",B310*B312)</f>
        <v>105</v>
      </c>
      <c r="C313" s="618" t="str">
        <f t="shared" si="853"/>
        <v/>
      </c>
      <c r="D313" s="618" t="str">
        <f t="shared" si="853"/>
        <v/>
      </c>
      <c r="E313" s="618" t="str">
        <f t="shared" si="853"/>
        <v/>
      </c>
      <c r="F313" s="618" t="str">
        <f t="shared" si="853"/>
        <v/>
      </c>
      <c r="G313" s="618" t="str">
        <f t="shared" si="853"/>
        <v/>
      </c>
      <c r="H313" s="618" t="str">
        <f t="shared" si="853"/>
        <v/>
      </c>
      <c r="I313" s="618" t="str">
        <f t="shared" si="853"/>
        <v/>
      </c>
      <c r="J313" s="618" t="str">
        <f t="shared" si="853"/>
        <v/>
      </c>
      <c r="K313" s="618" t="str">
        <f t="shared" si="853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4">IF(T310="","",T310*T312)</f>
        <v/>
      </c>
      <c r="U313" s="618" t="str">
        <f t="shared" si="854"/>
        <v/>
      </c>
      <c r="V313" s="618" t="str">
        <f t="shared" si="854"/>
        <v/>
      </c>
      <c r="W313" s="618" t="str">
        <f t="shared" si="854"/>
        <v/>
      </c>
      <c r="X313" s="618" t="str">
        <f t="shared" si="854"/>
        <v/>
      </c>
      <c r="Y313" s="618" t="str">
        <f t="shared" si="854"/>
        <v/>
      </c>
      <c r="Z313" s="618" t="str">
        <f t="shared" si="854"/>
        <v/>
      </c>
      <c r="AA313" s="618" t="str">
        <f t="shared" si="854"/>
        <v/>
      </c>
      <c r="AB313" s="618" t="str">
        <f t="shared" si="854"/>
        <v/>
      </c>
      <c r="AC313" s="618" t="str">
        <f t="shared" si="854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5">IF(AL310="","",AL310*AL312)</f>
        <v/>
      </c>
      <c r="AM313" s="618" t="str">
        <f t="shared" si="855"/>
        <v/>
      </c>
      <c r="AN313" s="618" t="str">
        <f t="shared" si="855"/>
        <v/>
      </c>
      <c r="AO313" s="618" t="str">
        <f t="shared" si="855"/>
        <v/>
      </c>
      <c r="AP313" s="618" t="str">
        <f t="shared" si="855"/>
        <v/>
      </c>
      <c r="AQ313" s="618">
        <f t="shared" si="855"/>
        <v>150</v>
      </c>
      <c r="AR313" s="618">
        <f t="shared" si="855"/>
        <v>180</v>
      </c>
      <c r="AS313" s="618" t="str">
        <f t="shared" si="855"/>
        <v/>
      </c>
      <c r="AT313" s="618" t="str">
        <f t="shared" si="855"/>
        <v/>
      </c>
      <c r="AU313" s="618">
        <f t="shared" si="855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6">IF(BD310="","",BD310*BD312)</f>
        <v>60</v>
      </c>
      <c r="BE313" s="618" t="str">
        <f t="shared" si="856"/>
        <v/>
      </c>
      <c r="BF313" s="618" t="str">
        <f t="shared" si="856"/>
        <v/>
      </c>
      <c r="BG313" s="618">
        <f t="shared" si="856"/>
        <v>90</v>
      </c>
      <c r="BH313" s="618">
        <f t="shared" si="856"/>
        <v>300</v>
      </c>
      <c r="BI313" s="618" t="str">
        <f t="shared" si="856"/>
        <v/>
      </c>
      <c r="BJ313" s="618">
        <f t="shared" si="856"/>
        <v>90</v>
      </c>
      <c r="BK313" s="618">
        <f t="shared" si="856"/>
        <v>30</v>
      </c>
      <c r="BL313" s="618">
        <f t="shared" si="856"/>
        <v>90</v>
      </c>
      <c r="BM313" s="618">
        <f t="shared" si="856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8"/>
        <v/>
      </c>
      <c r="CA313" s="586" t="str">
        <f t="shared" si="829"/>
        <v/>
      </c>
      <c r="CB313" s="586">
        <f t="shared" si="830"/>
        <v>150</v>
      </c>
      <c r="CC313" s="676">
        <f t="shared" si="831"/>
        <v>96</v>
      </c>
      <c r="CD313" s="1316" t="str">
        <f t="shared" si="832"/>
        <v/>
      </c>
      <c r="CE313" s="1317" t="str">
        <f t="shared" si="832"/>
        <v/>
      </c>
      <c r="CF313" s="1317" t="str">
        <f t="shared" si="832"/>
        <v/>
      </c>
      <c r="CG313" s="1317">
        <f t="shared" si="832"/>
        <v>90</v>
      </c>
      <c r="CH313" s="1318">
        <f t="shared" si="832"/>
        <v>150</v>
      </c>
      <c r="CI313" s="1318">
        <f t="shared" si="832"/>
        <v>180</v>
      </c>
      <c r="CJ313" s="1317" t="str">
        <f t="shared" si="832"/>
        <v/>
      </c>
      <c r="CK313" s="1317" t="str">
        <f t="shared" si="832"/>
        <v/>
      </c>
      <c r="CL313" s="1317" t="str">
        <f t="shared" si="832"/>
        <v/>
      </c>
      <c r="CM313" s="1316" t="str">
        <f t="shared" si="832"/>
        <v/>
      </c>
      <c r="CN313" s="538" t="str">
        <f t="shared" si="833"/>
        <v/>
      </c>
      <c r="CO313" s="539" t="str">
        <f t="shared" si="834"/>
        <v/>
      </c>
      <c r="CP313" s="539" t="str">
        <f t="shared" si="835"/>
        <v/>
      </c>
      <c r="CQ313" s="539" t="str">
        <f t="shared" si="836"/>
        <v/>
      </c>
      <c r="CR313" s="539">
        <f t="shared" si="837"/>
        <v>30</v>
      </c>
      <c r="CS313" s="539">
        <f t="shared" si="838"/>
        <v>60</v>
      </c>
      <c r="CT313" s="540">
        <f t="shared" si="839"/>
        <v>90</v>
      </c>
      <c r="CU313" s="540">
        <f t="shared" si="840"/>
        <v>90</v>
      </c>
      <c r="CV313" s="540">
        <f t="shared" si="841"/>
        <v>90</v>
      </c>
      <c r="CW313" s="539">
        <f t="shared" si="842"/>
        <v>150</v>
      </c>
      <c r="CX313" s="539">
        <f t="shared" si="843"/>
        <v>300</v>
      </c>
      <c r="CY313" s="539" t="str">
        <f t="shared" si="844"/>
        <v/>
      </c>
      <c r="CZ313" s="539" t="str">
        <f t="shared" si="845"/>
        <v/>
      </c>
      <c r="DA313" s="539" t="str">
        <f t="shared" si="846"/>
        <v/>
      </c>
      <c r="DB313" s="538" t="str">
        <f t="shared" si="847"/>
        <v/>
      </c>
      <c r="DC313" s="537" t="str">
        <f t="shared" si="848"/>
        <v/>
      </c>
      <c r="DD313" s="641">
        <f t="shared" si="849"/>
        <v>1</v>
      </c>
      <c r="DE313" s="95">
        <f t="shared" si="850"/>
        <v>0</v>
      </c>
      <c r="DF313" s="95">
        <f t="shared" si="851"/>
        <v>3</v>
      </c>
      <c r="DG313" s="95">
        <f t="shared" si="852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260</v>
      </c>
      <c r="B314" s="690">
        <f>230*$K$1</f>
        <v>962.96399999999994</v>
      </c>
      <c r="C314" s="690">
        <f t="shared" ref="C314:K314" si="857">230*$K$1</f>
        <v>962.96399999999994</v>
      </c>
      <c r="D314" s="690">
        <f t="shared" si="857"/>
        <v>962.96399999999994</v>
      </c>
      <c r="E314" s="690">
        <f t="shared" si="857"/>
        <v>962.96399999999994</v>
      </c>
      <c r="F314" s="690">
        <f t="shared" si="857"/>
        <v>962.96399999999994</v>
      </c>
      <c r="G314" s="690">
        <f t="shared" si="857"/>
        <v>962.96399999999994</v>
      </c>
      <c r="H314" s="690">
        <f t="shared" si="857"/>
        <v>962.96399999999994</v>
      </c>
      <c r="I314" s="690">
        <f t="shared" si="857"/>
        <v>962.96399999999994</v>
      </c>
      <c r="J314" s="690">
        <f t="shared" si="857"/>
        <v>962.96399999999994</v>
      </c>
      <c r="K314" s="690">
        <f t="shared" si="857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8">230*$K$1</f>
        <v>962.96399999999994</v>
      </c>
      <c r="V314" s="690">
        <f t="shared" si="858"/>
        <v>962.96399999999994</v>
      </c>
      <c r="W314" s="690">
        <f t="shared" si="858"/>
        <v>962.96399999999994</v>
      </c>
      <c r="X314" s="690">
        <f t="shared" si="858"/>
        <v>962.96399999999994</v>
      </c>
      <c r="Y314" s="690">
        <f t="shared" si="858"/>
        <v>962.96399999999994</v>
      </c>
      <c r="Z314" s="690">
        <f t="shared" si="858"/>
        <v>962.96399999999994</v>
      </c>
      <c r="AA314" s="690">
        <f t="shared" si="858"/>
        <v>962.96399999999994</v>
      </c>
      <c r="AB314" s="690">
        <f t="shared" si="858"/>
        <v>962.96399999999994</v>
      </c>
      <c r="AC314" s="690">
        <f t="shared" si="858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9">230*$K$1</f>
        <v>962.96399999999994</v>
      </c>
      <c r="AN314" s="690">
        <f t="shared" si="859"/>
        <v>962.96399999999994</v>
      </c>
      <c r="AO314" s="690">
        <f t="shared" si="859"/>
        <v>962.96399999999994</v>
      </c>
      <c r="AP314" s="690">
        <f t="shared" si="859"/>
        <v>962.96399999999994</v>
      </c>
      <c r="AQ314" s="690">
        <f t="shared" si="859"/>
        <v>962.96399999999994</v>
      </c>
      <c r="AR314" s="690">
        <f t="shared" si="859"/>
        <v>962.96399999999994</v>
      </c>
      <c r="AS314" s="690">
        <f t="shared" si="859"/>
        <v>962.96399999999994</v>
      </c>
      <c r="AT314" s="690">
        <f t="shared" si="859"/>
        <v>962.96399999999994</v>
      </c>
      <c r="AU314" s="690">
        <f t="shared" si="859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60">230*$K$1</f>
        <v>962.96399999999994</v>
      </c>
      <c r="BF314" s="690">
        <f t="shared" si="860"/>
        <v>962.96399999999994</v>
      </c>
      <c r="BG314" s="690">
        <f t="shared" si="860"/>
        <v>962.96399999999994</v>
      </c>
      <c r="BH314" s="690">
        <f t="shared" si="860"/>
        <v>962.96399999999994</v>
      </c>
      <c r="BI314" s="690">
        <f t="shared" si="860"/>
        <v>962.96399999999994</v>
      </c>
      <c r="BJ314" s="690">
        <f t="shared" si="860"/>
        <v>962.96399999999994</v>
      </c>
      <c r="BK314" s="690">
        <f t="shared" si="860"/>
        <v>962.96399999999994</v>
      </c>
      <c r="BL314" s="690">
        <f t="shared" si="860"/>
        <v>962.96399999999994</v>
      </c>
      <c r="BM314" s="690">
        <f t="shared" si="860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60"/>
        <v>962.96399999999994</v>
      </c>
      <c r="BW314" s="690">
        <f t="shared" si="860"/>
        <v>962.96399999999994</v>
      </c>
      <c r="BX314" s="690">
        <f t="shared" si="860"/>
        <v>962.96399999999994</v>
      </c>
      <c r="BY314" s="690">
        <f t="shared" si="860"/>
        <v>962.96399999999994</v>
      </c>
      <c r="BZ314" s="586">
        <f t="shared" si="828"/>
        <v>962.96399999999994</v>
      </c>
      <c r="CA314" s="586">
        <f t="shared" si="829"/>
        <v>962.96399999999994</v>
      </c>
      <c r="CB314" s="586">
        <f t="shared" si="830"/>
        <v>962.96399999999994</v>
      </c>
      <c r="CC314" s="676">
        <f t="shared" si="831"/>
        <v>962.96399999999994</v>
      </c>
      <c r="CD314" s="1316">
        <f t="shared" si="832"/>
        <v>962.96399999999994</v>
      </c>
      <c r="CE314" s="1317">
        <f t="shared" si="832"/>
        <v>962.96399999999994</v>
      </c>
      <c r="CF314" s="1317">
        <f t="shared" si="832"/>
        <v>962.96399999999994</v>
      </c>
      <c r="CG314" s="1317">
        <f t="shared" si="832"/>
        <v>962.96399999999994</v>
      </c>
      <c r="CH314" s="1318">
        <f t="shared" si="832"/>
        <v>962.96399999999994</v>
      </c>
      <c r="CI314" s="1318">
        <f t="shared" si="832"/>
        <v>962.96399999999994</v>
      </c>
      <c r="CJ314" s="1317">
        <f t="shared" si="832"/>
        <v>962.96399999999994</v>
      </c>
      <c r="CK314" s="1317">
        <f t="shared" si="832"/>
        <v>962.96399999999994</v>
      </c>
      <c r="CL314" s="1317">
        <f t="shared" si="832"/>
        <v>962.96399999999994</v>
      </c>
      <c r="CM314" s="1316">
        <f t="shared" si="832"/>
        <v>962.96399999999994</v>
      </c>
      <c r="CN314" s="538" t="str">
        <f t="shared" si="833"/>
        <v/>
      </c>
      <c r="CO314" s="539" t="str">
        <f t="shared" si="834"/>
        <v/>
      </c>
      <c r="CP314" s="539" t="str">
        <f t="shared" si="835"/>
        <v/>
      </c>
      <c r="CQ314" s="539">
        <f t="shared" si="836"/>
        <v>962.96399999999994</v>
      </c>
      <c r="CR314" s="539">
        <f t="shared" si="837"/>
        <v>962.96399999999994</v>
      </c>
      <c r="CS314" s="539">
        <f t="shared" si="838"/>
        <v>962.96399999999994</v>
      </c>
      <c r="CT314" s="540">
        <f t="shared" si="839"/>
        <v>962.96399999999994</v>
      </c>
      <c r="CU314" s="540">
        <f t="shared" si="840"/>
        <v>962.96399999999994</v>
      </c>
      <c r="CV314" s="540">
        <f t="shared" si="841"/>
        <v>962.96399999999994</v>
      </c>
      <c r="CW314" s="539">
        <f t="shared" si="842"/>
        <v>962.96399999999994</v>
      </c>
      <c r="CX314" s="539">
        <f t="shared" si="843"/>
        <v>962.96399999999994</v>
      </c>
      <c r="CY314" s="539">
        <f t="shared" si="844"/>
        <v>962.96399999999994</v>
      </c>
      <c r="CZ314" s="539">
        <f t="shared" si="845"/>
        <v>962.96399999999994</v>
      </c>
      <c r="DA314" s="539" t="str">
        <f t="shared" si="846"/>
        <v/>
      </c>
      <c r="DB314" s="538" t="str">
        <f t="shared" si="847"/>
        <v/>
      </c>
      <c r="DC314" s="537" t="str">
        <f t="shared" si="848"/>
        <v/>
      </c>
      <c r="DD314" s="641">
        <f t="shared" si="849"/>
        <v>10</v>
      </c>
      <c r="DE314" s="95">
        <f t="shared" si="850"/>
        <v>10</v>
      </c>
      <c r="DF314" s="95">
        <f t="shared" si="851"/>
        <v>10</v>
      </c>
      <c r="DG314" s="95">
        <f t="shared" si="852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257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8"/>
        <v/>
      </c>
      <c r="CA315" s="586" t="str">
        <f t="shared" si="829"/>
        <v/>
      </c>
      <c r="CB315" s="586">
        <f t="shared" si="830"/>
        <v>20</v>
      </c>
      <c r="CC315" s="676">
        <f t="shared" si="831"/>
        <v>0</v>
      </c>
      <c r="CD315" s="1316" t="str">
        <f t="shared" si="832"/>
        <v/>
      </c>
      <c r="CE315" s="1317" t="str">
        <f t="shared" si="832"/>
        <v/>
      </c>
      <c r="CF315" s="1317" t="str">
        <f t="shared" si="832"/>
        <v/>
      </c>
      <c r="CG315" s="1317">
        <f t="shared" si="832"/>
        <v>15</v>
      </c>
      <c r="CH315" s="1318">
        <f t="shared" si="832"/>
        <v>20</v>
      </c>
      <c r="CI315" s="1318">
        <f t="shared" si="832"/>
        <v>30</v>
      </c>
      <c r="CJ315" s="1317" t="str">
        <f t="shared" si="832"/>
        <v/>
      </c>
      <c r="CK315" s="1317" t="str">
        <f t="shared" si="832"/>
        <v/>
      </c>
      <c r="CL315" s="1317" t="str">
        <f t="shared" si="832"/>
        <v/>
      </c>
      <c r="CM315" s="1316" t="str">
        <f t="shared" si="832"/>
        <v/>
      </c>
      <c r="CN315" s="538" t="str">
        <f t="shared" si="833"/>
        <v/>
      </c>
      <c r="CO315" s="539" t="str">
        <f t="shared" si="834"/>
        <v/>
      </c>
      <c r="CP315" s="539" t="str">
        <f t="shared" si="835"/>
        <v/>
      </c>
      <c r="CQ315" s="539" t="str">
        <f t="shared" si="836"/>
        <v/>
      </c>
      <c r="CR315" s="539" t="str">
        <f t="shared" si="837"/>
        <v/>
      </c>
      <c r="CS315" s="539" t="str">
        <f t="shared" si="838"/>
        <v/>
      </c>
      <c r="CT315" s="540">
        <f t="shared" si="839"/>
        <v>0</v>
      </c>
      <c r="CU315" s="540">
        <f t="shared" si="840"/>
        <v>0</v>
      </c>
      <c r="CV315" s="540">
        <f t="shared" si="841"/>
        <v>180</v>
      </c>
      <c r="CW315" s="539" t="str">
        <f t="shared" si="842"/>
        <v/>
      </c>
      <c r="CX315" s="539" t="str">
        <f t="shared" si="843"/>
        <v/>
      </c>
      <c r="CY315" s="539" t="str">
        <f t="shared" si="844"/>
        <v/>
      </c>
      <c r="CZ315" s="539" t="str">
        <f t="shared" si="845"/>
        <v/>
      </c>
      <c r="DA315" s="539" t="str">
        <f t="shared" si="846"/>
        <v/>
      </c>
      <c r="DB315" s="538" t="str">
        <f t="shared" si="847"/>
        <v/>
      </c>
      <c r="DC315" s="537" t="str">
        <f t="shared" si="848"/>
        <v/>
      </c>
      <c r="DD315" s="641">
        <f t="shared" si="849"/>
        <v>1</v>
      </c>
      <c r="DE315" s="95">
        <f t="shared" si="850"/>
        <v>0</v>
      </c>
      <c r="DF315" s="95">
        <f t="shared" si="851"/>
        <v>3</v>
      </c>
      <c r="DG315" s="95">
        <f t="shared" si="852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8"/>
        <v/>
      </c>
      <c r="CA316" s="586" t="str">
        <f t="shared" si="829"/>
        <v/>
      </c>
      <c r="CB316" s="586" t="str">
        <f t="shared" si="830"/>
        <v/>
      </c>
      <c r="CC316" s="676" t="str">
        <f t="shared" si="831"/>
        <v/>
      </c>
      <c r="CD316" s="1316" t="str">
        <f t="shared" si="832"/>
        <v/>
      </c>
      <c r="CE316" s="1317" t="str">
        <f t="shared" si="832"/>
        <v/>
      </c>
      <c r="CF316" s="1317" t="str">
        <f t="shared" si="832"/>
        <v/>
      </c>
      <c r="CG316" s="1317" t="str">
        <f t="shared" si="832"/>
        <v/>
      </c>
      <c r="CH316" s="1318">
        <f t="shared" si="832"/>
        <v>3.5</v>
      </c>
      <c r="CI316" s="1318">
        <f t="shared" si="832"/>
        <v>10</v>
      </c>
      <c r="CJ316" s="1317" t="str">
        <f t="shared" si="832"/>
        <v/>
      </c>
      <c r="CK316" s="1317" t="str">
        <f t="shared" si="832"/>
        <v/>
      </c>
      <c r="CL316" s="1317" t="str">
        <f t="shared" si="832"/>
        <v/>
      </c>
      <c r="CM316" s="1316" t="str">
        <f t="shared" si="832"/>
        <v/>
      </c>
      <c r="CN316" s="538" t="str">
        <f t="shared" si="833"/>
        <v/>
      </c>
      <c r="CO316" s="539" t="str">
        <f t="shared" si="834"/>
        <v/>
      </c>
      <c r="CP316" s="539" t="str">
        <f t="shared" si="835"/>
        <v/>
      </c>
      <c r="CQ316" s="539" t="str">
        <f t="shared" si="836"/>
        <v/>
      </c>
      <c r="CR316" s="539" t="str">
        <f t="shared" si="837"/>
        <v/>
      </c>
      <c r="CS316" s="539" t="str">
        <f t="shared" si="838"/>
        <v/>
      </c>
      <c r="CT316" s="540" t="str">
        <f t="shared" si="839"/>
        <v/>
      </c>
      <c r="CU316" s="540">
        <f t="shared" si="840"/>
        <v>10</v>
      </c>
      <c r="CV316" s="540" t="str">
        <f t="shared" si="841"/>
        <v/>
      </c>
      <c r="CW316" s="539" t="str">
        <f t="shared" si="842"/>
        <v/>
      </c>
      <c r="CX316" s="539" t="str">
        <f t="shared" si="843"/>
        <v/>
      </c>
      <c r="CY316" s="539" t="str">
        <f t="shared" si="844"/>
        <v/>
      </c>
      <c r="CZ316" s="539" t="str">
        <f t="shared" si="845"/>
        <v/>
      </c>
      <c r="DA316" s="539" t="str">
        <f t="shared" si="846"/>
        <v/>
      </c>
      <c r="DB316" s="538" t="str">
        <f t="shared" si="847"/>
        <v/>
      </c>
      <c r="DC316" s="537" t="str">
        <f t="shared" si="848"/>
        <v/>
      </c>
      <c r="DD316" s="641">
        <f t="shared" si="849"/>
        <v>0</v>
      </c>
      <c r="DE316" s="95">
        <f t="shared" si="850"/>
        <v>0</v>
      </c>
      <c r="DF316" s="95">
        <f t="shared" si="851"/>
        <v>2</v>
      </c>
      <c r="DG316" s="95">
        <f t="shared" si="852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183</v>
      </c>
      <c r="B317" s="618">
        <f t="shared" ref="B317:K317" si="861">IF(B315="","",B315*B316)</f>
        <v>0</v>
      </c>
      <c r="C317" s="618" t="str">
        <f t="shared" si="861"/>
        <v/>
      </c>
      <c r="D317" s="618" t="str">
        <f t="shared" si="861"/>
        <v/>
      </c>
      <c r="E317" s="618" t="str">
        <f t="shared" si="861"/>
        <v/>
      </c>
      <c r="F317" s="618" t="str">
        <f t="shared" si="861"/>
        <v/>
      </c>
      <c r="G317" s="618" t="str">
        <f t="shared" si="861"/>
        <v/>
      </c>
      <c r="H317" s="618" t="str">
        <f t="shared" si="861"/>
        <v/>
      </c>
      <c r="I317" s="618" t="str">
        <f t="shared" si="861"/>
        <v/>
      </c>
      <c r="J317" s="618" t="str">
        <f t="shared" si="861"/>
        <v/>
      </c>
      <c r="K317" s="618" t="str">
        <f t="shared" si="861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2">IF(T315="","",T315*T316)</f>
        <v/>
      </c>
      <c r="U317" s="618" t="str">
        <f t="shared" si="862"/>
        <v/>
      </c>
      <c r="V317" s="618" t="str">
        <f t="shared" si="862"/>
        <v/>
      </c>
      <c r="W317" s="618" t="str">
        <f t="shared" si="862"/>
        <v/>
      </c>
      <c r="X317" s="618" t="str">
        <f t="shared" si="862"/>
        <v/>
      </c>
      <c r="Y317" s="618" t="str">
        <f t="shared" si="862"/>
        <v/>
      </c>
      <c r="Z317" s="618" t="str">
        <f t="shared" si="862"/>
        <v/>
      </c>
      <c r="AA317" s="618" t="str">
        <f t="shared" si="862"/>
        <v/>
      </c>
      <c r="AB317" s="618" t="str">
        <f t="shared" si="862"/>
        <v/>
      </c>
      <c r="AC317" s="618" t="str">
        <f t="shared" si="862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3">IF(AL315="","",AL315*AL316)</f>
        <v/>
      </c>
      <c r="AM317" s="618" t="str">
        <f t="shared" si="863"/>
        <v/>
      </c>
      <c r="AN317" s="618" t="str">
        <f t="shared" si="863"/>
        <v/>
      </c>
      <c r="AO317" s="618" t="str">
        <f t="shared" si="863"/>
        <v/>
      </c>
      <c r="AP317" s="618" t="str">
        <f t="shared" si="863"/>
        <v/>
      </c>
      <c r="AQ317" s="618">
        <f t="shared" si="863"/>
        <v>0</v>
      </c>
      <c r="AR317" s="618">
        <f t="shared" si="863"/>
        <v>300</v>
      </c>
      <c r="AS317" s="618" t="str">
        <f t="shared" si="863"/>
        <v/>
      </c>
      <c r="AT317" s="618" t="str">
        <f t="shared" si="863"/>
        <v/>
      </c>
      <c r="AU317" s="618">
        <f t="shared" si="863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4">IF(BD315="","",BD315*BD316)</f>
        <v>0</v>
      </c>
      <c r="BE317" s="618" t="str">
        <f t="shared" si="864"/>
        <v/>
      </c>
      <c r="BF317" s="618" t="str">
        <f t="shared" si="864"/>
        <v/>
      </c>
      <c r="BG317" s="618">
        <f t="shared" si="864"/>
        <v>0</v>
      </c>
      <c r="BH317" s="618">
        <f t="shared" si="864"/>
        <v>1800</v>
      </c>
      <c r="BI317" s="618" t="str">
        <f t="shared" si="864"/>
        <v/>
      </c>
      <c r="BJ317" s="618" t="str">
        <f t="shared" si="864"/>
        <v/>
      </c>
      <c r="BK317" s="618" t="str">
        <f t="shared" si="864"/>
        <v/>
      </c>
      <c r="BL317" s="618" t="str">
        <f t="shared" si="864"/>
        <v/>
      </c>
      <c r="BM317" s="618" t="str">
        <f t="shared" si="864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8"/>
        <v/>
      </c>
      <c r="CA317" s="586" t="str">
        <f t="shared" si="829"/>
        <v/>
      </c>
      <c r="CB317" s="586">
        <f t="shared" si="830"/>
        <v>52.5</v>
      </c>
      <c r="CC317" s="676">
        <f t="shared" si="831"/>
        <v>0</v>
      </c>
      <c r="CD317" s="1316" t="str">
        <f t="shared" si="832"/>
        <v/>
      </c>
      <c r="CE317" s="1317" t="str">
        <f t="shared" si="832"/>
        <v/>
      </c>
      <c r="CF317" s="1317" t="str">
        <f t="shared" si="832"/>
        <v/>
      </c>
      <c r="CG317" s="1317">
        <f t="shared" si="832"/>
        <v>0</v>
      </c>
      <c r="CH317" s="1318">
        <f t="shared" si="832"/>
        <v>52.5</v>
      </c>
      <c r="CI317" s="1318">
        <f t="shared" si="832"/>
        <v>300</v>
      </c>
      <c r="CJ317" s="1317" t="str">
        <f t="shared" si="832"/>
        <v/>
      </c>
      <c r="CK317" s="1317" t="str">
        <f t="shared" si="832"/>
        <v/>
      </c>
      <c r="CL317" s="1317" t="str">
        <f t="shared" si="832"/>
        <v/>
      </c>
      <c r="CM317" s="1316" t="str">
        <f t="shared" si="832"/>
        <v/>
      </c>
      <c r="CN317" s="538" t="str">
        <f t="shared" si="833"/>
        <v/>
      </c>
      <c r="CO317" s="539" t="str">
        <f t="shared" si="834"/>
        <v/>
      </c>
      <c r="CP317" s="539" t="str">
        <f t="shared" si="835"/>
        <v/>
      </c>
      <c r="CQ317" s="539" t="str">
        <f t="shared" si="836"/>
        <v/>
      </c>
      <c r="CR317" s="539" t="str">
        <f t="shared" si="837"/>
        <v/>
      </c>
      <c r="CS317" s="539" t="str">
        <f t="shared" si="838"/>
        <v/>
      </c>
      <c r="CT317" s="540">
        <f t="shared" si="839"/>
        <v>0</v>
      </c>
      <c r="CU317" s="540">
        <f t="shared" si="840"/>
        <v>0</v>
      </c>
      <c r="CV317" s="540">
        <f t="shared" si="841"/>
        <v>1800</v>
      </c>
      <c r="CW317" s="539" t="str">
        <f t="shared" si="842"/>
        <v/>
      </c>
      <c r="CX317" s="539" t="str">
        <f t="shared" si="843"/>
        <v/>
      </c>
      <c r="CY317" s="539" t="str">
        <f t="shared" si="844"/>
        <v/>
      </c>
      <c r="CZ317" s="539" t="str">
        <f t="shared" si="845"/>
        <v/>
      </c>
      <c r="DA317" s="539" t="str">
        <f t="shared" si="846"/>
        <v/>
      </c>
      <c r="DB317" s="538" t="str">
        <f t="shared" si="847"/>
        <v/>
      </c>
      <c r="DC317" s="537" t="str">
        <f t="shared" si="848"/>
        <v/>
      </c>
      <c r="DD317" s="641">
        <f t="shared" si="849"/>
        <v>1</v>
      </c>
      <c r="DE317" s="95">
        <f t="shared" si="850"/>
        <v>0</v>
      </c>
      <c r="DF317" s="95">
        <f t="shared" si="851"/>
        <v>3</v>
      </c>
      <c r="DG317" s="95">
        <f t="shared" si="852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258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8"/>
        <v/>
      </c>
      <c r="CA318" s="586" t="str">
        <f t="shared" si="829"/>
        <v/>
      </c>
      <c r="CB318" s="586" t="str">
        <f t="shared" si="830"/>
        <v/>
      </c>
      <c r="CC318" s="676">
        <f t="shared" si="831"/>
        <v>29.4</v>
      </c>
      <c r="CD318" s="1316" t="str">
        <f t="shared" si="832"/>
        <v/>
      </c>
      <c r="CE318" s="1317" t="str">
        <f t="shared" si="832"/>
        <v/>
      </c>
      <c r="CF318" s="1317" t="str">
        <f t="shared" si="832"/>
        <v/>
      </c>
      <c r="CG318" s="1317" t="str">
        <f t="shared" si="832"/>
        <v/>
      </c>
      <c r="CH318" s="1318">
        <f t="shared" si="832"/>
        <v>50</v>
      </c>
      <c r="CI318" s="1318" t="str">
        <f t="shared" si="832"/>
        <v/>
      </c>
      <c r="CJ318" s="1317" t="str">
        <f t="shared" si="832"/>
        <v/>
      </c>
      <c r="CK318" s="1317" t="str">
        <f t="shared" si="832"/>
        <v/>
      </c>
      <c r="CL318" s="1317" t="str">
        <f t="shared" si="832"/>
        <v/>
      </c>
      <c r="CM318" s="1316" t="str">
        <f t="shared" si="832"/>
        <v/>
      </c>
      <c r="CN318" s="538" t="str">
        <f t="shared" si="833"/>
        <v/>
      </c>
      <c r="CO318" s="539" t="str">
        <f t="shared" si="834"/>
        <v/>
      </c>
      <c r="CP318" s="539" t="str">
        <f t="shared" si="835"/>
        <v/>
      </c>
      <c r="CQ318" s="539" t="str">
        <f t="shared" si="836"/>
        <v/>
      </c>
      <c r="CR318" s="539">
        <f t="shared" si="837"/>
        <v>4</v>
      </c>
      <c r="CS318" s="539">
        <f t="shared" si="838"/>
        <v>12</v>
      </c>
      <c r="CT318" s="540">
        <f t="shared" si="839"/>
        <v>15</v>
      </c>
      <c r="CU318" s="540">
        <f t="shared" si="840"/>
        <v>30</v>
      </c>
      <c r="CV318" s="540">
        <f t="shared" si="841"/>
        <v>45</v>
      </c>
      <c r="CW318" s="539">
        <f t="shared" si="842"/>
        <v>45</v>
      </c>
      <c r="CX318" s="539">
        <f t="shared" si="843"/>
        <v>112</v>
      </c>
      <c r="CY318" s="539" t="str">
        <f t="shared" si="844"/>
        <v/>
      </c>
      <c r="CZ318" s="539" t="str">
        <f t="shared" si="845"/>
        <v/>
      </c>
      <c r="DA318" s="539" t="str">
        <f t="shared" si="846"/>
        <v/>
      </c>
      <c r="DB318" s="538" t="str">
        <f t="shared" si="847"/>
        <v/>
      </c>
      <c r="DC318" s="537" t="str">
        <f t="shared" si="848"/>
        <v/>
      </c>
      <c r="DD318" s="641">
        <f t="shared" si="849"/>
        <v>0</v>
      </c>
      <c r="DE318" s="95">
        <f t="shared" si="850"/>
        <v>0</v>
      </c>
      <c r="DF318" s="95">
        <f t="shared" si="851"/>
        <v>1</v>
      </c>
      <c r="DG318" s="95">
        <f t="shared" si="852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227</v>
      </c>
      <c r="B319" s="621">
        <f t="shared" ref="B319:K319" si="865">IF(B313="","",(B313-B315-B318)*B314/B$46/365/$G$1)</f>
        <v>3.1479209215442088E-3</v>
      </c>
      <c r="C319" s="621" t="str">
        <f t="shared" si="865"/>
        <v/>
      </c>
      <c r="D319" s="621" t="str">
        <f t="shared" si="865"/>
        <v/>
      </c>
      <c r="E319" s="621" t="str">
        <f t="shared" si="865"/>
        <v/>
      </c>
      <c r="F319" s="621" t="str">
        <f t="shared" si="865"/>
        <v/>
      </c>
      <c r="G319" s="621" t="str">
        <f t="shared" si="865"/>
        <v/>
      </c>
      <c r="H319" s="621" t="str">
        <f t="shared" si="865"/>
        <v/>
      </c>
      <c r="I319" s="621" t="str">
        <f t="shared" si="865"/>
        <v/>
      </c>
      <c r="J319" s="621" t="str">
        <f t="shared" si="865"/>
        <v/>
      </c>
      <c r="K319" s="621" t="str">
        <f t="shared" si="865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6">IF(T313="","",(T313-T315-T318)*T314/T$46/365/$G$1)</f>
        <v/>
      </c>
      <c r="U319" s="621" t="str">
        <f t="shared" si="866"/>
        <v/>
      </c>
      <c r="V319" s="621" t="str">
        <f t="shared" si="866"/>
        <v/>
      </c>
      <c r="W319" s="621" t="str">
        <f t="shared" si="866"/>
        <v/>
      </c>
      <c r="X319" s="621" t="str">
        <f t="shared" si="866"/>
        <v/>
      </c>
      <c r="Y319" s="621" t="str">
        <f t="shared" si="866"/>
        <v/>
      </c>
      <c r="Z319" s="621" t="str">
        <f t="shared" si="866"/>
        <v/>
      </c>
      <c r="AA319" s="621" t="str">
        <f t="shared" si="866"/>
        <v/>
      </c>
      <c r="AB319" s="621" t="str">
        <f t="shared" si="866"/>
        <v/>
      </c>
      <c r="AC319" s="621" t="str">
        <f t="shared" si="866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7">IF(AL313="","",(AL313-AL315-AL318)*AL314/AL$46/365/$G$1)</f>
        <v/>
      </c>
      <c r="AM319" s="621" t="str">
        <f t="shared" si="867"/>
        <v/>
      </c>
      <c r="AN319" s="621" t="str">
        <f t="shared" si="867"/>
        <v/>
      </c>
      <c r="AO319" s="621" t="str">
        <f t="shared" si="867"/>
        <v/>
      </c>
      <c r="AP319" s="621" t="str">
        <f t="shared" si="867"/>
        <v/>
      </c>
      <c r="AQ319" s="621">
        <f t="shared" si="867"/>
        <v>7.794851805728518E-3</v>
      </c>
      <c r="AR319" s="621">
        <f t="shared" si="867"/>
        <v>4.2828856075431418E-3</v>
      </c>
      <c r="AS319" s="621" t="str">
        <f t="shared" si="867"/>
        <v/>
      </c>
      <c r="AT319" s="621" t="str">
        <f t="shared" si="867"/>
        <v/>
      </c>
      <c r="AU319" s="621">
        <f t="shared" si="867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8">IF(BD313="","",(BD313-BD315-BD318)*BD314/BD$46/365/$G$1)</f>
        <v>1.3990759651307594E-3</v>
      </c>
      <c r="BE319" s="621" t="str">
        <f t="shared" si="868"/>
        <v/>
      </c>
      <c r="BF319" s="621" t="str">
        <f t="shared" si="868"/>
        <v/>
      </c>
      <c r="BG319" s="621">
        <f t="shared" si="868"/>
        <v>2.5697313645258847E-3</v>
      </c>
      <c r="BH319" s="621">
        <f t="shared" si="868"/>
        <v>2.0441044945092267E-3</v>
      </c>
      <c r="BI319" s="621" t="str">
        <f t="shared" si="868"/>
        <v/>
      </c>
      <c r="BJ319" s="621">
        <f t="shared" si="868"/>
        <v>1.6863862079701121E-3</v>
      </c>
      <c r="BK319" s="621">
        <f t="shared" si="868"/>
        <v>7.7091940935776558E-4</v>
      </c>
      <c r="BL319" s="621">
        <f t="shared" si="868"/>
        <v>2.0441044945092267E-3</v>
      </c>
      <c r="BM319" s="621">
        <f t="shared" si="868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8"/>
        <v/>
      </c>
      <c r="CA319" s="611" t="str">
        <f t="shared" si="829"/>
        <v/>
      </c>
      <c r="CB319" s="611">
        <f t="shared" si="830"/>
        <v>4.2828856075431401E-3</v>
      </c>
      <c r="CC319" s="679">
        <f t="shared" si="831"/>
        <v>1.7602335385971438E-3</v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0" t="str">
        <f t="shared" si="869"/>
        <v/>
      </c>
      <c r="CG319" s="1320">
        <f t="shared" si="869"/>
        <v>2.2485149439601488E-3</v>
      </c>
      <c r="CH319" s="1321">
        <f t="shared" si="869"/>
        <v>4.2828856075431418E-3</v>
      </c>
      <c r="CI319" s="1321">
        <f t="shared" si="869"/>
        <v>7.794851805728518E-3</v>
      </c>
      <c r="CJ319" s="1320" t="str">
        <f t="shared" si="869"/>
        <v/>
      </c>
      <c r="CK319" s="1320" t="str">
        <f t="shared" si="869"/>
        <v/>
      </c>
      <c r="CL319" s="1320" t="str">
        <f t="shared" si="869"/>
        <v/>
      </c>
      <c r="CM319" s="1319" t="str">
        <f t="shared" si="869"/>
        <v/>
      </c>
      <c r="CN319" s="526" t="str">
        <f t="shared" si="833"/>
        <v/>
      </c>
      <c r="CO319" s="527" t="str">
        <f t="shared" si="834"/>
        <v/>
      </c>
      <c r="CP319" s="527" t="str">
        <f t="shared" si="835"/>
        <v/>
      </c>
      <c r="CQ319" s="527" t="str">
        <f t="shared" si="836"/>
        <v/>
      </c>
      <c r="CR319" s="527">
        <f t="shared" si="837"/>
        <v>7.7091940935776558E-4</v>
      </c>
      <c r="CS319" s="527">
        <f t="shared" si="838"/>
        <v>1.3990759651307594E-3</v>
      </c>
      <c r="CT319" s="528">
        <f t="shared" si="839"/>
        <v>1.6274965308663938E-3</v>
      </c>
      <c r="CU319" s="528">
        <f t="shared" si="840"/>
        <v>1.6863862079701121E-3</v>
      </c>
      <c r="CV319" s="528">
        <f t="shared" si="841"/>
        <v>2.0441044945092267E-3</v>
      </c>
      <c r="CW319" s="527">
        <f t="shared" si="842"/>
        <v>2.0441044945092267E-3</v>
      </c>
      <c r="CX319" s="527">
        <f t="shared" si="843"/>
        <v>2.5697313645258847E-3</v>
      </c>
      <c r="CY319" s="527" t="str">
        <f t="shared" si="844"/>
        <v/>
      </c>
      <c r="CZ319" s="527" t="str">
        <f t="shared" si="845"/>
        <v/>
      </c>
      <c r="DA319" s="527" t="str">
        <f t="shared" si="846"/>
        <v/>
      </c>
      <c r="DB319" s="526" t="str">
        <f t="shared" si="847"/>
        <v/>
      </c>
      <c r="DC319" s="525" t="str">
        <f t="shared" si="848"/>
        <v/>
      </c>
      <c r="DD319" s="641">
        <f t="shared" si="849"/>
        <v>1</v>
      </c>
      <c r="DE319" s="95">
        <f t="shared" si="850"/>
        <v>0</v>
      </c>
      <c r="DF319" s="95">
        <f t="shared" si="851"/>
        <v>3</v>
      </c>
      <c r="DG319" s="95">
        <f t="shared" si="852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945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8"/>
        <v/>
      </c>
      <c r="CA320" s="586">
        <f t="shared" si="829"/>
        <v>70</v>
      </c>
      <c r="CB320" s="586" t="str">
        <f t="shared" si="830"/>
        <v/>
      </c>
      <c r="CC320" s="676" t="str">
        <f t="shared" si="831"/>
        <v/>
      </c>
      <c r="CD320" s="131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7" t="str">
        <f t="shared" si="869"/>
        <v/>
      </c>
      <c r="CF320" s="1317" t="str">
        <f t="shared" si="869"/>
        <v/>
      </c>
      <c r="CG320" s="1317" t="str">
        <f t="shared" si="869"/>
        <v/>
      </c>
      <c r="CH320" s="1318">
        <f t="shared" si="869"/>
        <v>60</v>
      </c>
      <c r="CI320" s="1318" t="str">
        <f t="shared" si="869"/>
        <v/>
      </c>
      <c r="CJ320" s="1317" t="str">
        <f t="shared" si="869"/>
        <v/>
      </c>
      <c r="CK320" s="1317" t="str">
        <f t="shared" si="869"/>
        <v/>
      </c>
      <c r="CL320" s="1317" t="str">
        <f t="shared" si="869"/>
        <v/>
      </c>
      <c r="CM320" s="1316" t="str">
        <f t="shared" si="869"/>
        <v/>
      </c>
      <c r="CN320" s="538" t="str">
        <f t="shared" si="833"/>
        <v/>
      </c>
      <c r="CO320" s="539" t="str">
        <f t="shared" si="834"/>
        <v/>
      </c>
      <c r="CP320" s="539" t="str">
        <f t="shared" si="835"/>
        <v/>
      </c>
      <c r="CQ320" s="539" t="str">
        <f t="shared" si="836"/>
        <v/>
      </c>
      <c r="CR320" s="539" t="str">
        <f t="shared" si="837"/>
        <v/>
      </c>
      <c r="CS320" s="539" t="str">
        <f t="shared" si="838"/>
        <v/>
      </c>
      <c r="CT320" s="540" t="str">
        <f t="shared" si="839"/>
        <v/>
      </c>
      <c r="CU320" s="540">
        <f t="shared" si="840"/>
        <v>40</v>
      </c>
      <c r="CV320" s="540" t="str">
        <f t="shared" si="841"/>
        <v/>
      </c>
      <c r="CW320" s="539" t="str">
        <f t="shared" si="842"/>
        <v/>
      </c>
      <c r="CX320" s="539" t="str">
        <f t="shared" si="843"/>
        <v/>
      </c>
      <c r="CY320" s="539" t="str">
        <f t="shared" si="844"/>
        <v/>
      </c>
      <c r="CZ320" s="539" t="str">
        <f t="shared" si="845"/>
        <v/>
      </c>
      <c r="DA320" s="539" t="str">
        <f t="shared" si="846"/>
        <v/>
      </c>
      <c r="DB320" s="538" t="str">
        <f t="shared" si="847"/>
        <v/>
      </c>
      <c r="DC320" s="537" t="str">
        <f t="shared" si="848"/>
        <v/>
      </c>
      <c r="DD320" s="641">
        <f t="shared" si="849"/>
        <v>1</v>
      </c>
      <c r="DE320" s="95">
        <f t="shared" si="850"/>
        <v>4</v>
      </c>
      <c r="DF320" s="95">
        <f t="shared" si="851"/>
        <v>1</v>
      </c>
      <c r="DG320" s="95">
        <f t="shared" si="852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265</v>
      </c>
      <c r="B321" s="150" t="s">
        <v>267</v>
      </c>
      <c r="C321" s="150" t="s">
        <v>267</v>
      </c>
      <c r="D321" s="150" t="s">
        <v>267</v>
      </c>
      <c r="E321" s="150" t="s">
        <v>267</v>
      </c>
      <c r="F321" s="150" t="s">
        <v>267</v>
      </c>
      <c r="G321" s="150" t="s">
        <v>267</v>
      </c>
      <c r="H321" s="150" t="s">
        <v>267</v>
      </c>
      <c r="I321" s="150" t="s">
        <v>267</v>
      </c>
      <c r="J321" s="150" t="s">
        <v>267</v>
      </c>
      <c r="K321" s="150" t="s">
        <v>267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267</v>
      </c>
      <c r="U321" s="150" t="s">
        <v>267</v>
      </c>
      <c r="V321" s="150" t="s">
        <v>267</v>
      </c>
      <c r="W321" s="150" t="s">
        <v>267</v>
      </c>
      <c r="X321" s="150" t="s">
        <v>267</v>
      </c>
      <c r="Y321" s="150" t="s">
        <v>267</v>
      </c>
      <c r="Z321" s="150" t="s">
        <v>267</v>
      </c>
      <c r="AA321" s="150" t="s">
        <v>267</v>
      </c>
      <c r="AB321" s="150" t="s">
        <v>267</v>
      </c>
      <c r="AC321" s="150" t="s">
        <v>267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267</v>
      </c>
      <c r="AM321" s="150" t="s">
        <v>267</v>
      </c>
      <c r="AN321" s="150" t="s">
        <v>267</v>
      </c>
      <c r="AO321" s="150" t="s">
        <v>267</v>
      </c>
      <c r="AP321" s="150" t="s">
        <v>267</v>
      </c>
      <c r="AQ321" s="150" t="s">
        <v>267</v>
      </c>
      <c r="AR321" s="150" t="s">
        <v>267</v>
      </c>
      <c r="AS321" s="150" t="s">
        <v>267</v>
      </c>
      <c r="AT321" s="150" t="s">
        <v>267</v>
      </c>
      <c r="AU321" s="150" t="s">
        <v>267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267</v>
      </c>
      <c r="BE321" s="150" t="s">
        <v>267</v>
      </c>
      <c r="BF321" s="150" t="s">
        <v>267</v>
      </c>
      <c r="BG321" s="150" t="s">
        <v>267</v>
      </c>
      <c r="BH321" s="150" t="s">
        <v>267</v>
      </c>
      <c r="BI321" s="150" t="s">
        <v>267</v>
      </c>
      <c r="BJ321" s="150" t="s">
        <v>267</v>
      </c>
      <c r="BK321" s="150" t="s">
        <v>267</v>
      </c>
      <c r="BL321" s="150" t="s">
        <v>267</v>
      </c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267</v>
      </c>
      <c r="BW321" s="150" t="s">
        <v>267</v>
      </c>
      <c r="BX321" s="150" t="s">
        <v>267</v>
      </c>
      <c r="BY321" s="150" t="s">
        <v>267</v>
      </c>
      <c r="BZ321" s="578"/>
      <c r="CA321" s="578"/>
      <c r="CB321" s="578"/>
      <c r="CC321" s="675"/>
      <c r="CD321" s="1338"/>
      <c r="CE321" s="1338"/>
      <c r="CF321" s="1338"/>
      <c r="CG321" s="1338"/>
      <c r="CH321" s="1338"/>
      <c r="CI321" s="1338"/>
      <c r="CJ321" s="1338"/>
      <c r="CK321" s="1338"/>
      <c r="CL321" s="1338"/>
      <c r="CM321" s="1338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266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70">IF(DD322&lt;3,"",(SUM(B322:R322)-MIN(B322:R322)-MAX(B322:R322))/(DD322-2))</f>
        <v/>
      </c>
      <c r="CA322" s="586">
        <f t="shared" ref="CA322:CA330" si="871">IF(DE322&lt;3,"",(SUM(T322:AJ322)-MIN(T322:AJ322)-MAX(T322:AJ322))/(DE322-2))</f>
        <v>3</v>
      </c>
      <c r="CB322" s="586" t="str">
        <f t="shared" ref="CB322:CB330" si="872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16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17" t="str">
        <f t="shared" si="873"/>
        <v/>
      </c>
      <c r="CF322" s="1317" t="str">
        <f t="shared" si="873"/>
        <v/>
      </c>
      <c r="CG322" s="1317" t="str">
        <f t="shared" si="873"/>
        <v/>
      </c>
      <c r="CH322" s="1318">
        <f t="shared" si="873"/>
        <v>3</v>
      </c>
      <c r="CI322" s="1318" t="str">
        <f t="shared" si="873"/>
        <v/>
      </c>
      <c r="CJ322" s="1317" t="str">
        <f t="shared" si="873"/>
        <v/>
      </c>
      <c r="CK322" s="1317" t="str">
        <f t="shared" si="873"/>
        <v/>
      </c>
      <c r="CL322" s="1317" t="str">
        <f t="shared" si="873"/>
        <v/>
      </c>
      <c r="CM322" s="1316" t="str">
        <f t="shared" si="873"/>
        <v/>
      </c>
      <c r="CN322" s="538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4"/>
        <v/>
      </c>
      <c r="CP322" s="539" t="str">
        <f t="shared" si="874"/>
        <v/>
      </c>
      <c r="CQ322" s="539" t="str">
        <f t="shared" si="874"/>
        <v/>
      </c>
      <c r="CR322" s="539" t="str">
        <f t="shared" si="874"/>
        <v/>
      </c>
      <c r="CS322" s="539" t="str">
        <f t="shared" si="874"/>
        <v/>
      </c>
      <c r="CT322" s="540" t="str">
        <f t="shared" si="874"/>
        <v/>
      </c>
      <c r="CU322" s="540">
        <f t="shared" si="874"/>
        <v>3</v>
      </c>
      <c r="CV322" s="540" t="str">
        <f t="shared" si="874"/>
        <v/>
      </c>
      <c r="CW322" s="539" t="str">
        <f t="shared" si="874"/>
        <v/>
      </c>
      <c r="CX322" s="539" t="str">
        <f t="shared" si="874"/>
        <v/>
      </c>
      <c r="CY322" s="539" t="str">
        <f t="shared" si="874"/>
        <v/>
      </c>
      <c r="CZ322" s="539" t="str">
        <f t="shared" si="874"/>
        <v/>
      </c>
      <c r="DA322" s="539" t="str">
        <f t="shared" si="874"/>
        <v/>
      </c>
      <c r="DB322" s="538" t="str">
        <f t="shared" si="874"/>
        <v/>
      </c>
      <c r="DC322" s="537" t="str">
        <f t="shared" si="874"/>
        <v/>
      </c>
      <c r="DD322" s="641">
        <f t="shared" ref="DD322:DD330" si="875">COUNT(B322:R322)</f>
        <v>1</v>
      </c>
      <c r="DE322" s="95">
        <f t="shared" ref="DE322:DE330" si="876">COUNT(T322:AJ322)</f>
        <v>10</v>
      </c>
      <c r="DF322" s="95">
        <f t="shared" ref="DF322:DF330" si="877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267</v>
      </c>
      <c r="B323" s="618">
        <f t="shared" ref="B323:K323" si="878">IF(B320="","",B320*B322)</f>
        <v>189</v>
      </c>
      <c r="C323" s="618" t="str">
        <f t="shared" si="878"/>
        <v/>
      </c>
      <c r="D323" s="618" t="str">
        <f t="shared" si="878"/>
        <v/>
      </c>
      <c r="E323" s="618" t="str">
        <f t="shared" si="878"/>
        <v/>
      </c>
      <c r="F323" s="618" t="str">
        <f t="shared" si="878"/>
        <v/>
      </c>
      <c r="G323" s="618" t="str">
        <f t="shared" si="878"/>
        <v/>
      </c>
      <c r="H323" s="618" t="str">
        <f t="shared" si="878"/>
        <v/>
      </c>
      <c r="I323" s="618" t="str">
        <f t="shared" si="878"/>
        <v/>
      </c>
      <c r="J323" s="618" t="str">
        <f t="shared" si="878"/>
        <v/>
      </c>
      <c r="K323" s="618" t="str">
        <f t="shared" si="878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9">IF(T320="","",T320*T322)</f>
        <v/>
      </c>
      <c r="U323" s="618" t="str">
        <f t="shared" si="879"/>
        <v/>
      </c>
      <c r="V323" s="618" t="str">
        <f t="shared" si="879"/>
        <v/>
      </c>
      <c r="W323" s="618" t="str">
        <f t="shared" si="879"/>
        <v/>
      </c>
      <c r="X323" s="618">
        <f t="shared" si="879"/>
        <v>30</v>
      </c>
      <c r="Y323" s="618">
        <f t="shared" si="879"/>
        <v>240</v>
      </c>
      <c r="Z323" s="618">
        <f t="shared" si="879"/>
        <v>300</v>
      </c>
      <c r="AA323" s="618" t="str">
        <f t="shared" si="879"/>
        <v/>
      </c>
      <c r="AB323" s="618" t="str">
        <f t="shared" si="879"/>
        <v/>
      </c>
      <c r="AC323" s="618">
        <f t="shared" si="879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80">IF(AL320="","",AL320*AL322)</f>
        <v/>
      </c>
      <c r="AM323" s="618" t="str">
        <f t="shared" si="880"/>
        <v/>
      </c>
      <c r="AN323" s="618" t="str">
        <f t="shared" si="880"/>
        <v/>
      </c>
      <c r="AO323" s="618" t="str">
        <f t="shared" si="880"/>
        <v/>
      </c>
      <c r="AP323" s="618" t="str">
        <f t="shared" si="880"/>
        <v/>
      </c>
      <c r="AQ323" s="618" t="str">
        <f t="shared" si="880"/>
        <v/>
      </c>
      <c r="AR323" s="618" t="str">
        <f t="shared" si="880"/>
        <v/>
      </c>
      <c r="AS323" s="618" t="str">
        <f t="shared" si="880"/>
        <v/>
      </c>
      <c r="AT323" s="618" t="str">
        <f t="shared" si="880"/>
        <v/>
      </c>
      <c r="AU323" s="618">
        <f t="shared" si="880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81">IF(BE320="","",BE320*BE322)</f>
        <v/>
      </c>
      <c r="BF323" s="618" t="str">
        <f t="shared" si="881"/>
        <v/>
      </c>
      <c r="BG323" s="618" t="str">
        <f t="shared" si="881"/>
        <v/>
      </c>
      <c r="BH323" s="618" t="str">
        <f t="shared" si="881"/>
        <v/>
      </c>
      <c r="BI323" s="618">
        <f t="shared" si="881"/>
        <v>120</v>
      </c>
      <c r="BJ323" s="618" t="str">
        <f t="shared" si="881"/>
        <v/>
      </c>
      <c r="BK323" s="618" t="str">
        <f t="shared" si="881"/>
        <v/>
      </c>
      <c r="BL323" s="618" t="str">
        <f t="shared" si="881"/>
        <v/>
      </c>
      <c r="BM323" s="618" t="str">
        <f t="shared" si="881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70"/>
        <v/>
      </c>
      <c r="CA323" s="586">
        <f t="shared" si="871"/>
        <v>210</v>
      </c>
      <c r="CB323" s="586" t="str">
        <f t="shared" si="872"/>
        <v/>
      </c>
      <c r="CC323" s="676" t="str">
        <f t="shared" ref="CC323:CC330" si="882">IF(DG323&lt;3,"",(SUM(BD323:BT323)-MIN(BD323:BT323)-MAX(BD323:BT323))/(DG323-2))</f>
        <v/>
      </c>
      <c r="CD323" s="1316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17" t="str">
        <f t="shared" si="883"/>
        <v/>
      </c>
      <c r="CF323" s="1317" t="str">
        <f t="shared" si="883"/>
        <v/>
      </c>
      <c r="CG323" s="1317" t="str">
        <f t="shared" si="883"/>
        <v/>
      </c>
      <c r="CH323" s="1318">
        <f t="shared" si="883"/>
        <v>180</v>
      </c>
      <c r="CI323" s="1318" t="str">
        <f t="shared" si="883"/>
        <v/>
      </c>
      <c r="CJ323" s="1317" t="str">
        <f t="shared" si="883"/>
        <v/>
      </c>
      <c r="CK323" s="1317" t="str">
        <f t="shared" si="883"/>
        <v/>
      </c>
      <c r="CL323" s="1317" t="str">
        <f t="shared" si="883"/>
        <v/>
      </c>
      <c r="CM323" s="1316" t="str">
        <f t="shared" si="883"/>
        <v/>
      </c>
      <c r="CN323" s="538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5"/>
        <v>1</v>
      </c>
      <c r="DE323" s="95">
        <f t="shared" si="876"/>
        <v>4</v>
      </c>
      <c r="DF323" s="95">
        <f t="shared" si="877"/>
        <v>1</v>
      </c>
      <c r="DG323" s="95">
        <f t="shared" ref="DG323:DG330" si="900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260</v>
      </c>
      <c r="B324" s="690">
        <f>750*$K$1</f>
        <v>3140.1</v>
      </c>
      <c r="C324" s="690">
        <f t="shared" ref="C324:K324" si="901">750*$K$1</f>
        <v>3140.1</v>
      </c>
      <c r="D324" s="690">
        <f t="shared" si="901"/>
        <v>3140.1</v>
      </c>
      <c r="E324" s="690">
        <f t="shared" si="901"/>
        <v>3140.1</v>
      </c>
      <c r="F324" s="690">
        <f t="shared" si="901"/>
        <v>3140.1</v>
      </c>
      <c r="G324" s="690">
        <f t="shared" si="901"/>
        <v>3140.1</v>
      </c>
      <c r="H324" s="690">
        <f t="shared" si="901"/>
        <v>3140.1</v>
      </c>
      <c r="I324" s="690">
        <f t="shared" si="901"/>
        <v>3140.1</v>
      </c>
      <c r="J324" s="690">
        <f t="shared" si="901"/>
        <v>3140.1</v>
      </c>
      <c r="K324" s="690">
        <f t="shared" si="901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2">750*$K$1</f>
        <v>3140.1</v>
      </c>
      <c r="V324" s="690">
        <f t="shared" si="902"/>
        <v>3140.1</v>
      </c>
      <c r="W324" s="690">
        <f t="shared" si="902"/>
        <v>3140.1</v>
      </c>
      <c r="X324" s="690">
        <f t="shared" si="902"/>
        <v>3140.1</v>
      </c>
      <c r="Y324" s="690">
        <f t="shared" si="902"/>
        <v>3140.1</v>
      </c>
      <c r="Z324" s="690">
        <f t="shared" si="902"/>
        <v>3140.1</v>
      </c>
      <c r="AA324" s="690">
        <f t="shared" si="902"/>
        <v>3140.1</v>
      </c>
      <c r="AB324" s="690">
        <f t="shared" si="902"/>
        <v>3140.1</v>
      </c>
      <c r="AC324" s="690">
        <f t="shared" si="902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3">750*$K$1</f>
        <v>3140.1</v>
      </c>
      <c r="AN324" s="690">
        <f t="shared" si="903"/>
        <v>3140.1</v>
      </c>
      <c r="AO324" s="690">
        <f t="shared" si="903"/>
        <v>3140.1</v>
      </c>
      <c r="AP324" s="690">
        <f t="shared" si="903"/>
        <v>3140.1</v>
      </c>
      <c r="AQ324" s="690">
        <f t="shared" si="903"/>
        <v>3140.1</v>
      </c>
      <c r="AR324" s="690">
        <f t="shared" si="903"/>
        <v>3140.1</v>
      </c>
      <c r="AS324" s="690">
        <f t="shared" si="903"/>
        <v>3140.1</v>
      </c>
      <c r="AT324" s="690">
        <f t="shared" si="903"/>
        <v>3140.1</v>
      </c>
      <c r="AU324" s="690">
        <f t="shared" si="903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4">750*$K$1</f>
        <v>3140.1</v>
      </c>
      <c r="BF324" s="690">
        <f t="shared" si="904"/>
        <v>3140.1</v>
      </c>
      <c r="BG324" s="690">
        <f t="shared" si="904"/>
        <v>3140.1</v>
      </c>
      <c r="BH324" s="690">
        <f t="shared" si="904"/>
        <v>3140.1</v>
      </c>
      <c r="BI324" s="690">
        <f t="shared" si="904"/>
        <v>3140.1</v>
      </c>
      <c r="BJ324" s="690">
        <f t="shared" si="904"/>
        <v>3140.1</v>
      </c>
      <c r="BK324" s="690">
        <f t="shared" si="904"/>
        <v>3140.1</v>
      </c>
      <c r="BL324" s="690">
        <f t="shared" si="904"/>
        <v>3140.1</v>
      </c>
      <c r="BM324" s="690">
        <f t="shared" si="904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4"/>
        <v>3140.1</v>
      </c>
      <c r="BW324" s="690">
        <f t="shared" si="904"/>
        <v>3140.1</v>
      </c>
      <c r="BX324" s="690">
        <f t="shared" si="904"/>
        <v>3140.1</v>
      </c>
      <c r="BY324" s="690">
        <f t="shared" si="904"/>
        <v>3140.1</v>
      </c>
      <c r="BZ324" s="586">
        <f t="shared" si="870"/>
        <v>3140.0999999999995</v>
      </c>
      <c r="CA324" s="586">
        <f t="shared" si="871"/>
        <v>3140.0999999999995</v>
      </c>
      <c r="CB324" s="586">
        <f t="shared" si="872"/>
        <v>3140.0999999999995</v>
      </c>
      <c r="CC324" s="676">
        <f t="shared" si="882"/>
        <v>3140.0999999999995</v>
      </c>
      <c r="CD324" s="1316">
        <f t="shared" si="883"/>
        <v>3140.1</v>
      </c>
      <c r="CE324" s="1317">
        <f t="shared" si="883"/>
        <v>3140.1</v>
      </c>
      <c r="CF324" s="1317">
        <f t="shared" si="883"/>
        <v>3140.1</v>
      </c>
      <c r="CG324" s="1317">
        <f t="shared" si="883"/>
        <v>3140.1</v>
      </c>
      <c r="CH324" s="1318">
        <f t="shared" si="883"/>
        <v>3140.1</v>
      </c>
      <c r="CI324" s="1318">
        <f t="shared" si="883"/>
        <v>3140.1</v>
      </c>
      <c r="CJ324" s="1317">
        <f t="shared" si="883"/>
        <v>3140.1</v>
      </c>
      <c r="CK324" s="1317">
        <f t="shared" si="883"/>
        <v>3140.1</v>
      </c>
      <c r="CL324" s="1317">
        <f t="shared" si="883"/>
        <v>3140.1</v>
      </c>
      <c r="CM324" s="1316">
        <f t="shared" si="883"/>
        <v>3140.1</v>
      </c>
      <c r="CN324" s="538" t="str">
        <f t="shared" si="884"/>
        <v/>
      </c>
      <c r="CO324" s="539" t="str">
        <f t="shared" si="885"/>
        <v/>
      </c>
      <c r="CP324" s="539" t="str">
        <f t="shared" si="886"/>
        <v/>
      </c>
      <c r="CQ324" s="539">
        <f t="shared" si="887"/>
        <v>3140.1</v>
      </c>
      <c r="CR324" s="539">
        <f t="shared" si="888"/>
        <v>3140.1</v>
      </c>
      <c r="CS324" s="539">
        <f t="shared" si="889"/>
        <v>3140.1</v>
      </c>
      <c r="CT324" s="540">
        <f t="shared" si="890"/>
        <v>3140.1</v>
      </c>
      <c r="CU324" s="540">
        <f t="shared" si="891"/>
        <v>3140.1</v>
      </c>
      <c r="CV324" s="540">
        <f t="shared" si="892"/>
        <v>3140.1</v>
      </c>
      <c r="CW324" s="539">
        <f t="shared" si="893"/>
        <v>3140.1</v>
      </c>
      <c r="CX324" s="539">
        <f t="shared" si="894"/>
        <v>3140.1</v>
      </c>
      <c r="CY324" s="539">
        <f t="shared" si="895"/>
        <v>3140.1</v>
      </c>
      <c r="CZ324" s="539">
        <f t="shared" si="896"/>
        <v>3140.1</v>
      </c>
      <c r="DA324" s="539" t="str">
        <f t="shared" si="897"/>
        <v/>
      </c>
      <c r="DB324" s="538" t="str">
        <f t="shared" si="898"/>
        <v/>
      </c>
      <c r="DC324" s="537" t="str">
        <f t="shared" si="899"/>
        <v/>
      </c>
      <c r="DD324" s="641">
        <f t="shared" si="875"/>
        <v>10</v>
      </c>
      <c r="DE324" s="95">
        <f t="shared" si="876"/>
        <v>10</v>
      </c>
      <c r="DF324" s="95">
        <f t="shared" si="877"/>
        <v>10</v>
      </c>
      <c r="DG324" s="95">
        <f t="shared" si="900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257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70"/>
        <v/>
      </c>
      <c r="CA325" s="586">
        <f t="shared" si="871"/>
        <v>0</v>
      </c>
      <c r="CB325" s="586" t="str">
        <f t="shared" si="872"/>
        <v/>
      </c>
      <c r="CC325" s="676" t="str">
        <f t="shared" si="882"/>
        <v/>
      </c>
      <c r="CD325" s="1316" t="str">
        <f t="shared" si="883"/>
        <v/>
      </c>
      <c r="CE325" s="1317" t="str">
        <f t="shared" si="883"/>
        <v/>
      </c>
      <c r="CF325" s="1317" t="str">
        <f t="shared" si="883"/>
        <v/>
      </c>
      <c r="CG325" s="1317" t="str">
        <f t="shared" si="883"/>
        <v/>
      </c>
      <c r="CH325" s="1318" t="str">
        <f t="shared" si="883"/>
        <v/>
      </c>
      <c r="CI325" s="1318" t="str">
        <f t="shared" si="883"/>
        <v/>
      </c>
      <c r="CJ325" s="1317" t="str">
        <f t="shared" si="883"/>
        <v/>
      </c>
      <c r="CK325" s="1317" t="str">
        <f t="shared" si="883"/>
        <v/>
      </c>
      <c r="CL325" s="1317" t="str">
        <f t="shared" si="883"/>
        <v/>
      </c>
      <c r="CM325" s="1316" t="str">
        <f t="shared" si="883"/>
        <v/>
      </c>
      <c r="CN325" s="538" t="str">
        <f t="shared" si="884"/>
        <v/>
      </c>
      <c r="CO325" s="539" t="str">
        <f t="shared" si="885"/>
        <v/>
      </c>
      <c r="CP325" s="539" t="str">
        <f t="shared" si="886"/>
        <v/>
      </c>
      <c r="CQ325" s="539" t="str">
        <f t="shared" si="887"/>
        <v/>
      </c>
      <c r="CR325" s="539" t="str">
        <f t="shared" si="888"/>
        <v/>
      </c>
      <c r="CS325" s="539" t="str">
        <f t="shared" si="889"/>
        <v/>
      </c>
      <c r="CT325" s="540" t="str">
        <f t="shared" si="890"/>
        <v/>
      </c>
      <c r="CU325" s="540" t="str">
        <f t="shared" si="891"/>
        <v/>
      </c>
      <c r="CV325" s="540" t="str">
        <f t="shared" si="892"/>
        <v/>
      </c>
      <c r="CW325" s="539" t="str">
        <f t="shared" si="893"/>
        <v/>
      </c>
      <c r="CX325" s="539" t="str">
        <f t="shared" si="894"/>
        <v/>
      </c>
      <c r="CY325" s="539" t="str">
        <f t="shared" si="895"/>
        <v/>
      </c>
      <c r="CZ325" s="539" t="str">
        <f t="shared" si="896"/>
        <v/>
      </c>
      <c r="DA325" s="539" t="str">
        <f t="shared" si="897"/>
        <v/>
      </c>
      <c r="DB325" s="538" t="str">
        <f t="shared" si="898"/>
        <v/>
      </c>
      <c r="DC325" s="537" t="str">
        <f t="shared" si="899"/>
        <v/>
      </c>
      <c r="DD325" s="641">
        <f t="shared" si="875"/>
        <v>1</v>
      </c>
      <c r="DE325" s="95">
        <f t="shared" si="876"/>
        <v>4</v>
      </c>
      <c r="DF325" s="95">
        <f t="shared" si="877"/>
        <v>0</v>
      </c>
      <c r="DG325" s="95">
        <f t="shared" si="900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70"/>
        <v/>
      </c>
      <c r="CA326" s="586" t="str">
        <f t="shared" si="871"/>
        <v/>
      </c>
      <c r="CB326" s="586" t="str">
        <f t="shared" si="872"/>
        <v/>
      </c>
      <c r="CC326" s="676" t="str">
        <f t="shared" si="882"/>
        <v/>
      </c>
      <c r="CD326" s="1316" t="str">
        <f t="shared" si="883"/>
        <v/>
      </c>
      <c r="CE326" s="1317" t="str">
        <f t="shared" si="883"/>
        <v/>
      </c>
      <c r="CF326" s="1317" t="str">
        <f t="shared" si="883"/>
        <v/>
      </c>
      <c r="CG326" s="1317" t="str">
        <f t="shared" si="883"/>
        <v/>
      </c>
      <c r="CH326" s="1318" t="str">
        <f t="shared" si="883"/>
        <v/>
      </c>
      <c r="CI326" s="1318" t="str">
        <f t="shared" si="883"/>
        <v/>
      </c>
      <c r="CJ326" s="1317" t="str">
        <f t="shared" si="883"/>
        <v/>
      </c>
      <c r="CK326" s="1317" t="str">
        <f t="shared" si="883"/>
        <v/>
      </c>
      <c r="CL326" s="1317" t="str">
        <f t="shared" si="883"/>
        <v/>
      </c>
      <c r="CM326" s="1316" t="str">
        <f t="shared" si="883"/>
        <v/>
      </c>
      <c r="CN326" s="538" t="str">
        <f t="shared" si="884"/>
        <v/>
      </c>
      <c r="CO326" s="539" t="str">
        <f t="shared" si="885"/>
        <v/>
      </c>
      <c r="CP326" s="539" t="str">
        <f t="shared" si="886"/>
        <v/>
      </c>
      <c r="CQ326" s="539" t="str">
        <f t="shared" si="887"/>
        <v/>
      </c>
      <c r="CR326" s="539" t="str">
        <f t="shared" si="888"/>
        <v/>
      </c>
      <c r="CS326" s="539" t="str">
        <f t="shared" si="889"/>
        <v/>
      </c>
      <c r="CT326" s="540" t="str">
        <f t="shared" si="890"/>
        <v/>
      </c>
      <c r="CU326" s="540" t="str">
        <f t="shared" si="891"/>
        <v/>
      </c>
      <c r="CV326" s="540" t="str">
        <f t="shared" si="892"/>
        <v/>
      </c>
      <c r="CW326" s="539" t="str">
        <f t="shared" si="893"/>
        <v/>
      </c>
      <c r="CX326" s="539" t="str">
        <f t="shared" si="894"/>
        <v/>
      </c>
      <c r="CY326" s="539" t="str">
        <f t="shared" si="895"/>
        <v/>
      </c>
      <c r="CZ326" s="539" t="str">
        <f t="shared" si="896"/>
        <v/>
      </c>
      <c r="DA326" s="539" t="str">
        <f t="shared" si="897"/>
        <v/>
      </c>
      <c r="DB326" s="538" t="str">
        <f t="shared" si="898"/>
        <v/>
      </c>
      <c r="DC326" s="537" t="str">
        <f t="shared" si="899"/>
        <v/>
      </c>
      <c r="DD326" s="641">
        <f t="shared" si="875"/>
        <v>0</v>
      </c>
      <c r="DE326" s="95">
        <f t="shared" si="876"/>
        <v>0</v>
      </c>
      <c r="DF326" s="95">
        <f t="shared" si="877"/>
        <v>0</v>
      </c>
      <c r="DG326" s="95">
        <f t="shared" si="900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183</v>
      </c>
      <c r="B327" s="618">
        <f t="shared" ref="B327:K327" si="905">IF(B325="","",B325*B326)</f>
        <v>0</v>
      </c>
      <c r="C327" s="618" t="str">
        <f t="shared" si="905"/>
        <v/>
      </c>
      <c r="D327" s="618" t="str">
        <f t="shared" si="905"/>
        <v/>
      </c>
      <c r="E327" s="618" t="str">
        <f t="shared" si="905"/>
        <v/>
      </c>
      <c r="F327" s="618" t="str">
        <f t="shared" si="905"/>
        <v/>
      </c>
      <c r="G327" s="618" t="str">
        <f t="shared" si="905"/>
        <v/>
      </c>
      <c r="H327" s="618" t="str">
        <f t="shared" si="905"/>
        <v/>
      </c>
      <c r="I327" s="618" t="str">
        <f t="shared" si="905"/>
        <v/>
      </c>
      <c r="J327" s="618" t="str">
        <f t="shared" si="905"/>
        <v/>
      </c>
      <c r="K327" s="618" t="str">
        <f t="shared" si="905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6">IF(T325="","",T325*T326)</f>
        <v/>
      </c>
      <c r="U327" s="618" t="str">
        <f t="shared" si="906"/>
        <v/>
      </c>
      <c r="V327" s="618" t="str">
        <f t="shared" si="906"/>
        <v/>
      </c>
      <c r="W327" s="618" t="str">
        <f t="shared" si="906"/>
        <v/>
      </c>
      <c r="X327" s="618">
        <f t="shared" si="906"/>
        <v>0</v>
      </c>
      <c r="Y327" s="618">
        <f t="shared" si="906"/>
        <v>0</v>
      </c>
      <c r="Z327" s="618">
        <f t="shared" si="906"/>
        <v>0</v>
      </c>
      <c r="AA327" s="618" t="str">
        <f t="shared" si="906"/>
        <v/>
      </c>
      <c r="AB327" s="618" t="str">
        <f t="shared" si="906"/>
        <v/>
      </c>
      <c r="AC327" s="618">
        <f t="shared" si="906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7">IF(AL325="","",AL325*AL326)</f>
        <v/>
      </c>
      <c r="AM327" s="618" t="str">
        <f t="shared" si="907"/>
        <v/>
      </c>
      <c r="AN327" s="618" t="str">
        <f t="shared" si="907"/>
        <v/>
      </c>
      <c r="AO327" s="618" t="str">
        <f t="shared" si="907"/>
        <v/>
      </c>
      <c r="AP327" s="618" t="str">
        <f t="shared" si="907"/>
        <v/>
      </c>
      <c r="AQ327" s="618" t="str">
        <f t="shared" si="907"/>
        <v/>
      </c>
      <c r="AR327" s="618" t="str">
        <f t="shared" si="907"/>
        <v/>
      </c>
      <c r="AS327" s="618" t="str">
        <f t="shared" si="907"/>
        <v/>
      </c>
      <c r="AT327" s="618" t="str">
        <f t="shared" si="907"/>
        <v/>
      </c>
      <c r="AU327" s="618" t="str">
        <f t="shared" si="907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8">IF(BD325="","",BD325*BD326)</f>
        <v/>
      </c>
      <c r="BE327" s="618" t="str">
        <f t="shared" si="908"/>
        <v/>
      </c>
      <c r="BF327" s="618" t="str">
        <f t="shared" si="908"/>
        <v/>
      </c>
      <c r="BG327" s="618" t="str">
        <f t="shared" si="908"/>
        <v/>
      </c>
      <c r="BH327" s="618" t="str">
        <f t="shared" si="908"/>
        <v/>
      </c>
      <c r="BI327" s="618" t="str">
        <f t="shared" si="908"/>
        <v/>
      </c>
      <c r="BJ327" s="618" t="str">
        <f t="shared" si="908"/>
        <v/>
      </c>
      <c r="BK327" s="618" t="str">
        <f t="shared" si="908"/>
        <v/>
      </c>
      <c r="BL327" s="618" t="str">
        <f t="shared" si="908"/>
        <v/>
      </c>
      <c r="BM327" s="618" t="str">
        <f t="shared" si="908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70"/>
        <v/>
      </c>
      <c r="CA327" s="586">
        <f t="shared" si="871"/>
        <v>0</v>
      </c>
      <c r="CB327" s="586" t="str">
        <f t="shared" si="872"/>
        <v/>
      </c>
      <c r="CC327" s="676" t="str">
        <f t="shared" si="882"/>
        <v/>
      </c>
      <c r="CD327" s="1316" t="str">
        <f t="shared" si="883"/>
        <v/>
      </c>
      <c r="CE327" s="1317" t="str">
        <f t="shared" si="883"/>
        <v/>
      </c>
      <c r="CF327" s="1317" t="str">
        <f t="shared" si="883"/>
        <v/>
      </c>
      <c r="CG327" s="1317" t="str">
        <f t="shared" si="883"/>
        <v/>
      </c>
      <c r="CH327" s="1318" t="str">
        <f t="shared" si="883"/>
        <v/>
      </c>
      <c r="CI327" s="1318" t="str">
        <f t="shared" si="883"/>
        <v/>
      </c>
      <c r="CJ327" s="1317" t="str">
        <f t="shared" si="883"/>
        <v/>
      </c>
      <c r="CK327" s="1317" t="str">
        <f t="shared" si="883"/>
        <v/>
      </c>
      <c r="CL327" s="1317" t="str">
        <f t="shared" si="883"/>
        <v/>
      </c>
      <c r="CM327" s="1316" t="str">
        <f t="shared" si="883"/>
        <v/>
      </c>
      <c r="CN327" s="538" t="str">
        <f t="shared" si="884"/>
        <v/>
      </c>
      <c r="CO327" s="539" t="str">
        <f t="shared" si="885"/>
        <v/>
      </c>
      <c r="CP327" s="539" t="str">
        <f t="shared" si="886"/>
        <v/>
      </c>
      <c r="CQ327" s="539" t="str">
        <f t="shared" si="887"/>
        <v/>
      </c>
      <c r="CR327" s="539" t="str">
        <f t="shared" si="888"/>
        <v/>
      </c>
      <c r="CS327" s="539" t="str">
        <f t="shared" si="889"/>
        <v/>
      </c>
      <c r="CT327" s="540" t="str">
        <f t="shared" si="890"/>
        <v/>
      </c>
      <c r="CU327" s="540" t="str">
        <f t="shared" si="891"/>
        <v/>
      </c>
      <c r="CV327" s="540" t="str">
        <f t="shared" si="892"/>
        <v/>
      </c>
      <c r="CW327" s="539" t="str">
        <f t="shared" si="893"/>
        <v/>
      </c>
      <c r="CX327" s="539" t="str">
        <f t="shared" si="894"/>
        <v/>
      </c>
      <c r="CY327" s="539" t="str">
        <f t="shared" si="895"/>
        <v/>
      </c>
      <c r="CZ327" s="539" t="str">
        <f t="shared" si="896"/>
        <v/>
      </c>
      <c r="DA327" s="539" t="str">
        <f t="shared" si="897"/>
        <v/>
      </c>
      <c r="DB327" s="538" t="str">
        <f t="shared" si="898"/>
        <v/>
      </c>
      <c r="DC327" s="537" t="str">
        <f t="shared" si="899"/>
        <v/>
      </c>
      <c r="DD327" s="641">
        <f t="shared" si="875"/>
        <v>1</v>
      </c>
      <c r="DE327" s="95">
        <f t="shared" si="876"/>
        <v>4</v>
      </c>
      <c r="DF327" s="95">
        <f t="shared" si="877"/>
        <v>0</v>
      </c>
      <c r="DG327" s="95">
        <f t="shared" si="900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258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70"/>
        <v/>
      </c>
      <c r="CA328" s="586">
        <f t="shared" si="871"/>
        <v>25</v>
      </c>
      <c r="CB328" s="586" t="str">
        <f t="shared" si="872"/>
        <v/>
      </c>
      <c r="CC328" s="676" t="str">
        <f t="shared" si="882"/>
        <v/>
      </c>
      <c r="CD328" s="1316" t="str">
        <f t="shared" si="883"/>
        <v/>
      </c>
      <c r="CE328" s="1317" t="str">
        <f t="shared" si="883"/>
        <v/>
      </c>
      <c r="CF328" s="1317" t="str">
        <f t="shared" si="883"/>
        <v/>
      </c>
      <c r="CG328" s="1317" t="str">
        <f t="shared" si="883"/>
        <v/>
      </c>
      <c r="CH328" s="1318" t="str">
        <f t="shared" si="883"/>
        <v/>
      </c>
      <c r="CI328" s="1318" t="str">
        <f t="shared" si="883"/>
        <v/>
      </c>
      <c r="CJ328" s="1317" t="str">
        <f t="shared" si="883"/>
        <v/>
      </c>
      <c r="CK328" s="1317" t="str">
        <f t="shared" si="883"/>
        <v/>
      </c>
      <c r="CL328" s="1317" t="str">
        <f t="shared" si="883"/>
        <v/>
      </c>
      <c r="CM328" s="1316" t="str">
        <f t="shared" si="883"/>
        <v/>
      </c>
      <c r="CN328" s="538" t="str">
        <f t="shared" si="884"/>
        <v/>
      </c>
      <c r="CO328" s="539" t="str">
        <f t="shared" si="885"/>
        <v/>
      </c>
      <c r="CP328" s="539" t="str">
        <f t="shared" si="886"/>
        <v/>
      </c>
      <c r="CQ328" s="539" t="str">
        <f t="shared" si="887"/>
        <v/>
      </c>
      <c r="CR328" s="539" t="str">
        <f t="shared" si="888"/>
        <v/>
      </c>
      <c r="CS328" s="539" t="str">
        <f t="shared" si="889"/>
        <v/>
      </c>
      <c r="CT328" s="540" t="str">
        <f t="shared" si="890"/>
        <v/>
      </c>
      <c r="CU328" s="540">
        <f t="shared" si="891"/>
        <v>60</v>
      </c>
      <c r="CV328" s="540" t="str">
        <f t="shared" si="892"/>
        <v/>
      </c>
      <c r="CW328" s="539" t="str">
        <f t="shared" si="893"/>
        <v/>
      </c>
      <c r="CX328" s="539" t="str">
        <f t="shared" si="894"/>
        <v/>
      </c>
      <c r="CY328" s="539" t="str">
        <f t="shared" si="895"/>
        <v/>
      </c>
      <c r="CZ328" s="539" t="str">
        <f t="shared" si="896"/>
        <v/>
      </c>
      <c r="DA328" s="539" t="str">
        <f t="shared" si="897"/>
        <v/>
      </c>
      <c r="DB328" s="538" t="str">
        <f t="shared" si="898"/>
        <v/>
      </c>
      <c r="DC328" s="537" t="str">
        <f t="shared" si="899"/>
        <v/>
      </c>
      <c r="DD328" s="641">
        <f t="shared" si="875"/>
        <v>1</v>
      </c>
      <c r="DE328" s="95">
        <f t="shared" si="876"/>
        <v>4</v>
      </c>
      <c r="DF328" s="95">
        <f t="shared" si="877"/>
        <v>0</v>
      </c>
      <c r="DG328" s="95">
        <f t="shared" si="900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227</v>
      </c>
      <c r="B329" s="621">
        <f t="shared" ref="B329:K329" si="909">IF(B323="","",(B323-B325-B328)*B324/B$46/365/$G$1)</f>
        <v>5.7679296388542965E-3</v>
      </c>
      <c r="C329" s="621" t="str">
        <f t="shared" si="909"/>
        <v/>
      </c>
      <c r="D329" s="621" t="str">
        <f t="shared" si="909"/>
        <v/>
      </c>
      <c r="E329" s="621" t="str">
        <f t="shared" si="909"/>
        <v/>
      </c>
      <c r="F329" s="621" t="str">
        <f t="shared" si="909"/>
        <v/>
      </c>
      <c r="G329" s="621" t="str">
        <f t="shared" si="909"/>
        <v/>
      </c>
      <c r="H329" s="621" t="str">
        <f t="shared" si="909"/>
        <v/>
      </c>
      <c r="I329" s="621" t="str">
        <f t="shared" si="909"/>
        <v/>
      </c>
      <c r="J329" s="621" t="str">
        <f t="shared" si="909"/>
        <v/>
      </c>
      <c r="K329" s="621" t="str">
        <f t="shared" si="909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10">IF(T323="","",(T323-T325-T328)*T324/T$46/365/$G$1)</f>
        <v/>
      </c>
      <c r="U329" s="621" t="str">
        <f t="shared" si="910"/>
        <v/>
      </c>
      <c r="V329" s="621" t="str">
        <f t="shared" si="910"/>
        <v/>
      </c>
      <c r="W329" s="621" t="str">
        <f t="shared" si="910"/>
        <v/>
      </c>
      <c r="X329" s="621">
        <f t="shared" si="910"/>
        <v>3.6660569738480695E-3</v>
      </c>
      <c r="Y329" s="621">
        <f t="shared" si="910"/>
        <v>1.1731382316313821E-2</v>
      </c>
      <c r="Z329" s="621">
        <f t="shared" si="910"/>
        <v>3.0414694894146947E-2</v>
      </c>
      <c r="AA329" s="621" t="str">
        <f t="shared" si="910"/>
        <v/>
      </c>
      <c r="AB329" s="621" t="str">
        <f t="shared" si="910"/>
        <v/>
      </c>
      <c r="AC329" s="621">
        <f t="shared" si="910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11">IF(AL323="","",(AL323-AL325-AL328)*AL324/AL$46/365/$G$1)</f>
        <v/>
      </c>
      <c r="AM329" s="621" t="str">
        <f t="shared" si="911"/>
        <v/>
      </c>
      <c r="AN329" s="621" t="str">
        <f t="shared" si="911"/>
        <v/>
      </c>
      <c r="AO329" s="621" t="str">
        <f t="shared" si="911"/>
        <v/>
      </c>
      <c r="AP329" s="621" t="str">
        <f t="shared" si="911"/>
        <v/>
      </c>
      <c r="AQ329" s="621" t="str">
        <f t="shared" si="911"/>
        <v/>
      </c>
      <c r="AR329" s="621" t="str">
        <f t="shared" si="911"/>
        <v/>
      </c>
      <c r="AS329" s="621" t="str">
        <f t="shared" si="911"/>
        <v/>
      </c>
      <c r="AT329" s="621" t="str">
        <f t="shared" si="911"/>
        <v/>
      </c>
      <c r="AU329" s="621">
        <f t="shared" si="911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2">IF(BD323="","",(BD323-BD325-BD328)*BD324/BD$46/365/$G$1)</f>
        <v/>
      </c>
      <c r="BE329" s="621" t="str">
        <f t="shared" si="912"/>
        <v/>
      </c>
      <c r="BF329" s="621" t="str">
        <f t="shared" si="912"/>
        <v/>
      </c>
      <c r="BG329" s="621" t="str">
        <f t="shared" si="912"/>
        <v/>
      </c>
      <c r="BH329" s="621" t="str">
        <f t="shared" si="912"/>
        <v/>
      </c>
      <c r="BI329" s="621">
        <f t="shared" si="912"/>
        <v>5.8656911581569104E-3</v>
      </c>
      <c r="BJ329" s="621" t="str">
        <f t="shared" si="912"/>
        <v/>
      </c>
      <c r="BK329" s="621" t="str">
        <f t="shared" si="912"/>
        <v/>
      </c>
      <c r="BL329" s="621" t="str">
        <f t="shared" si="912"/>
        <v/>
      </c>
      <c r="BM329" s="621" t="str">
        <f t="shared" si="912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70"/>
        <v/>
      </c>
      <c r="CA329" s="611">
        <f t="shared" si="871"/>
        <v>1.401248443337484E-2</v>
      </c>
      <c r="CB329" s="611" t="str">
        <f t="shared" si="872"/>
        <v/>
      </c>
      <c r="CC329" s="679" t="str">
        <f t="shared" si="882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0" t="str">
        <f t="shared" si="913"/>
        <v/>
      </c>
      <c r="CG329" s="1320" t="str">
        <f t="shared" si="913"/>
        <v/>
      </c>
      <c r="CH329" s="1321">
        <f t="shared" si="913"/>
        <v>1.7597073474470735E-2</v>
      </c>
      <c r="CI329" s="1321" t="str">
        <f t="shared" si="913"/>
        <v/>
      </c>
      <c r="CJ329" s="1320" t="str">
        <f t="shared" si="913"/>
        <v/>
      </c>
      <c r="CK329" s="1320" t="str">
        <f t="shared" si="913"/>
        <v/>
      </c>
      <c r="CL329" s="1320" t="str">
        <f t="shared" si="913"/>
        <v/>
      </c>
      <c r="CM329" s="1319" t="str">
        <f t="shared" si="913"/>
        <v/>
      </c>
      <c r="CN329" s="526" t="str">
        <f t="shared" si="884"/>
        <v/>
      </c>
      <c r="CO329" s="527" t="str">
        <f t="shared" si="885"/>
        <v/>
      </c>
      <c r="CP329" s="527" t="str">
        <f t="shared" si="886"/>
        <v/>
      </c>
      <c r="CQ329" s="527" t="str">
        <f t="shared" si="887"/>
        <v/>
      </c>
      <c r="CR329" s="527" t="str">
        <f t="shared" si="888"/>
        <v/>
      </c>
      <c r="CS329" s="527" t="str">
        <f t="shared" si="889"/>
        <v/>
      </c>
      <c r="CT329" s="528" t="str">
        <f t="shared" si="890"/>
        <v/>
      </c>
      <c r="CU329" s="528">
        <f t="shared" si="891"/>
        <v>5.8656911581569104E-3</v>
      </c>
      <c r="CV329" s="528" t="str">
        <f t="shared" si="892"/>
        <v/>
      </c>
      <c r="CW329" s="527" t="str">
        <f t="shared" si="893"/>
        <v/>
      </c>
      <c r="CX329" s="527" t="str">
        <f t="shared" si="894"/>
        <v/>
      </c>
      <c r="CY329" s="527" t="str">
        <f t="shared" si="895"/>
        <v/>
      </c>
      <c r="CZ329" s="527" t="str">
        <f t="shared" si="896"/>
        <v/>
      </c>
      <c r="DA329" s="527" t="str">
        <f t="shared" si="897"/>
        <v/>
      </c>
      <c r="DB329" s="526" t="str">
        <f t="shared" si="898"/>
        <v/>
      </c>
      <c r="DC329" s="525" t="str">
        <f t="shared" si="899"/>
        <v/>
      </c>
      <c r="DD329" s="641">
        <f t="shared" si="875"/>
        <v>1</v>
      </c>
      <c r="DE329" s="95">
        <f t="shared" si="876"/>
        <v>4</v>
      </c>
      <c r="DF329" s="95">
        <f t="shared" si="877"/>
        <v>1</v>
      </c>
      <c r="DG329" s="95">
        <f t="shared" si="900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944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70"/>
        <v>4.666666666666667</v>
      </c>
      <c r="CA330" s="586">
        <f t="shared" si="871"/>
        <v>4.875</v>
      </c>
      <c r="CB330" s="586">
        <f t="shared" si="872"/>
        <v>9.9</v>
      </c>
      <c r="CC330" s="676">
        <f t="shared" si="882"/>
        <v>11.25</v>
      </c>
      <c r="CD330" s="131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7">
        <f t="shared" si="913"/>
        <v>5</v>
      </c>
      <c r="CF330" s="1578">
        <f t="shared" si="913"/>
        <v>7.5</v>
      </c>
      <c r="CG330" s="1578">
        <f t="shared" si="913"/>
        <v>10</v>
      </c>
      <c r="CH330" s="1579">
        <f t="shared" si="913"/>
        <v>10</v>
      </c>
      <c r="CI330" s="1579">
        <f t="shared" si="913"/>
        <v>10</v>
      </c>
      <c r="CJ330" s="1578">
        <f t="shared" si="913"/>
        <v>12</v>
      </c>
      <c r="CK330" s="1317">
        <f t="shared" si="913"/>
        <v>18</v>
      </c>
      <c r="CL330" s="1317" t="str">
        <f t="shared" si="913"/>
        <v/>
      </c>
      <c r="CM330" s="1316" t="str">
        <f t="shared" si="913"/>
        <v/>
      </c>
      <c r="CN330" s="538" t="str">
        <f t="shared" si="884"/>
        <v/>
      </c>
      <c r="CO330" s="539" t="str">
        <f t="shared" si="885"/>
        <v/>
      </c>
      <c r="CP330" s="539" t="str">
        <f t="shared" si="886"/>
        <v/>
      </c>
      <c r="CQ330" s="539" t="str">
        <f t="shared" si="887"/>
        <v/>
      </c>
      <c r="CR330" s="539" t="str">
        <f t="shared" si="888"/>
        <v/>
      </c>
      <c r="CS330" s="539">
        <f t="shared" si="889"/>
        <v>7.5</v>
      </c>
      <c r="CT330" s="540">
        <f t="shared" si="890"/>
        <v>10</v>
      </c>
      <c r="CU330" s="540">
        <f t="shared" si="891"/>
        <v>10</v>
      </c>
      <c r="CV330" s="540">
        <f t="shared" si="892"/>
        <v>10</v>
      </c>
      <c r="CW330" s="539">
        <f t="shared" si="893"/>
        <v>15</v>
      </c>
      <c r="CX330" s="539">
        <f t="shared" si="894"/>
        <v>15</v>
      </c>
      <c r="CY330" s="539" t="str">
        <f t="shared" si="895"/>
        <v/>
      </c>
      <c r="CZ330" s="539" t="str">
        <f t="shared" si="896"/>
        <v/>
      </c>
      <c r="DA330" s="539" t="str">
        <f t="shared" si="897"/>
        <v/>
      </c>
      <c r="DB330" s="538" t="str">
        <f t="shared" si="898"/>
        <v/>
      </c>
      <c r="DC330" s="537" t="str">
        <f t="shared" si="899"/>
        <v/>
      </c>
      <c r="DD330" s="641">
        <f t="shared" si="875"/>
        <v>5</v>
      </c>
      <c r="DE330" s="95">
        <f t="shared" si="876"/>
        <v>6</v>
      </c>
      <c r="DF330" s="95">
        <f t="shared" si="877"/>
        <v>7</v>
      </c>
      <c r="DG330" s="95">
        <f t="shared" si="900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265</v>
      </c>
      <c r="B331" s="712" t="s">
        <v>267</v>
      </c>
      <c r="C331" s="712" t="s">
        <v>267</v>
      </c>
      <c r="D331" s="712" t="s">
        <v>267</v>
      </c>
      <c r="E331" s="712" t="s">
        <v>267</v>
      </c>
      <c r="F331" s="712" t="s">
        <v>267</v>
      </c>
      <c r="G331" s="712" t="s">
        <v>267</v>
      </c>
      <c r="H331" s="712" t="s">
        <v>267</v>
      </c>
      <c r="I331" s="712" t="s">
        <v>267</v>
      </c>
      <c r="J331" s="712" t="s">
        <v>267</v>
      </c>
      <c r="K331" s="712" t="s">
        <v>267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267</v>
      </c>
      <c r="U331" s="712" t="s">
        <v>267</v>
      </c>
      <c r="V331" s="712" t="s">
        <v>267</v>
      </c>
      <c r="W331" s="712" t="s">
        <v>267</v>
      </c>
      <c r="X331" s="712" t="s">
        <v>267</v>
      </c>
      <c r="Y331" s="712" t="s">
        <v>267</v>
      </c>
      <c r="Z331" s="712" t="s">
        <v>267</v>
      </c>
      <c r="AA331" s="712" t="s">
        <v>267</v>
      </c>
      <c r="AB331" s="712" t="s">
        <v>267</v>
      </c>
      <c r="AC331" s="712" t="s">
        <v>267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267</v>
      </c>
      <c r="AM331" s="712" t="s">
        <v>267</v>
      </c>
      <c r="AN331" s="712" t="s">
        <v>267</v>
      </c>
      <c r="AO331" s="712" t="s">
        <v>267</v>
      </c>
      <c r="AP331" s="712" t="s">
        <v>267</v>
      </c>
      <c r="AQ331" s="712" t="s">
        <v>267</v>
      </c>
      <c r="AR331" s="712" t="s">
        <v>267</v>
      </c>
      <c r="AS331" s="712" t="s">
        <v>267</v>
      </c>
      <c r="AT331" s="712" t="s">
        <v>267</v>
      </c>
      <c r="AU331" s="712" t="s">
        <v>267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267</v>
      </c>
      <c r="BE331" s="712" t="s">
        <v>267</v>
      </c>
      <c r="BF331" s="712" t="s">
        <v>267</v>
      </c>
      <c r="BG331" s="712" t="s">
        <v>267</v>
      </c>
      <c r="BH331" s="712" t="s">
        <v>267</v>
      </c>
      <c r="BI331" s="712" t="s">
        <v>267</v>
      </c>
      <c r="BJ331" s="712" t="s">
        <v>267</v>
      </c>
      <c r="BK331" s="712" t="s">
        <v>267</v>
      </c>
      <c r="BL331" s="712" t="s">
        <v>267</v>
      </c>
      <c r="BM331" s="712" t="s">
        <v>267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267</v>
      </c>
      <c r="BW331" s="712" t="s">
        <v>267</v>
      </c>
      <c r="BX331" s="712" t="s">
        <v>267</v>
      </c>
      <c r="BY331" s="712" t="s">
        <v>267</v>
      </c>
      <c r="BZ331" s="578"/>
      <c r="CA331" s="578"/>
      <c r="CB331" s="578"/>
      <c r="CC331" s="675"/>
      <c r="CD331" s="1338"/>
      <c r="CE331" s="1338"/>
      <c r="CF331" s="1338"/>
      <c r="CG331" s="1338"/>
      <c r="CH331" s="1338"/>
      <c r="CI331" s="1338"/>
      <c r="CJ331" s="1338"/>
      <c r="CK331" s="1338"/>
      <c r="CL331" s="1338"/>
      <c r="CM331" s="1338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266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4">IF(DD332&lt;3,"",(SUM(B332:R332)-MIN(B332:R332)-MAX(B332:R332))/(DD332-2))</f>
        <v>40</v>
      </c>
      <c r="CA332" s="586">
        <f t="shared" ref="CA332:CA340" si="915">IF(DE332&lt;3,"",(SUM(T332:AJ332)-MIN(T332:AJ332)-MAX(T332:AJ332))/(DE332-2))</f>
        <v>40</v>
      </c>
      <c r="CB332" s="586">
        <f t="shared" ref="CB332:CB340" si="916">IF(DF332&lt;3,"",(SUM(AL332:BB332)-MIN(AL332:BB332)-MAX(AL332:BB332))/(DF332-2))</f>
        <v>40</v>
      </c>
      <c r="CC332" s="676">
        <f t="shared" ref="CC332:CC340" si="917">IF(DG332&lt;3,"",(SUM(BD332:BT332)-MIN(BD332:BT332)-MAX(BD332:BT332))/(DG332-2))</f>
        <v>40</v>
      </c>
      <c r="CD332" s="1316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7">
        <f t="shared" si="918"/>
        <v>40</v>
      </c>
      <c r="CF332" s="1317">
        <f t="shared" si="918"/>
        <v>40</v>
      </c>
      <c r="CG332" s="1317">
        <f t="shared" si="918"/>
        <v>40</v>
      </c>
      <c r="CH332" s="1318">
        <f t="shared" si="918"/>
        <v>40</v>
      </c>
      <c r="CI332" s="1318">
        <f t="shared" si="918"/>
        <v>40</v>
      </c>
      <c r="CJ332" s="1317">
        <f t="shared" si="918"/>
        <v>40</v>
      </c>
      <c r="CK332" s="1317">
        <f t="shared" si="918"/>
        <v>40</v>
      </c>
      <c r="CL332" s="1317" t="str">
        <f t="shared" si="918"/>
        <v/>
      </c>
      <c r="CM332" s="1316" t="str">
        <f t="shared" si="918"/>
        <v/>
      </c>
      <c r="CN332" s="538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5">COUNT(B332:R332)</f>
        <v>5</v>
      </c>
      <c r="DE332" s="95">
        <f t="shared" ref="DE332:DE340" si="936">COUNT(T332:AJ332)</f>
        <v>6</v>
      </c>
      <c r="DF332" s="95">
        <f t="shared" ref="DF332:DF340" si="937">COUNT(AL332:BB332)</f>
        <v>7</v>
      </c>
      <c r="DG332" s="95">
        <f t="shared" ref="DG332:DG340" si="938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267</v>
      </c>
      <c r="B333" s="618" t="str">
        <f t="shared" ref="B333:K333" si="939">IF(B330="","",B330*B332)</f>
        <v/>
      </c>
      <c r="C333" s="618">
        <f t="shared" si="939"/>
        <v>240</v>
      </c>
      <c r="D333" s="618">
        <f t="shared" si="939"/>
        <v>400</v>
      </c>
      <c r="E333" s="618" t="str">
        <f t="shared" si="939"/>
        <v/>
      </c>
      <c r="F333" s="618" t="str">
        <f t="shared" si="939"/>
        <v/>
      </c>
      <c r="G333" s="618">
        <f t="shared" si="939"/>
        <v>160</v>
      </c>
      <c r="H333" s="618" t="str">
        <f t="shared" si="939"/>
        <v/>
      </c>
      <c r="I333" s="618" t="str">
        <f t="shared" si="939"/>
        <v/>
      </c>
      <c r="J333" s="618">
        <f t="shared" si="939"/>
        <v>160</v>
      </c>
      <c r="K333" s="618">
        <f t="shared" si="939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40">IF(T330="","",T330*T332)</f>
        <v>40</v>
      </c>
      <c r="U333" s="618">
        <f t="shared" si="940"/>
        <v>100</v>
      </c>
      <c r="V333" s="618" t="str">
        <f t="shared" si="940"/>
        <v/>
      </c>
      <c r="W333" s="618" t="str">
        <f t="shared" si="940"/>
        <v/>
      </c>
      <c r="X333" s="618" t="str">
        <f t="shared" si="940"/>
        <v/>
      </c>
      <c r="Y333" s="618">
        <f t="shared" si="940"/>
        <v>280</v>
      </c>
      <c r="Z333" s="618" t="str">
        <f t="shared" si="940"/>
        <v/>
      </c>
      <c r="AA333" s="618">
        <f t="shared" si="940"/>
        <v>300</v>
      </c>
      <c r="AB333" s="618">
        <f t="shared" si="940"/>
        <v>300</v>
      </c>
      <c r="AC333" s="618">
        <f t="shared" si="940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41">IF(AL330="","",AL330*AL332)</f>
        <v>720</v>
      </c>
      <c r="AM333" s="618">
        <f t="shared" si="941"/>
        <v>400</v>
      </c>
      <c r="AN333" s="618" t="str">
        <f t="shared" si="941"/>
        <v/>
      </c>
      <c r="AO333" s="618" t="str">
        <f t="shared" si="941"/>
        <v/>
      </c>
      <c r="AP333" s="618">
        <f t="shared" si="941"/>
        <v>400</v>
      </c>
      <c r="AQ333" s="618">
        <f t="shared" si="941"/>
        <v>200</v>
      </c>
      <c r="AR333" s="618" t="str">
        <f t="shared" si="941"/>
        <v/>
      </c>
      <c r="AS333" s="618">
        <f t="shared" si="941"/>
        <v>480</v>
      </c>
      <c r="AT333" s="618">
        <f t="shared" si="941"/>
        <v>300</v>
      </c>
      <c r="AU333" s="618">
        <f t="shared" si="941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2">IF(BD330="","",BD330*BD332)</f>
        <v/>
      </c>
      <c r="BE333" s="618">
        <f t="shared" si="942"/>
        <v>400</v>
      </c>
      <c r="BF333" s="618" t="str">
        <f t="shared" si="942"/>
        <v/>
      </c>
      <c r="BG333" s="618" t="str">
        <f t="shared" si="942"/>
        <v/>
      </c>
      <c r="BH333" s="618">
        <f t="shared" si="942"/>
        <v>600</v>
      </c>
      <c r="BI333" s="618">
        <f t="shared" si="942"/>
        <v>600</v>
      </c>
      <c r="BJ333" s="618" t="str">
        <f t="shared" si="942"/>
        <v/>
      </c>
      <c r="BK333" s="618">
        <f t="shared" si="942"/>
        <v>400</v>
      </c>
      <c r="BL333" s="618">
        <f t="shared" si="942"/>
        <v>400</v>
      </c>
      <c r="BM333" s="618">
        <f t="shared" si="942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4"/>
        <v>186.66666666666666</v>
      </c>
      <c r="CA333" s="586">
        <f t="shared" si="915"/>
        <v>195</v>
      </c>
      <c r="CB333" s="586">
        <f t="shared" si="916"/>
        <v>396</v>
      </c>
      <c r="CC333" s="676">
        <f t="shared" si="917"/>
        <v>450</v>
      </c>
      <c r="CD333" s="1316" t="str">
        <f t="shared" si="918"/>
        <v/>
      </c>
      <c r="CE333" s="1317">
        <f t="shared" si="918"/>
        <v>200</v>
      </c>
      <c r="CF333" s="1317">
        <f t="shared" si="918"/>
        <v>300</v>
      </c>
      <c r="CG333" s="1317">
        <f t="shared" si="918"/>
        <v>400</v>
      </c>
      <c r="CH333" s="1318">
        <f t="shared" si="918"/>
        <v>400</v>
      </c>
      <c r="CI333" s="1318">
        <f t="shared" si="918"/>
        <v>400</v>
      </c>
      <c r="CJ333" s="1317">
        <f t="shared" si="918"/>
        <v>480</v>
      </c>
      <c r="CK333" s="1317">
        <f t="shared" si="918"/>
        <v>720</v>
      </c>
      <c r="CL333" s="1317" t="str">
        <f t="shared" si="918"/>
        <v/>
      </c>
      <c r="CM333" s="1316" t="str">
        <f t="shared" si="918"/>
        <v/>
      </c>
      <c r="CN333" s="538" t="str">
        <f t="shared" si="919"/>
        <v/>
      </c>
      <c r="CO333" s="539" t="str">
        <f t="shared" si="920"/>
        <v/>
      </c>
      <c r="CP333" s="539" t="str">
        <f t="shared" si="921"/>
        <v/>
      </c>
      <c r="CQ333" s="539" t="str">
        <f t="shared" si="922"/>
        <v/>
      </c>
      <c r="CR333" s="539" t="str">
        <f t="shared" si="923"/>
        <v/>
      </c>
      <c r="CS333" s="539">
        <f t="shared" si="924"/>
        <v>300</v>
      </c>
      <c r="CT333" s="540">
        <f t="shared" si="925"/>
        <v>400</v>
      </c>
      <c r="CU333" s="540">
        <f t="shared" si="926"/>
        <v>400</v>
      </c>
      <c r="CV333" s="540">
        <f t="shared" si="927"/>
        <v>400</v>
      </c>
      <c r="CW333" s="539">
        <f t="shared" si="928"/>
        <v>600</v>
      </c>
      <c r="CX333" s="539">
        <f t="shared" si="929"/>
        <v>600</v>
      </c>
      <c r="CY333" s="539" t="str">
        <f t="shared" si="930"/>
        <v/>
      </c>
      <c r="CZ333" s="539" t="str">
        <f t="shared" si="931"/>
        <v/>
      </c>
      <c r="DA333" s="539" t="str">
        <f t="shared" si="932"/>
        <v/>
      </c>
      <c r="DB333" s="538" t="str">
        <f t="shared" si="933"/>
        <v/>
      </c>
      <c r="DC333" s="537" t="str">
        <f t="shared" si="934"/>
        <v/>
      </c>
      <c r="DD333" s="641">
        <f t="shared" si="935"/>
        <v>5</v>
      </c>
      <c r="DE333" s="95">
        <f t="shared" si="936"/>
        <v>6</v>
      </c>
      <c r="DF333" s="95">
        <f t="shared" si="937"/>
        <v>7</v>
      </c>
      <c r="DG333" s="95">
        <f t="shared" si="938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260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4"/>
        <v>4770</v>
      </c>
      <c r="CA334" s="586">
        <f t="shared" si="915"/>
        <v>4770</v>
      </c>
      <c r="CB334" s="586">
        <f t="shared" si="916"/>
        <v>4770</v>
      </c>
      <c r="CC334" s="676">
        <f t="shared" si="917"/>
        <v>4770</v>
      </c>
      <c r="CD334" s="1316">
        <f t="shared" si="918"/>
        <v>4770</v>
      </c>
      <c r="CE334" s="1317">
        <f t="shared" si="918"/>
        <v>4770</v>
      </c>
      <c r="CF334" s="1317">
        <f t="shared" si="918"/>
        <v>4770</v>
      </c>
      <c r="CG334" s="1317">
        <f t="shared" si="918"/>
        <v>4770</v>
      </c>
      <c r="CH334" s="1318">
        <f t="shared" si="918"/>
        <v>4770</v>
      </c>
      <c r="CI334" s="1318">
        <f t="shared" si="918"/>
        <v>4770</v>
      </c>
      <c r="CJ334" s="1317">
        <f t="shared" si="918"/>
        <v>4770</v>
      </c>
      <c r="CK334" s="1317">
        <f t="shared" si="918"/>
        <v>4770</v>
      </c>
      <c r="CL334" s="1317">
        <f t="shared" si="918"/>
        <v>4770</v>
      </c>
      <c r="CM334" s="1316">
        <f t="shared" si="918"/>
        <v>4770</v>
      </c>
      <c r="CN334" s="538" t="str">
        <f t="shared" si="919"/>
        <v/>
      </c>
      <c r="CO334" s="539" t="str">
        <f t="shared" si="920"/>
        <v/>
      </c>
      <c r="CP334" s="539" t="str">
        <f t="shared" si="921"/>
        <v/>
      </c>
      <c r="CQ334" s="539">
        <f t="shared" si="922"/>
        <v>4770</v>
      </c>
      <c r="CR334" s="539">
        <f t="shared" si="923"/>
        <v>4770</v>
      </c>
      <c r="CS334" s="539">
        <f t="shared" si="924"/>
        <v>4770</v>
      </c>
      <c r="CT334" s="540">
        <f t="shared" si="925"/>
        <v>4770</v>
      </c>
      <c r="CU334" s="540">
        <f t="shared" si="926"/>
        <v>4770</v>
      </c>
      <c r="CV334" s="540">
        <f t="shared" si="927"/>
        <v>4770</v>
      </c>
      <c r="CW334" s="539">
        <f t="shared" si="928"/>
        <v>4770</v>
      </c>
      <c r="CX334" s="539">
        <f t="shared" si="929"/>
        <v>4770</v>
      </c>
      <c r="CY334" s="539">
        <f t="shared" si="930"/>
        <v>4770</v>
      </c>
      <c r="CZ334" s="539">
        <f t="shared" si="931"/>
        <v>4770</v>
      </c>
      <c r="DA334" s="539" t="str">
        <f t="shared" si="932"/>
        <v/>
      </c>
      <c r="DB334" s="538" t="str">
        <f t="shared" si="933"/>
        <v/>
      </c>
      <c r="DC334" s="537" t="str">
        <f t="shared" si="934"/>
        <v/>
      </c>
      <c r="DD334" s="641">
        <f t="shared" si="935"/>
        <v>10</v>
      </c>
      <c r="DE334" s="95">
        <f t="shared" si="936"/>
        <v>10</v>
      </c>
      <c r="DF334" s="95">
        <f t="shared" si="937"/>
        <v>10</v>
      </c>
      <c r="DG334" s="95">
        <f t="shared" si="938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257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4"/>
        <v>0</v>
      </c>
      <c r="CA335" s="586">
        <f t="shared" si="915"/>
        <v>1.5</v>
      </c>
      <c r="CB335" s="586">
        <f t="shared" si="916"/>
        <v>57</v>
      </c>
      <c r="CC335" s="676">
        <f t="shared" si="917"/>
        <v>150</v>
      </c>
      <c r="CD335" s="1316" t="str">
        <f t="shared" si="918"/>
        <v/>
      </c>
      <c r="CE335" s="1317">
        <f t="shared" si="918"/>
        <v>0</v>
      </c>
      <c r="CF335" s="1317">
        <f t="shared" si="918"/>
        <v>0</v>
      </c>
      <c r="CG335" s="1317">
        <f t="shared" si="918"/>
        <v>10</v>
      </c>
      <c r="CH335" s="1318">
        <f t="shared" si="918"/>
        <v>50</v>
      </c>
      <c r="CI335" s="1318">
        <f t="shared" si="918"/>
        <v>75</v>
      </c>
      <c r="CJ335" s="1317">
        <f t="shared" si="918"/>
        <v>150</v>
      </c>
      <c r="CK335" s="1317">
        <f t="shared" si="918"/>
        <v>350</v>
      </c>
      <c r="CL335" s="1317" t="str">
        <f t="shared" si="918"/>
        <v/>
      </c>
      <c r="CM335" s="1316" t="str">
        <f t="shared" si="918"/>
        <v/>
      </c>
      <c r="CN335" s="538" t="str">
        <f t="shared" si="919"/>
        <v/>
      </c>
      <c r="CO335" s="539" t="str">
        <f t="shared" si="920"/>
        <v/>
      </c>
      <c r="CP335" s="539" t="str">
        <f t="shared" si="921"/>
        <v/>
      </c>
      <c r="CQ335" s="539" t="str">
        <f t="shared" si="922"/>
        <v/>
      </c>
      <c r="CR335" s="539" t="str">
        <f t="shared" si="923"/>
        <v/>
      </c>
      <c r="CS335" s="539">
        <f t="shared" si="924"/>
        <v>100</v>
      </c>
      <c r="CT335" s="540">
        <f t="shared" si="925"/>
        <v>150</v>
      </c>
      <c r="CU335" s="540">
        <f t="shared" si="926"/>
        <v>150</v>
      </c>
      <c r="CV335" s="540">
        <f t="shared" si="927"/>
        <v>150</v>
      </c>
      <c r="CW335" s="539">
        <f t="shared" si="928"/>
        <v>250</v>
      </c>
      <c r="CX335" s="539" t="str">
        <f t="shared" si="929"/>
        <v/>
      </c>
      <c r="CY335" s="539" t="str">
        <f t="shared" si="930"/>
        <v/>
      </c>
      <c r="CZ335" s="539" t="str">
        <f t="shared" si="931"/>
        <v/>
      </c>
      <c r="DA335" s="539" t="str">
        <f t="shared" si="932"/>
        <v/>
      </c>
      <c r="DB335" s="538" t="str">
        <f t="shared" si="933"/>
        <v/>
      </c>
      <c r="DC335" s="537" t="str">
        <f t="shared" si="934"/>
        <v/>
      </c>
      <c r="DD335" s="641">
        <f t="shared" si="935"/>
        <v>5</v>
      </c>
      <c r="DE335" s="95">
        <f t="shared" si="936"/>
        <v>6</v>
      </c>
      <c r="DF335" s="95">
        <f t="shared" si="937"/>
        <v>7</v>
      </c>
      <c r="DG335" s="95">
        <f t="shared" si="938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181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4"/>
        <v/>
      </c>
      <c r="CA336" s="586">
        <f t="shared" si="915"/>
        <v>5</v>
      </c>
      <c r="CB336" s="586">
        <f t="shared" si="916"/>
        <v>3.7666666666666671</v>
      </c>
      <c r="CC336" s="676">
        <f t="shared" si="917"/>
        <v>5.2333333333333334</v>
      </c>
      <c r="CD336" s="1316" t="str">
        <f t="shared" si="918"/>
        <v/>
      </c>
      <c r="CE336" s="1317" t="str">
        <f t="shared" si="918"/>
        <v/>
      </c>
      <c r="CF336" s="1317">
        <f t="shared" si="918"/>
        <v>2.5</v>
      </c>
      <c r="CG336" s="1317">
        <f t="shared" si="918"/>
        <v>2.5</v>
      </c>
      <c r="CH336" s="1318">
        <f t="shared" si="918"/>
        <v>4</v>
      </c>
      <c r="CI336" s="1318">
        <f t="shared" si="918"/>
        <v>4.8</v>
      </c>
      <c r="CJ336" s="1317">
        <f t="shared" si="918"/>
        <v>5</v>
      </c>
      <c r="CK336" s="1317" t="str">
        <f t="shared" si="918"/>
        <v/>
      </c>
      <c r="CL336" s="1317" t="str">
        <f t="shared" si="918"/>
        <v/>
      </c>
      <c r="CM336" s="1316" t="str">
        <f t="shared" si="918"/>
        <v/>
      </c>
      <c r="CN336" s="538" t="str">
        <f t="shared" si="919"/>
        <v/>
      </c>
      <c r="CO336" s="539" t="str">
        <f t="shared" si="920"/>
        <v/>
      </c>
      <c r="CP336" s="539" t="str">
        <f t="shared" si="921"/>
        <v/>
      </c>
      <c r="CQ336" s="539" t="str">
        <f t="shared" si="922"/>
        <v/>
      </c>
      <c r="CR336" s="539" t="str">
        <f t="shared" si="923"/>
        <v/>
      </c>
      <c r="CS336" s="539">
        <f t="shared" si="924"/>
        <v>2.4</v>
      </c>
      <c r="CT336" s="540">
        <f t="shared" si="925"/>
        <v>5</v>
      </c>
      <c r="CU336" s="540">
        <f t="shared" si="926"/>
        <v>5.2</v>
      </c>
      <c r="CV336" s="540">
        <f t="shared" si="927"/>
        <v>5.5</v>
      </c>
      <c r="CW336" s="539">
        <f t="shared" si="928"/>
        <v>6</v>
      </c>
      <c r="CX336" s="539" t="str">
        <f t="shared" si="929"/>
        <v/>
      </c>
      <c r="CY336" s="539" t="str">
        <f t="shared" si="930"/>
        <v/>
      </c>
      <c r="CZ336" s="539" t="str">
        <f t="shared" si="931"/>
        <v/>
      </c>
      <c r="DA336" s="539" t="str">
        <f t="shared" si="932"/>
        <v/>
      </c>
      <c r="DB336" s="538" t="str">
        <f t="shared" si="933"/>
        <v/>
      </c>
      <c r="DC336" s="537" t="str">
        <f t="shared" si="934"/>
        <v/>
      </c>
      <c r="DD336" s="641">
        <f t="shared" si="935"/>
        <v>1</v>
      </c>
      <c r="DE336" s="95">
        <f t="shared" si="936"/>
        <v>3</v>
      </c>
      <c r="DF336" s="95">
        <f t="shared" si="937"/>
        <v>5</v>
      </c>
      <c r="DG336" s="95">
        <f t="shared" si="938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183</v>
      </c>
      <c r="B337" s="618" t="str">
        <f t="shared" ref="B337:K337" si="943">IF(B335="","",B335*B336)</f>
        <v/>
      </c>
      <c r="C337" s="618">
        <f t="shared" si="943"/>
        <v>0</v>
      </c>
      <c r="D337" s="618">
        <f t="shared" si="943"/>
        <v>875</v>
      </c>
      <c r="E337" s="618" t="str">
        <f t="shared" si="943"/>
        <v/>
      </c>
      <c r="F337" s="618" t="str">
        <f t="shared" si="943"/>
        <v/>
      </c>
      <c r="G337" s="618">
        <f t="shared" si="943"/>
        <v>0</v>
      </c>
      <c r="H337" s="618" t="str">
        <f t="shared" si="943"/>
        <v/>
      </c>
      <c r="I337" s="618" t="str">
        <f t="shared" si="943"/>
        <v/>
      </c>
      <c r="J337" s="618">
        <f t="shared" si="943"/>
        <v>0</v>
      </c>
      <c r="K337" s="618">
        <f t="shared" si="943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4">IF(T335="","",T335*T336)</f>
        <v>120</v>
      </c>
      <c r="U337" s="618">
        <f t="shared" si="944"/>
        <v>50</v>
      </c>
      <c r="V337" s="618" t="str">
        <f t="shared" si="944"/>
        <v/>
      </c>
      <c r="W337" s="618" t="str">
        <f t="shared" si="944"/>
        <v/>
      </c>
      <c r="X337" s="618" t="str">
        <f t="shared" si="944"/>
        <v/>
      </c>
      <c r="Y337" s="618">
        <f t="shared" si="944"/>
        <v>0</v>
      </c>
      <c r="Z337" s="618" t="str">
        <f t="shared" si="944"/>
        <v/>
      </c>
      <c r="AA337" s="618">
        <f t="shared" si="944"/>
        <v>0</v>
      </c>
      <c r="AB337" s="618">
        <f t="shared" si="944"/>
        <v>0</v>
      </c>
      <c r="AC337" s="618">
        <f t="shared" si="944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5">IF(AL335="","",AL335*AL336)</f>
        <v>1750</v>
      </c>
      <c r="AM337" s="618">
        <f t="shared" si="945"/>
        <v>25</v>
      </c>
      <c r="AN337" s="618" t="str">
        <f t="shared" si="945"/>
        <v/>
      </c>
      <c r="AO337" s="618" t="str">
        <f t="shared" si="945"/>
        <v/>
      </c>
      <c r="AP337" s="618">
        <f t="shared" si="945"/>
        <v>0</v>
      </c>
      <c r="AQ337" s="618">
        <f t="shared" si="945"/>
        <v>300</v>
      </c>
      <c r="AR337" s="618" t="str">
        <f t="shared" si="945"/>
        <v/>
      </c>
      <c r="AS337" s="618">
        <f t="shared" si="945"/>
        <v>0</v>
      </c>
      <c r="AT337" s="618">
        <f t="shared" si="945"/>
        <v>240</v>
      </c>
      <c r="AU337" s="618">
        <f t="shared" si="945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6">IF(BD335="","",BD335*BD336)</f>
        <v/>
      </c>
      <c r="BE337" s="618">
        <f t="shared" si="946"/>
        <v>750</v>
      </c>
      <c r="BF337" s="618" t="str">
        <f t="shared" si="946"/>
        <v/>
      </c>
      <c r="BG337" s="618" t="str">
        <f t="shared" si="946"/>
        <v/>
      </c>
      <c r="BH337" s="618">
        <f t="shared" si="946"/>
        <v>780</v>
      </c>
      <c r="BI337" s="618">
        <f t="shared" si="946"/>
        <v>825</v>
      </c>
      <c r="BJ337" s="618" t="str">
        <f t="shared" si="946"/>
        <v/>
      </c>
      <c r="BK337" s="618">
        <f t="shared" si="946"/>
        <v>1500</v>
      </c>
      <c r="BL337" s="618" t="str">
        <f t="shared" si="946"/>
        <v/>
      </c>
      <c r="BM337" s="618">
        <f t="shared" si="946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4"/>
        <v>0</v>
      </c>
      <c r="CA337" s="586">
        <f t="shared" si="915"/>
        <v>12.5</v>
      </c>
      <c r="CB337" s="586">
        <f t="shared" si="916"/>
        <v>188</v>
      </c>
      <c r="CC337" s="676">
        <f t="shared" si="917"/>
        <v>785</v>
      </c>
      <c r="CD337" s="1316" t="str">
        <f t="shared" si="918"/>
        <v/>
      </c>
      <c r="CE337" s="1317">
        <f t="shared" si="918"/>
        <v>0</v>
      </c>
      <c r="CF337" s="1317">
        <f t="shared" si="918"/>
        <v>0</v>
      </c>
      <c r="CG337" s="1317">
        <f t="shared" si="918"/>
        <v>25</v>
      </c>
      <c r="CH337" s="1318">
        <f t="shared" si="918"/>
        <v>240</v>
      </c>
      <c r="CI337" s="1318">
        <f t="shared" si="918"/>
        <v>300</v>
      </c>
      <c r="CJ337" s="1317">
        <f t="shared" si="918"/>
        <v>375</v>
      </c>
      <c r="CK337" s="1317">
        <f t="shared" si="918"/>
        <v>1750</v>
      </c>
      <c r="CL337" s="1317" t="str">
        <f t="shared" si="918"/>
        <v/>
      </c>
      <c r="CM337" s="1316" t="str">
        <f t="shared" si="918"/>
        <v/>
      </c>
      <c r="CN337" s="538" t="str">
        <f t="shared" si="919"/>
        <v/>
      </c>
      <c r="CO337" s="539" t="str">
        <f t="shared" si="920"/>
        <v/>
      </c>
      <c r="CP337" s="539" t="str">
        <f t="shared" si="921"/>
        <v/>
      </c>
      <c r="CQ337" s="539" t="str">
        <f t="shared" si="922"/>
        <v/>
      </c>
      <c r="CR337" s="539" t="str">
        <f t="shared" si="923"/>
        <v/>
      </c>
      <c r="CS337" s="539">
        <f t="shared" si="924"/>
        <v>240</v>
      </c>
      <c r="CT337" s="540">
        <f t="shared" si="925"/>
        <v>750</v>
      </c>
      <c r="CU337" s="540">
        <f t="shared" si="926"/>
        <v>780</v>
      </c>
      <c r="CV337" s="540">
        <f t="shared" si="927"/>
        <v>825</v>
      </c>
      <c r="CW337" s="539">
        <f t="shared" si="928"/>
        <v>1500</v>
      </c>
      <c r="CX337" s="539" t="str">
        <f t="shared" si="929"/>
        <v/>
      </c>
      <c r="CY337" s="539" t="str">
        <f t="shared" si="930"/>
        <v/>
      </c>
      <c r="CZ337" s="539" t="str">
        <f t="shared" si="931"/>
        <v/>
      </c>
      <c r="DA337" s="539" t="str">
        <f t="shared" si="932"/>
        <v/>
      </c>
      <c r="DB337" s="538" t="str">
        <f t="shared" si="933"/>
        <v/>
      </c>
      <c r="DC337" s="537" t="str">
        <f t="shared" si="934"/>
        <v/>
      </c>
      <c r="DD337" s="641">
        <f t="shared" si="935"/>
        <v>5</v>
      </c>
      <c r="DE337" s="95">
        <f t="shared" si="936"/>
        <v>6</v>
      </c>
      <c r="DF337" s="95">
        <f t="shared" si="937"/>
        <v>7</v>
      </c>
      <c r="DG337" s="95">
        <f t="shared" si="938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258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4"/>
        <v>50</v>
      </c>
      <c r="CA338" s="586">
        <f t="shared" si="915"/>
        <v>20</v>
      </c>
      <c r="CB338" s="586">
        <f t="shared" si="916"/>
        <v>31.25</v>
      </c>
      <c r="CC338" s="676">
        <f t="shared" si="917"/>
        <v>3.3333333333333335</v>
      </c>
      <c r="CD338" s="1316" t="str">
        <f t="shared" si="918"/>
        <v/>
      </c>
      <c r="CE338" s="1317" t="str">
        <f t="shared" si="918"/>
        <v/>
      </c>
      <c r="CF338" s="1317">
        <f t="shared" si="918"/>
        <v>0</v>
      </c>
      <c r="CG338" s="1317">
        <f t="shared" si="918"/>
        <v>5</v>
      </c>
      <c r="CH338" s="1318">
        <f t="shared" si="918"/>
        <v>20</v>
      </c>
      <c r="CI338" s="1318">
        <f t="shared" si="918"/>
        <v>50</v>
      </c>
      <c r="CJ338" s="1317">
        <f t="shared" si="918"/>
        <v>50</v>
      </c>
      <c r="CK338" s="1317">
        <f t="shared" si="918"/>
        <v>50</v>
      </c>
      <c r="CL338" s="1317" t="str">
        <f t="shared" si="918"/>
        <v/>
      </c>
      <c r="CM338" s="1316" t="str">
        <f t="shared" si="918"/>
        <v/>
      </c>
      <c r="CN338" s="538" t="str">
        <f t="shared" si="919"/>
        <v/>
      </c>
      <c r="CO338" s="539" t="str">
        <f t="shared" si="920"/>
        <v/>
      </c>
      <c r="CP338" s="539" t="str">
        <f t="shared" si="921"/>
        <v/>
      </c>
      <c r="CQ338" s="539" t="str">
        <f t="shared" si="922"/>
        <v/>
      </c>
      <c r="CR338" s="539" t="str">
        <f t="shared" si="923"/>
        <v/>
      </c>
      <c r="CS338" s="539">
        <f t="shared" si="924"/>
        <v>0</v>
      </c>
      <c r="CT338" s="540">
        <f t="shared" si="925"/>
        <v>0</v>
      </c>
      <c r="CU338" s="540">
        <f t="shared" si="926"/>
        <v>0</v>
      </c>
      <c r="CV338" s="540">
        <f t="shared" si="927"/>
        <v>10</v>
      </c>
      <c r="CW338" s="539">
        <f t="shared" si="928"/>
        <v>150</v>
      </c>
      <c r="CX338" s="539" t="str">
        <f t="shared" si="929"/>
        <v/>
      </c>
      <c r="CY338" s="539" t="str">
        <f t="shared" si="930"/>
        <v/>
      </c>
      <c r="CZ338" s="539" t="str">
        <f t="shared" si="931"/>
        <v/>
      </c>
      <c r="DA338" s="539" t="str">
        <f t="shared" si="932"/>
        <v/>
      </c>
      <c r="DB338" s="538" t="str">
        <f t="shared" si="933"/>
        <v/>
      </c>
      <c r="DC338" s="537" t="str">
        <f t="shared" si="934"/>
        <v/>
      </c>
      <c r="DD338" s="641">
        <f t="shared" si="935"/>
        <v>3</v>
      </c>
      <c r="DE338" s="95">
        <f t="shared" si="936"/>
        <v>6</v>
      </c>
      <c r="DF338" s="95">
        <f t="shared" si="937"/>
        <v>6</v>
      </c>
      <c r="DG338" s="95">
        <f t="shared" si="938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227</v>
      </c>
      <c r="B339" s="621" t="str">
        <f t="shared" ref="B339:K339" si="947">IF(B333="","",(B333-B335-B338)*B334/B$46/365/$G$1)</f>
        <v/>
      </c>
      <c r="C339" s="621">
        <f t="shared" si="947"/>
        <v>1.9093577655221492E-2</v>
      </c>
      <c r="D339" s="621">
        <f t="shared" si="947"/>
        <v>1.8563200498132003E-2</v>
      </c>
      <c r="E339" s="621" t="str">
        <f t="shared" si="947"/>
        <v/>
      </c>
      <c r="F339" s="621" t="str">
        <f t="shared" si="947"/>
        <v/>
      </c>
      <c r="G339" s="621">
        <f t="shared" si="947"/>
        <v>2.0419520547945203E-2</v>
      </c>
      <c r="H339" s="621" t="str">
        <f t="shared" si="947"/>
        <v/>
      </c>
      <c r="I339" s="621" t="str">
        <f t="shared" si="947"/>
        <v/>
      </c>
      <c r="J339" s="621">
        <f t="shared" si="947"/>
        <v>2.9701120797011211E-2</v>
      </c>
      <c r="K339" s="621">
        <f t="shared" si="947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8">IF(T333="","",(T333-T335-T338)*T334/T$46/365/$G$1)</f>
        <v>5.9402241594022414E-3</v>
      </c>
      <c r="U339" s="621">
        <f t="shared" si="948"/>
        <v>1.4850560398505606E-2</v>
      </c>
      <c r="V339" s="621" t="str">
        <f t="shared" si="948"/>
        <v/>
      </c>
      <c r="W339" s="621" t="str">
        <f t="shared" si="948"/>
        <v/>
      </c>
      <c r="X339" s="621" t="str">
        <f t="shared" si="948"/>
        <v/>
      </c>
      <c r="Y339" s="621">
        <f t="shared" si="948"/>
        <v>1.9305728518057286E-2</v>
      </c>
      <c r="Z339" s="621" t="str">
        <f t="shared" si="948"/>
        <v/>
      </c>
      <c r="AA339" s="621">
        <f t="shared" si="948"/>
        <v>4.1581569115815689E-2</v>
      </c>
      <c r="AB339" s="621">
        <f t="shared" si="948"/>
        <v>4.6408001245330011E-2</v>
      </c>
      <c r="AC339" s="621">
        <f t="shared" si="948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9">IF(AL333="","",(AL333-AL335-AL338)*AL334/AL$46/365/$G$1)</f>
        <v>6.7888276107454196E-2</v>
      </c>
      <c r="AM339" s="621">
        <f t="shared" si="949"/>
        <v>7.2396481942714808E-2</v>
      </c>
      <c r="AN339" s="621" t="str">
        <f t="shared" si="949"/>
        <v/>
      </c>
      <c r="AO339" s="621" t="str">
        <f t="shared" si="949"/>
        <v/>
      </c>
      <c r="AP339" s="621">
        <f t="shared" si="949"/>
        <v>5.1976961394769615E-2</v>
      </c>
      <c r="AQ339" s="621">
        <f t="shared" si="949"/>
        <v>3.5641344956413454E-2</v>
      </c>
      <c r="AR339" s="621" t="str">
        <f t="shared" si="949"/>
        <v/>
      </c>
      <c r="AS339" s="621">
        <f t="shared" si="949"/>
        <v>6.3857409713574093E-2</v>
      </c>
      <c r="AT339" s="621">
        <f t="shared" si="949"/>
        <v>6.8312577833125776E-2</v>
      </c>
      <c r="AU339" s="621">
        <f t="shared" si="949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50">IF(BD333="","",(BD333-BD335-BD338)*BD334/BD$46/365/$G$1)</f>
        <v/>
      </c>
      <c r="BE339" s="621">
        <f t="shared" si="950"/>
        <v>4.6408001245330011E-2</v>
      </c>
      <c r="BF339" s="621" t="str">
        <f t="shared" si="950"/>
        <v/>
      </c>
      <c r="BG339" s="621" t="str">
        <f t="shared" si="950"/>
        <v/>
      </c>
      <c r="BH339" s="621">
        <f t="shared" si="950"/>
        <v>6.0752292539341113E-2</v>
      </c>
      <c r="BI339" s="621">
        <f t="shared" si="950"/>
        <v>6.6827521793275224E-2</v>
      </c>
      <c r="BJ339" s="621" t="str">
        <f t="shared" si="950"/>
        <v/>
      </c>
      <c r="BK339" s="621">
        <f t="shared" si="950"/>
        <v>2.9701120797011211E-2</v>
      </c>
      <c r="BL339" s="621">
        <f t="shared" si="950"/>
        <v>3.3751273632967281E-2</v>
      </c>
      <c r="BM339" s="621">
        <f t="shared" si="950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4"/>
        <v>1.9358766233766235E-2</v>
      </c>
      <c r="CA339" s="611">
        <f t="shared" si="915"/>
        <v>2.2853362391033624E-2</v>
      </c>
      <c r="CB339" s="611">
        <f t="shared" si="916"/>
        <v>5.7832325209037527E-2</v>
      </c>
      <c r="CC339" s="679">
        <f t="shared" si="917"/>
        <v>4.5835434996199326E-2</v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320">
        <f t="shared" si="951"/>
        <v>3.7126400996264006E-2</v>
      </c>
      <c r="CG339" s="1320">
        <f t="shared" si="951"/>
        <v>5.1976961394769615E-2</v>
      </c>
      <c r="CH339" s="1321">
        <f t="shared" si="951"/>
        <v>6.3857409713574093E-2</v>
      </c>
      <c r="CI339" s="1321">
        <f t="shared" si="951"/>
        <v>6.7888276107454196E-2</v>
      </c>
      <c r="CJ339" s="1320">
        <f t="shared" si="951"/>
        <v>6.8312577833125776E-2</v>
      </c>
      <c r="CK339" s="1320">
        <f t="shared" si="951"/>
        <v>7.2396481942714808E-2</v>
      </c>
      <c r="CL339" s="1320" t="str">
        <f t="shared" si="951"/>
        <v/>
      </c>
      <c r="CM339" s="1319" t="str">
        <f t="shared" si="951"/>
        <v/>
      </c>
      <c r="CN339" s="526" t="str">
        <f t="shared" si="919"/>
        <v/>
      </c>
      <c r="CO339" s="527" t="str">
        <f t="shared" si="920"/>
        <v/>
      </c>
      <c r="CP339" s="527" t="str">
        <f t="shared" si="921"/>
        <v/>
      </c>
      <c r="CQ339" s="527" t="str">
        <f t="shared" si="922"/>
        <v/>
      </c>
      <c r="CR339" s="527" t="str">
        <f t="shared" si="923"/>
        <v/>
      </c>
      <c r="CS339" s="527">
        <f t="shared" si="924"/>
        <v>2.9701120797011211E-2</v>
      </c>
      <c r="CT339" s="528">
        <f t="shared" si="925"/>
        <v>3.3751273632967281E-2</v>
      </c>
      <c r="CU339" s="528">
        <f t="shared" si="926"/>
        <v>4.2430172567158871E-2</v>
      </c>
      <c r="CV339" s="528">
        <f t="shared" si="927"/>
        <v>4.6408001245330011E-2</v>
      </c>
      <c r="CW339" s="527">
        <f t="shared" si="928"/>
        <v>6.0752292539341113E-2</v>
      </c>
      <c r="CX339" s="527">
        <f t="shared" si="929"/>
        <v>6.6827521793275224E-2</v>
      </c>
      <c r="CY339" s="527" t="str">
        <f t="shared" si="930"/>
        <v/>
      </c>
      <c r="CZ339" s="527" t="str">
        <f t="shared" si="931"/>
        <v/>
      </c>
      <c r="DA339" s="527" t="str">
        <f t="shared" si="932"/>
        <v/>
      </c>
      <c r="DB339" s="526" t="str">
        <f t="shared" si="933"/>
        <v/>
      </c>
      <c r="DC339" s="525" t="str">
        <f t="shared" si="934"/>
        <v/>
      </c>
      <c r="DD339" s="641">
        <f t="shared" si="935"/>
        <v>5</v>
      </c>
      <c r="DE339" s="95">
        <f t="shared" si="936"/>
        <v>6</v>
      </c>
      <c r="DF339" s="95">
        <f t="shared" si="937"/>
        <v>7</v>
      </c>
      <c r="DG339" s="95">
        <f t="shared" si="938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268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4"/>
        <v>4</v>
      </c>
      <c r="CA340" s="586">
        <f t="shared" si="915"/>
        <v>2.8333333333333335</v>
      </c>
      <c r="CB340" s="586">
        <f t="shared" si="916"/>
        <v>3</v>
      </c>
      <c r="CC340" s="676">
        <f t="shared" si="917"/>
        <v>4</v>
      </c>
      <c r="CD340" s="131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7" t="str">
        <f t="shared" si="951"/>
        <v/>
      </c>
      <c r="CF340" s="1317">
        <f t="shared" si="951"/>
        <v>1</v>
      </c>
      <c r="CG340" s="1317">
        <f t="shared" si="951"/>
        <v>2</v>
      </c>
      <c r="CH340" s="1318">
        <f t="shared" si="951"/>
        <v>3</v>
      </c>
      <c r="CI340" s="1318">
        <f t="shared" si="951"/>
        <v>4</v>
      </c>
      <c r="CJ340" s="1317">
        <f t="shared" si="951"/>
        <v>15</v>
      </c>
      <c r="CK340" s="1317" t="str">
        <f t="shared" si="951"/>
        <v/>
      </c>
      <c r="CL340" s="1317" t="str">
        <f t="shared" si="951"/>
        <v/>
      </c>
      <c r="CM340" s="1316" t="str">
        <f t="shared" si="951"/>
        <v/>
      </c>
      <c r="CN340" s="538" t="str">
        <f t="shared" si="919"/>
        <v/>
      </c>
      <c r="CO340" s="539" t="str">
        <f t="shared" si="920"/>
        <v/>
      </c>
      <c r="CP340" s="539" t="str">
        <f t="shared" si="921"/>
        <v/>
      </c>
      <c r="CQ340" s="539" t="str">
        <f t="shared" si="922"/>
        <v/>
      </c>
      <c r="CR340" s="539" t="str">
        <f t="shared" si="923"/>
        <v/>
      </c>
      <c r="CS340" s="539" t="str">
        <f t="shared" si="924"/>
        <v/>
      </c>
      <c r="CT340" s="540">
        <f t="shared" si="925"/>
        <v>3</v>
      </c>
      <c r="CU340" s="540">
        <f t="shared" si="926"/>
        <v>4</v>
      </c>
      <c r="CV340" s="540">
        <f t="shared" si="927"/>
        <v>4</v>
      </c>
      <c r="CW340" s="539">
        <f t="shared" si="928"/>
        <v>15</v>
      </c>
      <c r="CX340" s="539" t="str">
        <f t="shared" si="929"/>
        <v/>
      </c>
      <c r="CY340" s="539" t="str">
        <f t="shared" si="930"/>
        <v/>
      </c>
      <c r="CZ340" s="539" t="str">
        <f t="shared" si="931"/>
        <v/>
      </c>
      <c r="DA340" s="539" t="str">
        <f t="shared" si="932"/>
        <v/>
      </c>
      <c r="DB340" s="538" t="str">
        <f t="shared" si="933"/>
        <v/>
      </c>
      <c r="DC340" s="537" t="str">
        <f t="shared" si="934"/>
        <v/>
      </c>
      <c r="DD340" s="641">
        <f t="shared" si="935"/>
        <v>3</v>
      </c>
      <c r="DE340" s="95">
        <f t="shared" si="936"/>
        <v>5</v>
      </c>
      <c r="DF340" s="95">
        <f t="shared" si="937"/>
        <v>5</v>
      </c>
      <c r="DG340" s="95">
        <f t="shared" si="938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265</v>
      </c>
      <c r="B341" s="150" t="s">
        <v>267</v>
      </c>
      <c r="C341" s="150" t="s">
        <v>267</v>
      </c>
      <c r="D341" s="150" t="s">
        <v>267</v>
      </c>
      <c r="E341" s="150" t="s">
        <v>267</v>
      </c>
      <c r="F341" s="150" t="s">
        <v>267</v>
      </c>
      <c r="G341" s="150" t="s">
        <v>267</v>
      </c>
      <c r="H341" s="150" t="s">
        <v>267</v>
      </c>
      <c r="I341" s="150" t="s">
        <v>267</v>
      </c>
      <c r="J341" s="150" t="s">
        <v>267</v>
      </c>
      <c r="K341" s="150" t="s">
        <v>267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267</v>
      </c>
      <c r="U341" s="150" t="s">
        <v>267</v>
      </c>
      <c r="V341" s="150" t="s">
        <v>267</v>
      </c>
      <c r="W341" s="150" t="s">
        <v>267</v>
      </c>
      <c r="X341" s="150" t="s">
        <v>267</v>
      </c>
      <c r="Y341" s="150" t="s">
        <v>267</v>
      </c>
      <c r="Z341" s="150" t="s">
        <v>267</v>
      </c>
      <c r="AA341" s="150" t="s">
        <v>267</v>
      </c>
      <c r="AB341" s="150" t="s">
        <v>267</v>
      </c>
      <c r="AC341" s="150" t="s">
        <v>267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267</v>
      </c>
      <c r="AM341" s="150" t="s">
        <v>267</v>
      </c>
      <c r="AN341" s="150" t="s">
        <v>267</v>
      </c>
      <c r="AO341" s="150" t="s">
        <v>267</v>
      </c>
      <c r="AP341" s="150" t="s">
        <v>267</v>
      </c>
      <c r="AQ341" s="150" t="s">
        <v>267</v>
      </c>
      <c r="AR341" s="150" t="s">
        <v>267</v>
      </c>
      <c r="AS341" s="150" t="s">
        <v>267</v>
      </c>
      <c r="AT341" s="150" t="s">
        <v>267</v>
      </c>
      <c r="AU341" s="150" t="s">
        <v>267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267</v>
      </c>
      <c r="BE341" s="150" t="s">
        <v>267</v>
      </c>
      <c r="BF341" s="150" t="s">
        <v>267</v>
      </c>
      <c r="BG341" s="150" t="s">
        <v>267</v>
      </c>
      <c r="BH341" s="150" t="s">
        <v>267</v>
      </c>
      <c r="BI341" s="150" t="s">
        <v>267</v>
      </c>
      <c r="BJ341" s="150" t="s">
        <v>267</v>
      </c>
      <c r="BK341" s="150" t="s">
        <v>267</v>
      </c>
      <c r="BL341" s="150" t="s">
        <v>267</v>
      </c>
      <c r="BM341" s="150" t="s">
        <v>267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267</v>
      </c>
      <c r="BW341" s="150" t="s">
        <v>267</v>
      </c>
      <c r="BX341" s="150" t="s">
        <v>267</v>
      </c>
      <c r="BY341" s="150" t="s">
        <v>267</v>
      </c>
      <c r="BZ341" s="578"/>
      <c r="CA341" s="578"/>
      <c r="CB341" s="578"/>
      <c r="CC341" s="675"/>
      <c r="CD341" s="1338"/>
      <c r="CE341" s="1338"/>
      <c r="CF341" s="1338"/>
      <c r="CG341" s="1338"/>
      <c r="CH341" s="1338"/>
      <c r="CI341" s="1338"/>
      <c r="CJ341" s="1338"/>
      <c r="CK341" s="1338"/>
      <c r="CL341" s="1338"/>
      <c r="CM341" s="1338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266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2">IF(DD342&lt;3,"",(SUM(B342:R342)-MIN(B342:R342)-MAX(B342:R342))/(DD342-2))</f>
        <v>50</v>
      </c>
      <c r="CA342" s="586">
        <f t="shared" ref="CA342:CA350" si="953">IF(DE342&lt;3,"",(SUM(T342:AJ342)-MIN(T342:AJ342)-MAX(T342:AJ342))/(DE342-2))</f>
        <v>50</v>
      </c>
      <c r="CB342" s="586">
        <f t="shared" ref="CB342:CB350" si="954">IF(DF342&lt;3,"",(SUM(AL342:BB342)-MIN(AL342:BB342)-MAX(AL342:BB342))/(DF342-2))</f>
        <v>50</v>
      </c>
      <c r="CC342" s="676">
        <f t="shared" ref="CC342:CC350" si="955">IF(DG342&lt;3,"",(SUM(BD342:BT342)-MIN(BD342:BT342)-MAX(BD342:BT342))/(DG342-2))</f>
        <v>50</v>
      </c>
      <c r="CD342" s="1316" t="str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7" t="str">
        <f t="shared" si="956"/>
        <v/>
      </c>
      <c r="CF342" s="1317">
        <f t="shared" si="956"/>
        <v>50</v>
      </c>
      <c r="CG342" s="1317">
        <f t="shared" si="956"/>
        <v>50</v>
      </c>
      <c r="CH342" s="1318">
        <f t="shared" si="956"/>
        <v>50</v>
      </c>
      <c r="CI342" s="1318">
        <f t="shared" si="956"/>
        <v>50</v>
      </c>
      <c r="CJ342" s="1317">
        <f t="shared" si="956"/>
        <v>50</v>
      </c>
      <c r="CK342" s="1317" t="str">
        <f t="shared" si="956"/>
        <v/>
      </c>
      <c r="CL342" s="1317" t="str">
        <f t="shared" si="956"/>
        <v/>
      </c>
      <c r="CM342" s="1316" t="str">
        <f t="shared" si="956"/>
        <v/>
      </c>
      <c r="CN342" s="538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3">COUNT(B342:R342)</f>
        <v>3</v>
      </c>
      <c r="DE342" s="95">
        <f t="shared" ref="DE342:DE350" si="974">COUNT(T342:AJ342)</f>
        <v>5</v>
      </c>
      <c r="DF342" s="95">
        <f t="shared" ref="DF342:DF350" si="975">COUNT(AL342:BB342)</f>
        <v>5</v>
      </c>
      <c r="DG342" s="95">
        <f t="shared" ref="DG342:DG350" si="976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267</v>
      </c>
      <c r="B343" s="618" t="str">
        <f t="shared" ref="B343:K343" si="977">IF(B340="","",B340*B342)</f>
        <v/>
      </c>
      <c r="C343" s="618">
        <f t="shared" si="977"/>
        <v>200</v>
      </c>
      <c r="D343" s="618">
        <f t="shared" si="977"/>
        <v>300</v>
      </c>
      <c r="E343" s="618" t="str">
        <f t="shared" si="977"/>
        <v/>
      </c>
      <c r="F343" s="618" t="str">
        <f t="shared" si="977"/>
        <v/>
      </c>
      <c r="G343" s="618">
        <f t="shared" si="977"/>
        <v>150</v>
      </c>
      <c r="H343" s="618" t="str">
        <f t="shared" si="977"/>
        <v/>
      </c>
      <c r="I343" s="618" t="str">
        <f t="shared" si="977"/>
        <v/>
      </c>
      <c r="J343" s="618" t="str">
        <f t="shared" si="977"/>
        <v/>
      </c>
      <c r="K343" s="618" t="str">
        <f t="shared" si="977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8">IF(T340="","",T340*T342)</f>
        <v/>
      </c>
      <c r="U343" s="618">
        <f t="shared" si="978"/>
        <v>175</v>
      </c>
      <c r="V343" s="618">
        <f t="shared" si="978"/>
        <v>100</v>
      </c>
      <c r="W343" s="618" t="str">
        <f t="shared" si="978"/>
        <v/>
      </c>
      <c r="X343" s="618" t="str">
        <f t="shared" si="978"/>
        <v/>
      </c>
      <c r="Y343" s="618">
        <f t="shared" si="978"/>
        <v>250</v>
      </c>
      <c r="Z343" s="618" t="str">
        <f t="shared" si="978"/>
        <v/>
      </c>
      <c r="AA343" s="618">
        <f t="shared" si="978"/>
        <v>100</v>
      </c>
      <c r="AB343" s="618">
        <f t="shared" si="978"/>
        <v>150</v>
      </c>
      <c r="AC343" s="618" t="str">
        <f t="shared" si="978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9">IF(AL340="","",AL340*AL342)</f>
        <v/>
      </c>
      <c r="AM343" s="618">
        <f t="shared" si="979"/>
        <v>200</v>
      </c>
      <c r="AN343" s="618">
        <f t="shared" si="979"/>
        <v>750</v>
      </c>
      <c r="AO343" s="618" t="str">
        <f t="shared" si="979"/>
        <v/>
      </c>
      <c r="AP343" s="618">
        <f t="shared" si="979"/>
        <v>100</v>
      </c>
      <c r="AQ343" s="618">
        <f t="shared" si="979"/>
        <v>50</v>
      </c>
      <c r="AR343" s="618" t="str">
        <f t="shared" si="979"/>
        <v/>
      </c>
      <c r="AS343" s="618">
        <f t="shared" si="979"/>
        <v>150</v>
      </c>
      <c r="AT343" s="618" t="str">
        <f t="shared" si="979"/>
        <v/>
      </c>
      <c r="AU343" s="618" t="str">
        <f t="shared" si="979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80">IF(BD340="","",BD340*BD342)</f>
        <v/>
      </c>
      <c r="BE343" s="618">
        <f t="shared" si="980"/>
        <v>150</v>
      </c>
      <c r="BF343" s="618">
        <f t="shared" si="980"/>
        <v>750</v>
      </c>
      <c r="BG343" s="618" t="str">
        <f t="shared" si="980"/>
        <v/>
      </c>
      <c r="BH343" s="618">
        <f t="shared" si="980"/>
        <v>200</v>
      </c>
      <c r="BI343" s="618">
        <f t="shared" si="980"/>
        <v>200</v>
      </c>
      <c r="BJ343" s="618" t="str">
        <f t="shared" si="980"/>
        <v/>
      </c>
      <c r="BK343" s="618" t="str">
        <f t="shared" si="980"/>
        <v/>
      </c>
      <c r="BL343" s="618" t="str">
        <f t="shared" si="980"/>
        <v/>
      </c>
      <c r="BM343" s="618" t="str">
        <f t="shared" si="980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1">
        <f>IF(BV340="","",BV340*BV342)</f>
        <v>50</v>
      </c>
      <c r="BW343" s="1121">
        <f>IF(BW340="","",BW340*BW342)</f>
        <v>150</v>
      </c>
      <c r="BX343" s="1121">
        <f>IF(BX340="","",BX340*BX342)</f>
        <v>150</v>
      </c>
      <c r="BY343" s="1121">
        <f>IF(BY340="","",BY340*BY342)</f>
        <v>200</v>
      </c>
      <c r="BZ343" s="586">
        <f t="shared" si="952"/>
        <v>200</v>
      </c>
      <c r="CA343" s="586">
        <f t="shared" si="953"/>
        <v>141.66666666666666</v>
      </c>
      <c r="CB343" s="586">
        <f t="shared" si="954"/>
        <v>150</v>
      </c>
      <c r="CC343" s="676">
        <f t="shared" si="955"/>
        <v>200</v>
      </c>
      <c r="CD343" s="1316" t="str">
        <f t="shared" si="956"/>
        <v/>
      </c>
      <c r="CE343" s="1317" t="str">
        <f t="shared" si="956"/>
        <v/>
      </c>
      <c r="CF343" s="1317">
        <f t="shared" si="956"/>
        <v>50</v>
      </c>
      <c r="CG343" s="1317">
        <f t="shared" si="956"/>
        <v>100</v>
      </c>
      <c r="CH343" s="1318">
        <f t="shared" si="956"/>
        <v>150</v>
      </c>
      <c r="CI343" s="1318">
        <f t="shared" si="956"/>
        <v>200</v>
      </c>
      <c r="CJ343" s="1317">
        <f t="shared" si="956"/>
        <v>750</v>
      </c>
      <c r="CK343" s="1317" t="str">
        <f t="shared" si="956"/>
        <v/>
      </c>
      <c r="CL343" s="1317" t="str">
        <f t="shared" si="956"/>
        <v/>
      </c>
      <c r="CM343" s="1316" t="str">
        <f t="shared" si="956"/>
        <v/>
      </c>
      <c r="CN343" s="538" t="str">
        <f t="shared" si="957"/>
        <v/>
      </c>
      <c r="CO343" s="539" t="str">
        <f t="shared" si="958"/>
        <v/>
      </c>
      <c r="CP343" s="539" t="str">
        <f t="shared" si="959"/>
        <v/>
      </c>
      <c r="CQ343" s="539" t="str">
        <f t="shared" si="960"/>
        <v/>
      </c>
      <c r="CR343" s="539" t="str">
        <f t="shared" si="961"/>
        <v/>
      </c>
      <c r="CS343" s="539" t="str">
        <f t="shared" si="962"/>
        <v/>
      </c>
      <c r="CT343" s="540">
        <f t="shared" si="963"/>
        <v>150</v>
      </c>
      <c r="CU343" s="540">
        <f t="shared" si="964"/>
        <v>200</v>
      </c>
      <c r="CV343" s="540">
        <f t="shared" si="965"/>
        <v>200</v>
      </c>
      <c r="CW343" s="539">
        <f t="shared" si="966"/>
        <v>750</v>
      </c>
      <c r="CX343" s="539" t="str">
        <f t="shared" si="967"/>
        <v/>
      </c>
      <c r="CY343" s="539" t="str">
        <f t="shared" si="968"/>
        <v/>
      </c>
      <c r="CZ343" s="539" t="str">
        <f t="shared" si="969"/>
        <v/>
      </c>
      <c r="DA343" s="539" t="str">
        <f t="shared" si="970"/>
        <v/>
      </c>
      <c r="DB343" s="538" t="str">
        <f t="shared" si="971"/>
        <v/>
      </c>
      <c r="DC343" s="537" t="str">
        <f t="shared" si="972"/>
        <v/>
      </c>
      <c r="DD343" s="641">
        <f t="shared" si="973"/>
        <v>3</v>
      </c>
      <c r="DE343" s="95">
        <f t="shared" si="974"/>
        <v>5</v>
      </c>
      <c r="DF343" s="95">
        <f t="shared" si="975"/>
        <v>5</v>
      </c>
      <c r="DG343" s="95">
        <f t="shared" si="976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260</v>
      </c>
      <c r="B344" s="690">
        <f>5790*$K$1</f>
        <v>24241.572</v>
      </c>
      <c r="C344" s="690">
        <f t="shared" ref="C344:K344" si="981">5790*$K$1</f>
        <v>24241.572</v>
      </c>
      <c r="D344" s="690">
        <f t="shared" si="981"/>
        <v>24241.572</v>
      </c>
      <c r="E344" s="690">
        <f t="shared" si="981"/>
        <v>24241.572</v>
      </c>
      <c r="F344" s="690">
        <f t="shared" si="981"/>
        <v>24241.572</v>
      </c>
      <c r="G344" s="690">
        <f t="shared" si="981"/>
        <v>24241.572</v>
      </c>
      <c r="H344" s="690">
        <f t="shared" si="981"/>
        <v>24241.572</v>
      </c>
      <c r="I344" s="690">
        <f t="shared" si="981"/>
        <v>24241.572</v>
      </c>
      <c r="J344" s="690">
        <f t="shared" si="981"/>
        <v>24241.572</v>
      </c>
      <c r="K344" s="690">
        <f t="shared" si="981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2">5790*$K$1</f>
        <v>24241.572</v>
      </c>
      <c r="V344" s="690">
        <f t="shared" si="982"/>
        <v>24241.572</v>
      </c>
      <c r="W344" s="690">
        <f t="shared" si="982"/>
        <v>24241.572</v>
      </c>
      <c r="X344" s="690">
        <f t="shared" si="982"/>
        <v>24241.572</v>
      </c>
      <c r="Y344" s="690">
        <f t="shared" si="982"/>
        <v>24241.572</v>
      </c>
      <c r="Z344" s="690">
        <f t="shared" si="982"/>
        <v>24241.572</v>
      </c>
      <c r="AA344" s="690">
        <f t="shared" si="982"/>
        <v>24241.572</v>
      </c>
      <c r="AB344" s="690">
        <f t="shared" si="982"/>
        <v>24241.572</v>
      </c>
      <c r="AC344" s="690">
        <f t="shared" si="982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3">5790*$K$1</f>
        <v>24241.572</v>
      </c>
      <c r="AN344" s="690">
        <f t="shared" si="983"/>
        <v>24241.572</v>
      </c>
      <c r="AO344" s="690">
        <f t="shared" si="983"/>
        <v>24241.572</v>
      </c>
      <c r="AP344" s="690">
        <f t="shared" si="983"/>
        <v>24241.572</v>
      </c>
      <c r="AQ344" s="690">
        <f t="shared" si="983"/>
        <v>24241.572</v>
      </c>
      <c r="AR344" s="690">
        <f t="shared" si="983"/>
        <v>24241.572</v>
      </c>
      <c r="AS344" s="690">
        <f t="shared" si="983"/>
        <v>24241.572</v>
      </c>
      <c r="AT344" s="690">
        <f t="shared" si="983"/>
        <v>24241.572</v>
      </c>
      <c r="AU344" s="690">
        <f t="shared" si="983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4">5790*$K$1</f>
        <v>24241.572</v>
      </c>
      <c r="BF344" s="690">
        <f t="shared" si="984"/>
        <v>24241.572</v>
      </c>
      <c r="BG344" s="690">
        <f t="shared" si="984"/>
        <v>24241.572</v>
      </c>
      <c r="BH344" s="690">
        <f t="shared" si="984"/>
        <v>24241.572</v>
      </c>
      <c r="BI344" s="690">
        <f t="shared" si="984"/>
        <v>24241.572</v>
      </c>
      <c r="BJ344" s="690">
        <f t="shared" si="984"/>
        <v>24241.572</v>
      </c>
      <c r="BK344" s="690">
        <f t="shared" si="984"/>
        <v>24241.572</v>
      </c>
      <c r="BL344" s="690">
        <f t="shared" si="984"/>
        <v>24241.572</v>
      </c>
      <c r="BM344" s="690">
        <f t="shared" si="984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4"/>
        <v>24241.572</v>
      </c>
      <c r="BW344" s="690">
        <f t="shared" si="984"/>
        <v>24241.572</v>
      </c>
      <c r="BX344" s="690">
        <f t="shared" si="984"/>
        <v>24241.572</v>
      </c>
      <c r="BY344" s="690">
        <f t="shared" si="984"/>
        <v>24241.572</v>
      </c>
      <c r="BZ344" s="586">
        <f t="shared" si="952"/>
        <v>24241.572</v>
      </c>
      <c r="CA344" s="586">
        <f t="shared" si="953"/>
        <v>24241.572</v>
      </c>
      <c r="CB344" s="586">
        <f t="shared" si="954"/>
        <v>24241.572</v>
      </c>
      <c r="CC344" s="676">
        <f t="shared" si="955"/>
        <v>24241.572</v>
      </c>
      <c r="CD344" s="1316">
        <f t="shared" si="956"/>
        <v>24241.572</v>
      </c>
      <c r="CE344" s="1317">
        <f t="shared" si="956"/>
        <v>24241.572</v>
      </c>
      <c r="CF344" s="1317">
        <f t="shared" si="956"/>
        <v>24241.572</v>
      </c>
      <c r="CG344" s="1317">
        <f t="shared" si="956"/>
        <v>24241.572</v>
      </c>
      <c r="CH344" s="1318">
        <f t="shared" si="956"/>
        <v>24241.572</v>
      </c>
      <c r="CI344" s="1318">
        <f t="shared" si="956"/>
        <v>24241.572</v>
      </c>
      <c r="CJ344" s="1317">
        <f t="shared" si="956"/>
        <v>24241.572</v>
      </c>
      <c r="CK344" s="1317">
        <f t="shared" si="956"/>
        <v>24241.572</v>
      </c>
      <c r="CL344" s="1317">
        <f t="shared" si="956"/>
        <v>24241.572</v>
      </c>
      <c r="CM344" s="1316">
        <f t="shared" si="956"/>
        <v>24241.572</v>
      </c>
      <c r="CN344" s="538" t="str">
        <f t="shared" si="957"/>
        <v/>
      </c>
      <c r="CO344" s="539" t="str">
        <f t="shared" si="958"/>
        <v/>
      </c>
      <c r="CP344" s="539" t="str">
        <f t="shared" si="959"/>
        <v/>
      </c>
      <c r="CQ344" s="539">
        <f t="shared" si="960"/>
        <v>24241.572</v>
      </c>
      <c r="CR344" s="539">
        <f t="shared" si="961"/>
        <v>24241.572</v>
      </c>
      <c r="CS344" s="539">
        <f t="shared" si="962"/>
        <v>24241.572</v>
      </c>
      <c r="CT344" s="540">
        <f t="shared" si="963"/>
        <v>24241.572</v>
      </c>
      <c r="CU344" s="540">
        <f t="shared" si="964"/>
        <v>24241.572</v>
      </c>
      <c r="CV344" s="540">
        <f t="shared" si="965"/>
        <v>24241.572</v>
      </c>
      <c r="CW344" s="539">
        <f t="shared" si="966"/>
        <v>24241.572</v>
      </c>
      <c r="CX344" s="539">
        <f t="shared" si="967"/>
        <v>24241.572</v>
      </c>
      <c r="CY344" s="539">
        <f t="shared" si="968"/>
        <v>24241.572</v>
      </c>
      <c r="CZ344" s="539">
        <f t="shared" si="969"/>
        <v>24241.572</v>
      </c>
      <c r="DA344" s="539" t="str">
        <f t="shared" si="970"/>
        <v/>
      </c>
      <c r="DB344" s="538" t="str">
        <f t="shared" si="971"/>
        <v/>
      </c>
      <c r="DC344" s="537" t="str">
        <f t="shared" si="972"/>
        <v/>
      </c>
      <c r="DD344" s="641">
        <f t="shared" si="973"/>
        <v>10</v>
      </c>
      <c r="DE344" s="95">
        <f t="shared" si="974"/>
        <v>10</v>
      </c>
      <c r="DF344" s="95">
        <f t="shared" si="975"/>
        <v>10</v>
      </c>
      <c r="DG344" s="95">
        <f t="shared" si="976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257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2"/>
        <v/>
      </c>
      <c r="CA345" s="586">
        <f t="shared" si="953"/>
        <v>50</v>
      </c>
      <c r="CB345" s="586">
        <f t="shared" si="954"/>
        <v>10</v>
      </c>
      <c r="CC345" s="676">
        <f t="shared" si="955"/>
        <v>60</v>
      </c>
      <c r="CD345" s="1316" t="str">
        <f t="shared" si="956"/>
        <v/>
      </c>
      <c r="CE345" s="1317" t="str">
        <f t="shared" si="956"/>
        <v/>
      </c>
      <c r="CF345" s="1317" t="str">
        <f t="shared" si="956"/>
        <v/>
      </c>
      <c r="CG345" s="1317">
        <f t="shared" si="956"/>
        <v>0</v>
      </c>
      <c r="CH345" s="1318">
        <f t="shared" si="956"/>
        <v>10</v>
      </c>
      <c r="CI345" s="1318">
        <f t="shared" si="956"/>
        <v>600</v>
      </c>
      <c r="CJ345" s="1317" t="str">
        <f t="shared" si="956"/>
        <v/>
      </c>
      <c r="CK345" s="1317" t="str">
        <f t="shared" si="956"/>
        <v/>
      </c>
      <c r="CL345" s="1317" t="str">
        <f t="shared" si="956"/>
        <v/>
      </c>
      <c r="CM345" s="1316" t="str">
        <f t="shared" si="956"/>
        <v/>
      </c>
      <c r="CN345" s="538" t="str">
        <f t="shared" si="957"/>
        <v/>
      </c>
      <c r="CO345" s="539" t="str">
        <f t="shared" si="958"/>
        <v/>
      </c>
      <c r="CP345" s="539" t="str">
        <f t="shared" si="959"/>
        <v/>
      </c>
      <c r="CQ345" s="539" t="str">
        <f t="shared" si="960"/>
        <v/>
      </c>
      <c r="CR345" s="539" t="str">
        <f t="shared" si="961"/>
        <v/>
      </c>
      <c r="CS345" s="539" t="str">
        <f t="shared" si="962"/>
        <v/>
      </c>
      <c r="CT345" s="540">
        <f t="shared" si="963"/>
        <v>0</v>
      </c>
      <c r="CU345" s="540">
        <f t="shared" si="964"/>
        <v>60</v>
      </c>
      <c r="CV345" s="540">
        <f t="shared" si="965"/>
        <v>60</v>
      </c>
      <c r="CW345" s="539">
        <f t="shared" si="966"/>
        <v>500</v>
      </c>
      <c r="CX345" s="539" t="str">
        <f t="shared" si="967"/>
        <v/>
      </c>
      <c r="CY345" s="539" t="str">
        <f t="shared" si="968"/>
        <v/>
      </c>
      <c r="CZ345" s="539" t="str">
        <f t="shared" si="969"/>
        <v/>
      </c>
      <c r="DA345" s="539" t="str">
        <f t="shared" si="970"/>
        <v/>
      </c>
      <c r="DB345" s="538" t="str">
        <f t="shared" si="971"/>
        <v/>
      </c>
      <c r="DC345" s="537" t="str">
        <f t="shared" si="972"/>
        <v/>
      </c>
      <c r="DD345" s="641">
        <f t="shared" si="973"/>
        <v>2</v>
      </c>
      <c r="DE345" s="95">
        <f t="shared" si="974"/>
        <v>3</v>
      </c>
      <c r="DF345" s="95">
        <f t="shared" si="975"/>
        <v>3</v>
      </c>
      <c r="DG345" s="95">
        <f t="shared" si="976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181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2"/>
        <v/>
      </c>
      <c r="CA346" s="586">
        <f t="shared" si="953"/>
        <v>15</v>
      </c>
      <c r="CB346" s="586" t="str">
        <f t="shared" si="954"/>
        <v/>
      </c>
      <c r="CC346" s="676">
        <f t="shared" si="955"/>
        <v>25</v>
      </c>
      <c r="CD346" s="1316" t="str">
        <f t="shared" si="956"/>
        <v/>
      </c>
      <c r="CE346" s="1317" t="str">
        <f t="shared" si="956"/>
        <v/>
      </c>
      <c r="CF346" s="1317" t="str">
        <f t="shared" si="956"/>
        <v/>
      </c>
      <c r="CG346" s="1317" t="str">
        <f t="shared" si="956"/>
        <v/>
      </c>
      <c r="CH346" s="1318">
        <f t="shared" si="956"/>
        <v>5</v>
      </c>
      <c r="CI346" s="1318" t="str">
        <f t="shared" si="956"/>
        <v/>
      </c>
      <c r="CJ346" s="1317" t="str">
        <f t="shared" si="956"/>
        <v/>
      </c>
      <c r="CK346" s="1317" t="str">
        <f t="shared" si="956"/>
        <v/>
      </c>
      <c r="CL346" s="1317" t="str">
        <f t="shared" si="956"/>
        <v/>
      </c>
      <c r="CM346" s="1316" t="str">
        <f t="shared" si="956"/>
        <v/>
      </c>
      <c r="CN346" s="538" t="str">
        <f t="shared" si="957"/>
        <v/>
      </c>
      <c r="CO346" s="539" t="str">
        <f t="shared" si="958"/>
        <v/>
      </c>
      <c r="CP346" s="539" t="str">
        <f t="shared" si="959"/>
        <v/>
      </c>
      <c r="CQ346" s="539" t="str">
        <f t="shared" si="960"/>
        <v/>
      </c>
      <c r="CR346" s="539" t="str">
        <f t="shared" si="961"/>
        <v/>
      </c>
      <c r="CS346" s="539" t="str">
        <f t="shared" si="962"/>
        <v/>
      </c>
      <c r="CT346" s="540">
        <f t="shared" si="963"/>
        <v>7</v>
      </c>
      <c r="CU346" s="540">
        <f t="shared" si="964"/>
        <v>25</v>
      </c>
      <c r="CV346" s="540">
        <f t="shared" si="965"/>
        <v>25</v>
      </c>
      <c r="CW346" s="539" t="str">
        <f t="shared" si="966"/>
        <v/>
      </c>
      <c r="CX346" s="539" t="str">
        <f t="shared" si="967"/>
        <v/>
      </c>
      <c r="CY346" s="539" t="str">
        <f t="shared" si="968"/>
        <v/>
      </c>
      <c r="CZ346" s="539" t="str">
        <f t="shared" si="969"/>
        <v/>
      </c>
      <c r="DA346" s="539" t="str">
        <f t="shared" si="970"/>
        <v/>
      </c>
      <c r="DB346" s="538" t="str">
        <f t="shared" si="971"/>
        <v/>
      </c>
      <c r="DC346" s="537" t="str">
        <f t="shared" si="972"/>
        <v/>
      </c>
      <c r="DD346" s="641">
        <f t="shared" si="973"/>
        <v>2</v>
      </c>
      <c r="DE346" s="95">
        <f t="shared" si="974"/>
        <v>3</v>
      </c>
      <c r="DF346" s="95">
        <f t="shared" si="975"/>
        <v>1</v>
      </c>
      <c r="DG346" s="95">
        <f t="shared" si="976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183</v>
      </c>
      <c r="B347" s="618" t="str">
        <f t="shared" ref="B347:K347" si="985">IF(B345="","",B345*B346)</f>
        <v/>
      </c>
      <c r="C347" s="618">
        <f t="shared" si="985"/>
        <v>1400</v>
      </c>
      <c r="D347" s="618">
        <f t="shared" si="985"/>
        <v>1050</v>
      </c>
      <c r="E347" s="618" t="str">
        <f t="shared" si="985"/>
        <v/>
      </c>
      <c r="F347" s="618" t="str">
        <f t="shared" si="985"/>
        <v/>
      </c>
      <c r="G347" s="618" t="str">
        <f t="shared" si="985"/>
        <v/>
      </c>
      <c r="H347" s="618" t="str">
        <f t="shared" si="985"/>
        <v/>
      </c>
      <c r="I347" s="618" t="str">
        <f t="shared" si="985"/>
        <v/>
      </c>
      <c r="J347" s="618" t="str">
        <f t="shared" si="985"/>
        <v/>
      </c>
      <c r="K347" s="618" t="str">
        <f t="shared" si="985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6">IF(T345="","",T345*T346)</f>
        <v/>
      </c>
      <c r="U347" s="618">
        <f t="shared" si="986"/>
        <v>450</v>
      </c>
      <c r="V347" s="618" t="str">
        <f t="shared" si="986"/>
        <v/>
      </c>
      <c r="W347" s="618" t="str">
        <f t="shared" si="986"/>
        <v/>
      </c>
      <c r="X347" s="618" t="str">
        <f t="shared" si="986"/>
        <v/>
      </c>
      <c r="Y347" s="618" t="str">
        <f t="shared" si="986"/>
        <v/>
      </c>
      <c r="Z347" s="618" t="str">
        <f t="shared" si="986"/>
        <v/>
      </c>
      <c r="AA347" s="618">
        <f t="shared" si="986"/>
        <v>225</v>
      </c>
      <c r="AB347" s="618">
        <f t="shared" si="986"/>
        <v>750</v>
      </c>
      <c r="AC347" s="618" t="str">
        <f t="shared" si="986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7">IF(AL345="","",AL345*AL346)</f>
        <v/>
      </c>
      <c r="AM347" s="618">
        <f t="shared" si="987"/>
        <v>0</v>
      </c>
      <c r="AN347" s="618">
        <f t="shared" si="987"/>
        <v>0</v>
      </c>
      <c r="AO347" s="618" t="str">
        <f t="shared" si="987"/>
        <v/>
      </c>
      <c r="AP347" s="618" t="str">
        <f t="shared" si="987"/>
        <v/>
      </c>
      <c r="AQ347" s="618">
        <f t="shared" si="987"/>
        <v>50</v>
      </c>
      <c r="AR347" s="618" t="str">
        <f t="shared" si="987"/>
        <v/>
      </c>
      <c r="AS347" s="618" t="str">
        <f t="shared" si="987"/>
        <v/>
      </c>
      <c r="AT347" s="618" t="str">
        <f t="shared" si="987"/>
        <v/>
      </c>
      <c r="AU347" s="618" t="str">
        <f t="shared" si="987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8">IF(BD345="","",BD345*BD346)</f>
        <v/>
      </c>
      <c r="BE347" s="618">
        <f t="shared" si="988"/>
        <v>0</v>
      </c>
      <c r="BF347" s="618">
        <f t="shared" si="988"/>
        <v>3500</v>
      </c>
      <c r="BG347" s="618" t="str">
        <f t="shared" si="988"/>
        <v/>
      </c>
      <c r="BH347" s="618">
        <f t="shared" si="988"/>
        <v>1500</v>
      </c>
      <c r="BI347" s="618">
        <f t="shared" si="988"/>
        <v>1500</v>
      </c>
      <c r="BJ347" s="618" t="str">
        <f t="shared" si="988"/>
        <v/>
      </c>
      <c r="BK347" s="618" t="str">
        <f t="shared" si="988"/>
        <v/>
      </c>
      <c r="BL347" s="618" t="str">
        <f t="shared" si="988"/>
        <v/>
      </c>
      <c r="BM347" s="618" t="str">
        <f t="shared" si="988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2"/>
        <v/>
      </c>
      <c r="CA347" s="586">
        <f t="shared" si="953"/>
        <v>450</v>
      </c>
      <c r="CB347" s="586">
        <f t="shared" si="954"/>
        <v>0</v>
      </c>
      <c r="CC347" s="676">
        <f t="shared" si="955"/>
        <v>1500</v>
      </c>
      <c r="CD347" s="1316" t="str">
        <f t="shared" si="956"/>
        <v/>
      </c>
      <c r="CE347" s="1317" t="str">
        <f t="shared" si="956"/>
        <v/>
      </c>
      <c r="CF347" s="1317" t="str">
        <f t="shared" si="956"/>
        <v/>
      </c>
      <c r="CG347" s="1317">
        <f t="shared" si="956"/>
        <v>0</v>
      </c>
      <c r="CH347" s="1318">
        <f t="shared" si="956"/>
        <v>0</v>
      </c>
      <c r="CI347" s="1318">
        <f t="shared" si="956"/>
        <v>50</v>
      </c>
      <c r="CJ347" s="1317" t="str">
        <f t="shared" si="956"/>
        <v/>
      </c>
      <c r="CK347" s="1317" t="str">
        <f t="shared" si="956"/>
        <v/>
      </c>
      <c r="CL347" s="1317" t="str">
        <f t="shared" si="956"/>
        <v/>
      </c>
      <c r="CM347" s="1316" t="str">
        <f t="shared" si="956"/>
        <v/>
      </c>
      <c r="CN347" s="538" t="str">
        <f t="shared" si="957"/>
        <v/>
      </c>
      <c r="CO347" s="539" t="str">
        <f t="shared" si="958"/>
        <v/>
      </c>
      <c r="CP347" s="539" t="str">
        <f t="shared" si="959"/>
        <v/>
      </c>
      <c r="CQ347" s="539" t="str">
        <f t="shared" si="960"/>
        <v/>
      </c>
      <c r="CR347" s="539" t="str">
        <f t="shared" si="961"/>
        <v/>
      </c>
      <c r="CS347" s="539" t="str">
        <f t="shared" si="962"/>
        <v/>
      </c>
      <c r="CT347" s="540">
        <f t="shared" si="963"/>
        <v>0</v>
      </c>
      <c r="CU347" s="540">
        <f t="shared" si="964"/>
        <v>1500</v>
      </c>
      <c r="CV347" s="540">
        <f t="shared" si="965"/>
        <v>1500</v>
      </c>
      <c r="CW347" s="539">
        <f t="shared" si="966"/>
        <v>3500</v>
      </c>
      <c r="CX347" s="539" t="str">
        <f t="shared" si="967"/>
        <v/>
      </c>
      <c r="CY347" s="539" t="str">
        <f t="shared" si="968"/>
        <v/>
      </c>
      <c r="CZ347" s="539" t="str">
        <f t="shared" si="969"/>
        <v/>
      </c>
      <c r="DA347" s="539" t="str">
        <f t="shared" si="970"/>
        <v/>
      </c>
      <c r="DB347" s="538" t="str">
        <f t="shared" si="971"/>
        <v/>
      </c>
      <c r="DC347" s="537" t="str">
        <f t="shared" si="972"/>
        <v/>
      </c>
      <c r="DD347" s="641">
        <f t="shared" si="973"/>
        <v>2</v>
      </c>
      <c r="DE347" s="95">
        <f t="shared" si="974"/>
        <v>3</v>
      </c>
      <c r="DF347" s="95">
        <f t="shared" si="975"/>
        <v>3</v>
      </c>
      <c r="DG347" s="95">
        <f t="shared" si="976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258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2"/>
        <v>50</v>
      </c>
      <c r="CA348" s="586">
        <f t="shared" si="953"/>
        <v>50</v>
      </c>
      <c r="CB348" s="586">
        <f t="shared" si="954"/>
        <v>50</v>
      </c>
      <c r="CC348" s="676" t="str">
        <f t="shared" si="955"/>
        <v/>
      </c>
      <c r="CD348" s="1316" t="str">
        <f t="shared" si="956"/>
        <v/>
      </c>
      <c r="CE348" s="1317" t="str">
        <f t="shared" si="956"/>
        <v/>
      </c>
      <c r="CF348" s="1317" t="str">
        <f t="shared" si="956"/>
        <v/>
      </c>
      <c r="CG348" s="1317">
        <f t="shared" si="956"/>
        <v>20</v>
      </c>
      <c r="CH348" s="1318">
        <f t="shared" si="956"/>
        <v>50</v>
      </c>
      <c r="CI348" s="1318">
        <f t="shared" si="956"/>
        <v>50</v>
      </c>
      <c r="CJ348" s="1317">
        <f t="shared" si="956"/>
        <v>100</v>
      </c>
      <c r="CK348" s="1317" t="str">
        <f t="shared" si="956"/>
        <v/>
      </c>
      <c r="CL348" s="1317" t="str">
        <f t="shared" si="956"/>
        <v/>
      </c>
      <c r="CM348" s="1316" t="str">
        <f t="shared" si="956"/>
        <v/>
      </c>
      <c r="CN348" s="538" t="str">
        <f t="shared" si="957"/>
        <v/>
      </c>
      <c r="CO348" s="539" t="str">
        <f t="shared" si="958"/>
        <v/>
      </c>
      <c r="CP348" s="539" t="str">
        <f t="shared" si="959"/>
        <v/>
      </c>
      <c r="CQ348" s="539" t="str">
        <f t="shared" si="960"/>
        <v/>
      </c>
      <c r="CR348" s="539" t="str">
        <f t="shared" si="961"/>
        <v/>
      </c>
      <c r="CS348" s="539" t="str">
        <f t="shared" si="962"/>
        <v/>
      </c>
      <c r="CT348" s="540" t="str">
        <f t="shared" si="963"/>
        <v/>
      </c>
      <c r="CU348" s="540">
        <f t="shared" si="964"/>
        <v>0</v>
      </c>
      <c r="CV348" s="540">
        <f t="shared" si="965"/>
        <v>15</v>
      </c>
      <c r="CW348" s="539" t="str">
        <f t="shared" si="966"/>
        <v/>
      </c>
      <c r="CX348" s="539" t="str">
        <f t="shared" si="967"/>
        <v/>
      </c>
      <c r="CY348" s="539" t="str">
        <f t="shared" si="968"/>
        <v/>
      </c>
      <c r="CZ348" s="539" t="str">
        <f t="shared" si="969"/>
        <v/>
      </c>
      <c r="DA348" s="539" t="str">
        <f t="shared" si="970"/>
        <v/>
      </c>
      <c r="DB348" s="538" t="str">
        <f t="shared" si="971"/>
        <v/>
      </c>
      <c r="DC348" s="537" t="str">
        <f t="shared" si="972"/>
        <v/>
      </c>
      <c r="DD348" s="641">
        <f t="shared" si="973"/>
        <v>3</v>
      </c>
      <c r="DE348" s="95">
        <f t="shared" si="974"/>
        <v>5</v>
      </c>
      <c r="DF348" s="95">
        <f t="shared" si="975"/>
        <v>4</v>
      </c>
      <c r="DG348" s="95">
        <f t="shared" si="976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227</v>
      </c>
      <c r="B349" s="621" t="str">
        <f t="shared" ref="B349:K349" si="989">IF(B343="","",(B343-B345-B348)*B344/B$46/365/$G$1)</f>
        <v/>
      </c>
      <c r="C349" s="621">
        <f t="shared" si="989"/>
        <v>5.390849492972781E-2</v>
      </c>
      <c r="D349" s="621">
        <f t="shared" si="989"/>
        <v>9.4339866127023678E-2</v>
      </c>
      <c r="E349" s="621" t="str">
        <f t="shared" si="989"/>
        <v/>
      </c>
      <c r="F349" s="621" t="str">
        <f t="shared" si="989"/>
        <v/>
      </c>
      <c r="G349" s="621">
        <f t="shared" si="989"/>
        <v>9.4339866127023678E-2</v>
      </c>
      <c r="H349" s="621" t="str">
        <f t="shared" si="989"/>
        <v/>
      </c>
      <c r="I349" s="621" t="str">
        <f t="shared" si="989"/>
        <v/>
      </c>
      <c r="J349" s="621" t="str">
        <f t="shared" si="989"/>
        <v/>
      </c>
      <c r="K349" s="621" t="str">
        <f t="shared" si="989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90">IF(T343="","",(T343-T345-T348)*T344/T$46/365/$G$1)</f>
        <v/>
      </c>
      <c r="U349" s="621">
        <f t="shared" si="990"/>
        <v>8.0862742394591708E-2</v>
      </c>
      <c r="V349" s="621">
        <f t="shared" si="990"/>
        <v>4.19288293897883E-2</v>
      </c>
      <c r="W349" s="621" t="str">
        <f t="shared" si="990"/>
        <v/>
      </c>
      <c r="X349" s="621" t="str">
        <f t="shared" si="990"/>
        <v/>
      </c>
      <c r="Y349" s="621">
        <f t="shared" si="990"/>
        <v>0.13584940722291405</v>
      </c>
      <c r="Z349" s="621" t="str">
        <f t="shared" si="990"/>
        <v/>
      </c>
      <c r="AA349" s="621">
        <f t="shared" si="990"/>
        <v>6.037751432129515E-2</v>
      </c>
      <c r="AB349" s="621">
        <f t="shared" si="990"/>
        <v>4.7169933063511839E-2</v>
      </c>
      <c r="AC349" s="621" t="str">
        <f t="shared" si="990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91">IF(AL343="","",(AL343-AL345-AL348)*AL344/AL$46/365/$G$1)</f>
        <v/>
      </c>
      <c r="AM349" s="621">
        <f t="shared" si="991"/>
        <v>0.1415097991905355</v>
      </c>
      <c r="AN349" s="621">
        <f t="shared" si="991"/>
        <v>7.5471892901618945E-2</v>
      </c>
      <c r="AO349" s="621" t="str">
        <f t="shared" si="991"/>
        <v/>
      </c>
      <c r="AP349" s="621">
        <f t="shared" si="991"/>
        <v>6.037751432129515E-2</v>
      </c>
      <c r="AQ349" s="621">
        <f t="shared" si="991"/>
        <v>6.037751432129515E-2</v>
      </c>
      <c r="AR349" s="621" t="str">
        <f t="shared" si="991"/>
        <v/>
      </c>
      <c r="AS349" s="621">
        <f t="shared" si="991"/>
        <v>7.5471892901618945E-2</v>
      </c>
      <c r="AT349" s="621" t="str">
        <f t="shared" si="991"/>
        <v/>
      </c>
      <c r="AU349" s="621" t="str">
        <f t="shared" si="991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2">IF(BD343="","",(BD343-BD345-BD348)*BD344/BD$46/365/$G$1)</f>
        <v/>
      </c>
      <c r="BE349" s="621">
        <f t="shared" si="992"/>
        <v>0.1415097991905355</v>
      </c>
      <c r="BF349" s="621">
        <f t="shared" si="992"/>
        <v>0.15723311021170611</v>
      </c>
      <c r="BG349" s="621" t="str">
        <f t="shared" si="992"/>
        <v/>
      </c>
      <c r="BH349" s="621">
        <f t="shared" si="992"/>
        <v>8.5763514660930615E-2</v>
      </c>
      <c r="BI349" s="621">
        <f t="shared" si="992"/>
        <v>0.10566065006226651</v>
      </c>
      <c r="BJ349" s="621" t="str">
        <f t="shared" si="992"/>
        <v/>
      </c>
      <c r="BK349" s="621" t="str">
        <f t="shared" si="992"/>
        <v/>
      </c>
      <c r="BL349" s="621" t="str">
        <f t="shared" si="992"/>
        <v/>
      </c>
      <c r="BM349" s="621" t="str">
        <f t="shared" si="992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2"/>
        <v>9.433986612702365E-2</v>
      </c>
      <c r="CA349" s="611">
        <f t="shared" si="953"/>
        <v>6.2803396593132901E-2</v>
      </c>
      <c r="CB349" s="611">
        <f t="shared" si="954"/>
        <v>7.0440433374844333E-2</v>
      </c>
      <c r="CC349" s="679">
        <f t="shared" si="955"/>
        <v>0.12358522462640098</v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>
        <f t="shared" si="993"/>
        <v>6.037751432129515E-2</v>
      </c>
      <c r="CG349" s="1320">
        <f t="shared" si="993"/>
        <v>6.037751432129515E-2</v>
      </c>
      <c r="CH349" s="1321">
        <f t="shared" si="993"/>
        <v>7.5471892901618945E-2</v>
      </c>
      <c r="CI349" s="1321">
        <f t="shared" si="993"/>
        <v>7.5471892901618945E-2</v>
      </c>
      <c r="CJ349" s="1320">
        <f t="shared" si="993"/>
        <v>0.1415097991905355</v>
      </c>
      <c r="CK349" s="1320" t="str">
        <f t="shared" si="993"/>
        <v/>
      </c>
      <c r="CL349" s="1320" t="str">
        <f t="shared" si="993"/>
        <v/>
      </c>
      <c r="CM349" s="1319" t="str">
        <f t="shared" si="993"/>
        <v/>
      </c>
      <c r="CN349" s="526" t="str">
        <f t="shared" si="957"/>
        <v/>
      </c>
      <c r="CO349" s="527" t="str">
        <f t="shared" si="958"/>
        <v/>
      </c>
      <c r="CP349" s="527" t="str">
        <f t="shared" si="959"/>
        <v/>
      </c>
      <c r="CQ349" s="527" t="str">
        <f t="shared" si="960"/>
        <v/>
      </c>
      <c r="CR349" s="527" t="str">
        <f t="shared" si="961"/>
        <v/>
      </c>
      <c r="CS349" s="527" t="str">
        <f t="shared" si="962"/>
        <v/>
      </c>
      <c r="CT349" s="528">
        <f t="shared" si="963"/>
        <v>8.5763514660930615E-2</v>
      </c>
      <c r="CU349" s="528">
        <f t="shared" si="964"/>
        <v>0.10566065006226651</v>
      </c>
      <c r="CV349" s="528">
        <f t="shared" si="965"/>
        <v>0.1415097991905355</v>
      </c>
      <c r="CW349" s="527">
        <f t="shared" si="966"/>
        <v>0.15723311021170611</v>
      </c>
      <c r="CX349" s="527" t="str">
        <f t="shared" si="967"/>
        <v/>
      </c>
      <c r="CY349" s="527" t="str">
        <f t="shared" si="968"/>
        <v/>
      </c>
      <c r="CZ349" s="527" t="str">
        <f t="shared" si="969"/>
        <v/>
      </c>
      <c r="DA349" s="527" t="str">
        <f t="shared" si="970"/>
        <v/>
      </c>
      <c r="DB349" s="526" t="str">
        <f t="shared" si="971"/>
        <v/>
      </c>
      <c r="DC349" s="525" t="str">
        <f t="shared" si="972"/>
        <v/>
      </c>
      <c r="DD349" s="641">
        <f t="shared" si="973"/>
        <v>3</v>
      </c>
      <c r="DE349" s="95">
        <f t="shared" si="974"/>
        <v>5</v>
      </c>
      <c r="DF349" s="95">
        <f t="shared" si="975"/>
        <v>5</v>
      </c>
      <c r="DG349" s="95">
        <f t="shared" si="976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2"/>
        <v/>
      </c>
      <c r="CA350" s="586" t="str">
        <f t="shared" si="953"/>
        <v/>
      </c>
      <c r="CB350" s="586" t="str">
        <f t="shared" si="954"/>
        <v/>
      </c>
      <c r="CC350" s="676" t="str">
        <f t="shared" si="955"/>
        <v/>
      </c>
      <c r="CD350" s="131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7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7" t="str">
        <f t="shared" si="994"/>
        <v/>
      </c>
      <c r="CG350" s="1317" t="str">
        <f t="shared" si="994"/>
        <v/>
      </c>
      <c r="CH350" s="1318" t="str">
        <f t="shared" si="994"/>
        <v/>
      </c>
      <c r="CI350" s="1318" t="str">
        <f t="shared" si="994"/>
        <v/>
      </c>
      <c r="CJ350" s="1317" t="str">
        <f t="shared" si="994"/>
        <v/>
      </c>
      <c r="CK350" s="1317" t="str">
        <f t="shared" si="994"/>
        <v/>
      </c>
      <c r="CL350" s="1317" t="str">
        <f t="shared" si="994"/>
        <v/>
      </c>
      <c r="CM350" s="1316" t="str">
        <f t="shared" si="994"/>
        <v/>
      </c>
      <c r="CN350" s="538" t="str">
        <f t="shared" si="957"/>
        <v/>
      </c>
      <c r="CO350" s="539" t="str">
        <f t="shared" si="958"/>
        <v/>
      </c>
      <c r="CP350" s="539" t="str">
        <f t="shared" si="959"/>
        <v/>
      </c>
      <c r="CQ350" s="539" t="str">
        <f t="shared" si="960"/>
        <v/>
      </c>
      <c r="CR350" s="539" t="str">
        <f t="shared" si="961"/>
        <v/>
      </c>
      <c r="CS350" s="539" t="str">
        <f t="shared" si="962"/>
        <v/>
      </c>
      <c r="CT350" s="540" t="str">
        <f t="shared" si="963"/>
        <v/>
      </c>
      <c r="CU350" s="540" t="str">
        <f t="shared" si="964"/>
        <v/>
      </c>
      <c r="CV350" s="540" t="str">
        <f t="shared" si="965"/>
        <v/>
      </c>
      <c r="CW350" s="539" t="str">
        <f t="shared" si="966"/>
        <v/>
      </c>
      <c r="CX350" s="539" t="str">
        <f t="shared" si="967"/>
        <v/>
      </c>
      <c r="CY350" s="539" t="str">
        <f t="shared" si="968"/>
        <v/>
      </c>
      <c r="CZ350" s="539" t="str">
        <f t="shared" si="969"/>
        <v/>
      </c>
      <c r="DA350" s="539" t="str">
        <f t="shared" si="970"/>
        <v/>
      </c>
      <c r="DB350" s="538" t="str">
        <f t="shared" si="971"/>
        <v/>
      </c>
      <c r="DC350" s="537" t="str">
        <f t="shared" si="972"/>
        <v/>
      </c>
      <c r="DD350" s="641">
        <f t="shared" si="973"/>
        <v>0</v>
      </c>
      <c r="DE350" s="95">
        <f t="shared" si="974"/>
        <v>0</v>
      </c>
      <c r="DF350" s="95">
        <f t="shared" si="975"/>
        <v>0</v>
      </c>
      <c r="DG350" s="95">
        <f t="shared" si="976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38"/>
      <c r="CE351" s="1338"/>
      <c r="CF351" s="1338"/>
      <c r="CG351" s="1338"/>
      <c r="CH351" s="1338"/>
      <c r="CI351" s="1338"/>
      <c r="CJ351" s="1338"/>
      <c r="CK351" s="1338"/>
      <c r="CL351" s="1338"/>
      <c r="CM351" s="1338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5">IF(DD352&lt;3,"",(SUM(B352:R352)-MIN(B352:R352)-MAX(B352:R352))/(DD352-2))</f>
        <v/>
      </c>
      <c r="CA352" s="586" t="str">
        <f t="shared" ref="CA352:CA361" si="996">IF(DE352&lt;3,"",(SUM(T352:AJ352)-MIN(T352:AJ352)-MAX(T352:AJ352))/(DE352-2))</f>
        <v/>
      </c>
      <c r="CB352" s="586" t="str">
        <f t="shared" ref="CB352:CB361" si="997">IF(DF352&lt;3,"",(SUM(AL352:BB352)-MIN(AL352:BB352)-MAX(AL352:BB352))/(DF352-2))</f>
        <v/>
      </c>
      <c r="CC352" s="676" t="str">
        <f t="shared" ref="CC352:CC361" si="998">IF(DG352&lt;3,"",(SUM(BD352:BT352)-MIN(BD352:BT352)-MAX(BD352:BT352))/(DG352-2))</f>
        <v/>
      </c>
      <c r="CD352" s="1316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7" t="str">
        <f t="shared" si="999"/>
        <v/>
      </c>
      <c r="CF352" s="1317" t="str">
        <f t="shared" si="999"/>
        <v/>
      </c>
      <c r="CG352" s="1317" t="str">
        <f t="shared" si="999"/>
        <v/>
      </c>
      <c r="CH352" s="1318" t="str">
        <f t="shared" si="999"/>
        <v/>
      </c>
      <c r="CI352" s="1318" t="str">
        <f t="shared" si="999"/>
        <v/>
      </c>
      <c r="CJ352" s="1317" t="str">
        <f t="shared" si="999"/>
        <v/>
      </c>
      <c r="CK352" s="1317" t="str">
        <f t="shared" si="999"/>
        <v/>
      </c>
      <c r="CL352" s="1317" t="str">
        <f t="shared" si="999"/>
        <v/>
      </c>
      <c r="CM352" s="1316" t="str">
        <f t="shared" si="999"/>
        <v/>
      </c>
      <c r="CN352" s="538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6">COUNT(B352:R352)</f>
        <v>0</v>
      </c>
      <c r="DE352" s="95">
        <f t="shared" ref="DE352:DE359" si="1017">COUNT(T352:AJ352)</f>
        <v>0</v>
      </c>
      <c r="DF352" s="95">
        <f t="shared" ref="DF352:DF359" si="1018">COUNT(AL352:BB352)</f>
        <v>0</v>
      </c>
      <c r="DG352" s="95">
        <f t="shared" ref="DG352:DG359" si="1019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267</v>
      </c>
      <c r="B353" s="618" t="str">
        <f t="shared" ref="B353:K353" si="1020">IF(B350="","",B350*B352)</f>
        <v/>
      </c>
      <c r="C353" s="618" t="str">
        <f t="shared" si="1020"/>
        <v/>
      </c>
      <c r="D353" s="618" t="str">
        <f t="shared" si="1020"/>
        <v/>
      </c>
      <c r="E353" s="618" t="str">
        <f t="shared" si="1020"/>
        <v/>
      </c>
      <c r="F353" s="618" t="str">
        <f t="shared" si="1020"/>
        <v/>
      </c>
      <c r="G353" s="618" t="str">
        <f t="shared" si="1020"/>
        <v/>
      </c>
      <c r="H353" s="618" t="str">
        <f t="shared" si="1020"/>
        <v/>
      </c>
      <c r="I353" s="618" t="str">
        <f t="shared" si="1020"/>
        <v/>
      </c>
      <c r="J353" s="618" t="str">
        <f t="shared" si="1020"/>
        <v/>
      </c>
      <c r="K353" s="618" t="str">
        <f t="shared" si="1020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21">IF(T350="","",T350*T352)</f>
        <v/>
      </c>
      <c r="U353" s="618" t="str">
        <f t="shared" si="1021"/>
        <v/>
      </c>
      <c r="V353" s="618" t="str">
        <f t="shared" si="1021"/>
        <v/>
      </c>
      <c r="W353" s="618" t="str">
        <f t="shared" si="1021"/>
        <v/>
      </c>
      <c r="X353" s="618" t="str">
        <f t="shared" si="1021"/>
        <v/>
      </c>
      <c r="Y353" s="618" t="str">
        <f t="shared" si="1021"/>
        <v/>
      </c>
      <c r="Z353" s="618" t="str">
        <f t="shared" si="1021"/>
        <v/>
      </c>
      <c r="AA353" s="618" t="str">
        <f t="shared" si="1021"/>
        <v/>
      </c>
      <c r="AB353" s="618" t="str">
        <f t="shared" si="1021"/>
        <v/>
      </c>
      <c r="AC353" s="618" t="str">
        <f t="shared" si="1021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2">IF(AL350="","",AL350*AL352)</f>
        <v/>
      </c>
      <c r="AM353" s="618" t="str">
        <f t="shared" si="1022"/>
        <v/>
      </c>
      <c r="AN353" s="618" t="str">
        <f t="shared" si="1022"/>
        <v/>
      </c>
      <c r="AO353" s="618" t="str">
        <f t="shared" si="1022"/>
        <v/>
      </c>
      <c r="AP353" s="618" t="str">
        <f t="shared" si="1022"/>
        <v/>
      </c>
      <c r="AQ353" s="618" t="str">
        <f t="shared" si="1022"/>
        <v/>
      </c>
      <c r="AR353" s="618" t="str">
        <f t="shared" si="1022"/>
        <v/>
      </c>
      <c r="AS353" s="618" t="str">
        <f t="shared" si="1022"/>
        <v/>
      </c>
      <c r="AT353" s="618" t="str">
        <f t="shared" si="1022"/>
        <v/>
      </c>
      <c r="AU353" s="618" t="str">
        <f t="shared" si="1022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3">IF(BD350="","",BD350*BD352)</f>
        <v/>
      </c>
      <c r="BE353" s="618" t="str">
        <f t="shared" si="1023"/>
        <v/>
      </c>
      <c r="BF353" s="618" t="str">
        <f t="shared" si="1023"/>
        <v/>
      </c>
      <c r="BG353" s="618" t="str">
        <f t="shared" si="1023"/>
        <v/>
      </c>
      <c r="BH353" s="618" t="str">
        <f t="shared" si="1023"/>
        <v/>
      </c>
      <c r="BI353" s="618" t="str">
        <f t="shared" si="1023"/>
        <v/>
      </c>
      <c r="BJ353" s="618" t="str">
        <f t="shared" si="1023"/>
        <v/>
      </c>
      <c r="BK353" s="618" t="str">
        <f t="shared" si="1023"/>
        <v/>
      </c>
      <c r="BL353" s="618" t="str">
        <f t="shared" si="1023"/>
        <v/>
      </c>
      <c r="BM353" s="618" t="str">
        <f t="shared" si="1023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5"/>
        <v/>
      </c>
      <c r="CA353" s="586" t="str">
        <f t="shared" si="996"/>
        <v/>
      </c>
      <c r="CB353" s="586" t="str">
        <f t="shared" si="997"/>
        <v/>
      </c>
      <c r="CC353" s="676" t="str">
        <f t="shared" si="998"/>
        <v/>
      </c>
      <c r="CD353" s="1316" t="str">
        <f t="shared" si="999"/>
        <v/>
      </c>
      <c r="CE353" s="1317" t="str">
        <f t="shared" si="999"/>
        <v/>
      </c>
      <c r="CF353" s="1317" t="str">
        <f t="shared" si="999"/>
        <v/>
      </c>
      <c r="CG353" s="1317" t="str">
        <f t="shared" si="999"/>
        <v/>
      </c>
      <c r="CH353" s="1318" t="str">
        <f t="shared" si="999"/>
        <v/>
      </c>
      <c r="CI353" s="1318" t="str">
        <f t="shared" si="999"/>
        <v/>
      </c>
      <c r="CJ353" s="1317" t="str">
        <f t="shared" si="999"/>
        <v/>
      </c>
      <c r="CK353" s="1317" t="str">
        <f t="shared" si="999"/>
        <v/>
      </c>
      <c r="CL353" s="1317" t="str">
        <f t="shared" si="999"/>
        <v/>
      </c>
      <c r="CM353" s="1316" t="str">
        <f t="shared" si="999"/>
        <v/>
      </c>
      <c r="CN353" s="538" t="str">
        <f t="shared" si="1000"/>
        <v/>
      </c>
      <c r="CO353" s="539" t="str">
        <f t="shared" si="1001"/>
        <v/>
      </c>
      <c r="CP353" s="539" t="str">
        <f t="shared" si="1002"/>
        <v/>
      </c>
      <c r="CQ353" s="539" t="str">
        <f t="shared" si="1003"/>
        <v/>
      </c>
      <c r="CR353" s="539" t="str">
        <f t="shared" si="1004"/>
        <v/>
      </c>
      <c r="CS353" s="539" t="str">
        <f t="shared" si="1005"/>
        <v/>
      </c>
      <c r="CT353" s="540" t="str">
        <f t="shared" si="1006"/>
        <v/>
      </c>
      <c r="CU353" s="540" t="str">
        <f t="shared" si="1007"/>
        <v/>
      </c>
      <c r="CV353" s="540" t="str">
        <f t="shared" si="1008"/>
        <v/>
      </c>
      <c r="CW353" s="539" t="str">
        <f t="shared" si="1009"/>
        <v/>
      </c>
      <c r="CX353" s="539" t="str">
        <f t="shared" si="1010"/>
        <v/>
      </c>
      <c r="CY353" s="539" t="str">
        <f t="shared" si="1011"/>
        <v/>
      </c>
      <c r="CZ353" s="539" t="str">
        <f t="shared" si="1012"/>
        <v/>
      </c>
      <c r="DA353" s="539" t="str">
        <f t="shared" si="1013"/>
        <v/>
      </c>
      <c r="DB353" s="538" t="str">
        <f t="shared" si="1014"/>
        <v/>
      </c>
      <c r="DC353" s="537" t="str">
        <f t="shared" si="1015"/>
        <v/>
      </c>
      <c r="DD353" s="641">
        <f t="shared" si="1016"/>
        <v>0</v>
      </c>
      <c r="DE353" s="95">
        <f t="shared" si="1017"/>
        <v>0</v>
      </c>
      <c r="DF353" s="95">
        <f t="shared" si="1018"/>
        <v>0</v>
      </c>
      <c r="DG353" s="95">
        <f t="shared" si="1019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260</v>
      </c>
      <c r="B354" s="690">
        <f>3670*$K$1</f>
        <v>15365.555999999999</v>
      </c>
      <c r="C354" s="690">
        <f t="shared" ref="C354:K354" si="1024">3670*$K$1</f>
        <v>15365.555999999999</v>
      </c>
      <c r="D354" s="690">
        <f t="shared" si="1024"/>
        <v>15365.555999999999</v>
      </c>
      <c r="E354" s="690">
        <f t="shared" si="1024"/>
        <v>15365.555999999999</v>
      </c>
      <c r="F354" s="690">
        <f t="shared" si="1024"/>
        <v>15365.555999999999</v>
      </c>
      <c r="G354" s="690">
        <f t="shared" si="1024"/>
        <v>15365.555999999999</v>
      </c>
      <c r="H354" s="690">
        <f t="shared" si="1024"/>
        <v>15365.555999999999</v>
      </c>
      <c r="I354" s="690">
        <f t="shared" si="1024"/>
        <v>15365.555999999999</v>
      </c>
      <c r="J354" s="690">
        <f t="shared" si="1024"/>
        <v>15365.555999999999</v>
      </c>
      <c r="K354" s="690">
        <f t="shared" si="1024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5">3670*$K$1</f>
        <v>15365.555999999999</v>
      </c>
      <c r="V354" s="690">
        <f t="shared" si="1025"/>
        <v>15365.555999999999</v>
      </c>
      <c r="W354" s="690">
        <f t="shared" si="1025"/>
        <v>15365.555999999999</v>
      </c>
      <c r="X354" s="690">
        <f t="shared" si="1025"/>
        <v>15365.555999999999</v>
      </c>
      <c r="Y354" s="690">
        <f t="shared" si="1025"/>
        <v>15365.555999999999</v>
      </c>
      <c r="Z354" s="690">
        <f t="shared" si="1025"/>
        <v>15365.555999999999</v>
      </c>
      <c r="AA354" s="690">
        <f t="shared" si="1025"/>
        <v>15365.555999999999</v>
      </c>
      <c r="AB354" s="690">
        <f t="shared" si="1025"/>
        <v>15365.555999999999</v>
      </c>
      <c r="AC354" s="690">
        <f t="shared" si="1025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6">3670*$K$1</f>
        <v>15365.555999999999</v>
      </c>
      <c r="AN354" s="690">
        <f t="shared" si="1026"/>
        <v>15365.555999999999</v>
      </c>
      <c r="AO354" s="690">
        <f t="shared" si="1026"/>
        <v>15365.555999999999</v>
      </c>
      <c r="AP354" s="690">
        <f t="shared" si="1026"/>
        <v>15365.555999999999</v>
      </c>
      <c r="AQ354" s="690">
        <f t="shared" si="1026"/>
        <v>15365.555999999999</v>
      </c>
      <c r="AR354" s="690">
        <f t="shared" si="1026"/>
        <v>15365.555999999999</v>
      </c>
      <c r="AS354" s="690">
        <f t="shared" si="1026"/>
        <v>15365.555999999999</v>
      </c>
      <c r="AT354" s="690">
        <f t="shared" si="1026"/>
        <v>15365.555999999999</v>
      </c>
      <c r="AU354" s="690">
        <f t="shared" si="1026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7">3670*$K$1</f>
        <v>15365.555999999999</v>
      </c>
      <c r="BF354" s="690">
        <f t="shared" si="1027"/>
        <v>15365.555999999999</v>
      </c>
      <c r="BG354" s="690">
        <f t="shared" si="1027"/>
        <v>15365.555999999999</v>
      </c>
      <c r="BH354" s="690">
        <f t="shared" si="1027"/>
        <v>15365.555999999999</v>
      </c>
      <c r="BI354" s="690">
        <f t="shared" si="1027"/>
        <v>15365.555999999999</v>
      </c>
      <c r="BJ354" s="690">
        <f t="shared" si="1027"/>
        <v>15365.555999999999</v>
      </c>
      <c r="BK354" s="690">
        <f t="shared" si="1027"/>
        <v>15365.555999999999</v>
      </c>
      <c r="BL354" s="690">
        <f t="shared" si="1027"/>
        <v>15365.555999999999</v>
      </c>
      <c r="BM354" s="690">
        <f t="shared" si="1027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7"/>
        <v>15365.555999999999</v>
      </c>
      <c r="BW354" s="690">
        <f t="shared" si="1027"/>
        <v>15365.555999999999</v>
      </c>
      <c r="BX354" s="690">
        <f t="shared" si="1027"/>
        <v>15365.555999999999</v>
      </c>
      <c r="BY354" s="690">
        <f t="shared" si="1027"/>
        <v>15365.555999999999</v>
      </c>
      <c r="BZ354" s="586">
        <f t="shared" si="995"/>
        <v>15365.555999999999</v>
      </c>
      <c r="CA354" s="586">
        <f t="shared" si="996"/>
        <v>15365.555999999999</v>
      </c>
      <c r="CB354" s="586">
        <f t="shared" si="997"/>
        <v>15365.555999999999</v>
      </c>
      <c r="CC354" s="676">
        <f t="shared" si="998"/>
        <v>15365.555999999999</v>
      </c>
      <c r="CD354" s="1316">
        <f t="shared" si="999"/>
        <v>15365.555999999999</v>
      </c>
      <c r="CE354" s="1317">
        <f t="shared" si="999"/>
        <v>15365.555999999999</v>
      </c>
      <c r="CF354" s="1317">
        <f t="shared" si="999"/>
        <v>15365.555999999999</v>
      </c>
      <c r="CG354" s="1317">
        <f t="shared" si="999"/>
        <v>15365.555999999999</v>
      </c>
      <c r="CH354" s="1318">
        <f t="shared" si="999"/>
        <v>15365.555999999999</v>
      </c>
      <c r="CI354" s="1318">
        <f t="shared" si="999"/>
        <v>15365.555999999999</v>
      </c>
      <c r="CJ354" s="1317">
        <f t="shared" si="999"/>
        <v>15365.555999999999</v>
      </c>
      <c r="CK354" s="1317">
        <f t="shared" si="999"/>
        <v>15365.555999999999</v>
      </c>
      <c r="CL354" s="1317">
        <f t="shared" si="999"/>
        <v>15365.555999999999</v>
      </c>
      <c r="CM354" s="1316">
        <f t="shared" si="999"/>
        <v>15365.555999999999</v>
      </c>
      <c r="CN354" s="538" t="str">
        <f t="shared" si="1000"/>
        <v/>
      </c>
      <c r="CO354" s="539" t="str">
        <f t="shared" si="1001"/>
        <v/>
      </c>
      <c r="CP354" s="539" t="str">
        <f t="shared" si="1002"/>
        <v/>
      </c>
      <c r="CQ354" s="539">
        <f t="shared" si="1003"/>
        <v>15365.555999999999</v>
      </c>
      <c r="CR354" s="539">
        <f t="shared" si="1004"/>
        <v>15365.555999999999</v>
      </c>
      <c r="CS354" s="539">
        <f t="shared" si="1005"/>
        <v>15365.555999999999</v>
      </c>
      <c r="CT354" s="540">
        <f t="shared" si="1006"/>
        <v>15365.555999999999</v>
      </c>
      <c r="CU354" s="540">
        <f t="shared" si="1007"/>
        <v>15365.555999999999</v>
      </c>
      <c r="CV354" s="540">
        <f t="shared" si="1008"/>
        <v>15365.555999999999</v>
      </c>
      <c r="CW354" s="539">
        <f t="shared" si="1009"/>
        <v>15365.555999999999</v>
      </c>
      <c r="CX354" s="539">
        <f t="shared" si="1010"/>
        <v>15365.555999999999</v>
      </c>
      <c r="CY354" s="539">
        <f t="shared" si="1011"/>
        <v>15365.555999999999</v>
      </c>
      <c r="CZ354" s="539">
        <f t="shared" si="1012"/>
        <v>15365.555999999999</v>
      </c>
      <c r="DA354" s="539" t="str">
        <f t="shared" si="1013"/>
        <v/>
      </c>
      <c r="DB354" s="538" t="str">
        <f t="shared" si="1014"/>
        <v/>
      </c>
      <c r="DC354" s="537" t="str">
        <f t="shared" si="1015"/>
        <v/>
      </c>
      <c r="DD354" s="641">
        <f t="shared" si="1016"/>
        <v>10</v>
      </c>
      <c r="DE354" s="95">
        <f t="shared" si="1017"/>
        <v>10</v>
      </c>
      <c r="DF354" s="95">
        <f t="shared" si="1018"/>
        <v>10</v>
      </c>
      <c r="DG354" s="95">
        <f t="shared" si="1019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257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5"/>
        <v/>
      </c>
      <c r="CA355" s="586" t="str">
        <f t="shared" si="996"/>
        <v/>
      </c>
      <c r="CB355" s="586" t="str">
        <f t="shared" si="997"/>
        <v/>
      </c>
      <c r="CC355" s="676" t="str">
        <f t="shared" si="998"/>
        <v/>
      </c>
      <c r="CD355" s="1316" t="str">
        <f t="shared" si="999"/>
        <v/>
      </c>
      <c r="CE355" s="1317" t="str">
        <f t="shared" si="999"/>
        <v/>
      </c>
      <c r="CF355" s="1317" t="str">
        <f t="shared" si="999"/>
        <v/>
      </c>
      <c r="CG355" s="1317" t="str">
        <f t="shared" si="999"/>
        <v/>
      </c>
      <c r="CH355" s="1318" t="str">
        <f t="shared" si="999"/>
        <v/>
      </c>
      <c r="CI355" s="1318" t="str">
        <f t="shared" si="999"/>
        <v/>
      </c>
      <c r="CJ355" s="1317" t="str">
        <f t="shared" si="999"/>
        <v/>
      </c>
      <c r="CK355" s="1317" t="str">
        <f t="shared" si="999"/>
        <v/>
      </c>
      <c r="CL355" s="1317" t="str">
        <f t="shared" si="999"/>
        <v/>
      </c>
      <c r="CM355" s="1316" t="str">
        <f t="shared" si="999"/>
        <v/>
      </c>
      <c r="CN355" s="538" t="str">
        <f t="shared" si="1000"/>
        <v/>
      </c>
      <c r="CO355" s="539" t="str">
        <f t="shared" si="1001"/>
        <v/>
      </c>
      <c r="CP355" s="539" t="str">
        <f t="shared" si="1002"/>
        <v/>
      </c>
      <c r="CQ355" s="539" t="str">
        <f t="shared" si="1003"/>
        <v/>
      </c>
      <c r="CR355" s="539" t="str">
        <f t="shared" si="1004"/>
        <v/>
      </c>
      <c r="CS355" s="539" t="str">
        <f t="shared" si="1005"/>
        <v/>
      </c>
      <c r="CT355" s="540" t="str">
        <f t="shared" si="1006"/>
        <v/>
      </c>
      <c r="CU355" s="540" t="str">
        <f t="shared" si="1007"/>
        <v/>
      </c>
      <c r="CV355" s="540" t="str">
        <f t="shared" si="1008"/>
        <v/>
      </c>
      <c r="CW355" s="539" t="str">
        <f t="shared" si="1009"/>
        <v/>
      </c>
      <c r="CX355" s="539" t="str">
        <f t="shared" si="1010"/>
        <v/>
      </c>
      <c r="CY355" s="539" t="str">
        <f t="shared" si="1011"/>
        <v/>
      </c>
      <c r="CZ355" s="539" t="str">
        <f t="shared" si="1012"/>
        <v/>
      </c>
      <c r="DA355" s="539" t="str">
        <f t="shared" si="1013"/>
        <v/>
      </c>
      <c r="DB355" s="538" t="str">
        <f t="shared" si="1014"/>
        <v/>
      </c>
      <c r="DC355" s="537" t="str">
        <f t="shared" si="1015"/>
        <v/>
      </c>
      <c r="DD355" s="641">
        <f t="shared" si="1016"/>
        <v>0</v>
      </c>
      <c r="DE355" s="95">
        <f t="shared" si="1017"/>
        <v>0</v>
      </c>
      <c r="DF355" s="95">
        <f t="shared" si="1018"/>
        <v>0</v>
      </c>
      <c r="DG355" s="95">
        <f t="shared" si="1019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5"/>
        <v/>
      </c>
      <c r="CA356" s="586" t="str">
        <f t="shared" si="996"/>
        <v/>
      </c>
      <c r="CB356" s="586" t="str">
        <f t="shared" si="997"/>
        <v/>
      </c>
      <c r="CC356" s="676" t="str">
        <f t="shared" si="998"/>
        <v/>
      </c>
      <c r="CD356" s="1316" t="str">
        <f t="shared" si="999"/>
        <v/>
      </c>
      <c r="CE356" s="1317" t="str">
        <f t="shared" si="999"/>
        <v/>
      </c>
      <c r="CF356" s="1317" t="str">
        <f t="shared" si="999"/>
        <v/>
      </c>
      <c r="CG356" s="1317" t="str">
        <f t="shared" si="999"/>
        <v/>
      </c>
      <c r="CH356" s="1318" t="str">
        <f t="shared" si="999"/>
        <v/>
      </c>
      <c r="CI356" s="1318" t="str">
        <f t="shared" si="999"/>
        <v/>
      </c>
      <c r="CJ356" s="1317" t="str">
        <f t="shared" si="999"/>
        <v/>
      </c>
      <c r="CK356" s="1317" t="str">
        <f t="shared" si="999"/>
        <v/>
      </c>
      <c r="CL356" s="1317" t="str">
        <f t="shared" si="999"/>
        <v/>
      </c>
      <c r="CM356" s="1316" t="str">
        <f t="shared" si="999"/>
        <v/>
      </c>
      <c r="CN356" s="538" t="str">
        <f t="shared" si="1000"/>
        <v/>
      </c>
      <c r="CO356" s="539" t="str">
        <f t="shared" si="1001"/>
        <v/>
      </c>
      <c r="CP356" s="539" t="str">
        <f t="shared" si="1002"/>
        <v/>
      </c>
      <c r="CQ356" s="539" t="str">
        <f t="shared" si="1003"/>
        <v/>
      </c>
      <c r="CR356" s="539" t="str">
        <f t="shared" si="1004"/>
        <v/>
      </c>
      <c r="CS356" s="539" t="str">
        <f t="shared" si="1005"/>
        <v/>
      </c>
      <c r="CT356" s="540" t="str">
        <f t="shared" si="1006"/>
        <v/>
      </c>
      <c r="CU356" s="540" t="str">
        <f t="shared" si="1007"/>
        <v/>
      </c>
      <c r="CV356" s="540" t="str">
        <f t="shared" si="1008"/>
        <v/>
      </c>
      <c r="CW356" s="539" t="str">
        <f t="shared" si="1009"/>
        <v/>
      </c>
      <c r="CX356" s="539" t="str">
        <f t="shared" si="1010"/>
        <v/>
      </c>
      <c r="CY356" s="539" t="str">
        <f t="shared" si="1011"/>
        <v/>
      </c>
      <c r="CZ356" s="539" t="str">
        <f t="shared" si="1012"/>
        <v/>
      </c>
      <c r="DA356" s="539" t="str">
        <f t="shared" si="1013"/>
        <v/>
      </c>
      <c r="DB356" s="538" t="str">
        <f t="shared" si="1014"/>
        <v/>
      </c>
      <c r="DC356" s="537" t="str">
        <f t="shared" si="1015"/>
        <v/>
      </c>
      <c r="DD356" s="641">
        <f t="shared" si="1016"/>
        <v>0</v>
      </c>
      <c r="DE356" s="95">
        <f t="shared" si="1017"/>
        <v>0</v>
      </c>
      <c r="DF356" s="95">
        <f t="shared" si="1018"/>
        <v>0</v>
      </c>
      <c r="DG356" s="95">
        <f t="shared" si="1019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183</v>
      </c>
      <c r="B357" s="618" t="str">
        <f t="shared" ref="B357:K357" si="1028">IF(B355="","",B355*B356)</f>
        <v/>
      </c>
      <c r="C357" s="618" t="str">
        <f t="shared" si="1028"/>
        <v/>
      </c>
      <c r="D357" s="618" t="str">
        <f t="shared" si="1028"/>
        <v/>
      </c>
      <c r="E357" s="618" t="str">
        <f t="shared" si="1028"/>
        <v/>
      </c>
      <c r="F357" s="618" t="str">
        <f t="shared" si="1028"/>
        <v/>
      </c>
      <c r="G357" s="618" t="str">
        <f t="shared" si="1028"/>
        <v/>
      </c>
      <c r="H357" s="618" t="str">
        <f t="shared" si="1028"/>
        <v/>
      </c>
      <c r="I357" s="618" t="str">
        <f t="shared" si="1028"/>
        <v/>
      </c>
      <c r="J357" s="618" t="str">
        <f t="shared" si="1028"/>
        <v/>
      </c>
      <c r="K357" s="618" t="str">
        <f t="shared" si="1028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9">IF(T355="","",T355*T356)</f>
        <v/>
      </c>
      <c r="U357" s="618" t="str">
        <f t="shared" si="1029"/>
        <v/>
      </c>
      <c r="V357" s="618" t="str">
        <f t="shared" si="1029"/>
        <v/>
      </c>
      <c r="W357" s="618" t="str">
        <f t="shared" si="1029"/>
        <v/>
      </c>
      <c r="X357" s="618" t="str">
        <f t="shared" si="1029"/>
        <v/>
      </c>
      <c r="Y357" s="618" t="str">
        <f t="shared" si="1029"/>
        <v/>
      </c>
      <c r="Z357" s="618" t="str">
        <f t="shared" si="1029"/>
        <v/>
      </c>
      <c r="AA357" s="618" t="str">
        <f t="shared" si="1029"/>
        <v/>
      </c>
      <c r="AB357" s="618" t="str">
        <f t="shared" si="1029"/>
        <v/>
      </c>
      <c r="AC357" s="618" t="str">
        <f t="shared" si="1029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30">IF(AL355="","",AL355*AL356)</f>
        <v/>
      </c>
      <c r="AM357" s="618" t="str">
        <f t="shared" si="1030"/>
        <v/>
      </c>
      <c r="AN357" s="618" t="str">
        <f t="shared" si="1030"/>
        <v/>
      </c>
      <c r="AO357" s="618" t="str">
        <f t="shared" si="1030"/>
        <v/>
      </c>
      <c r="AP357" s="618" t="str">
        <f t="shared" si="1030"/>
        <v/>
      </c>
      <c r="AQ357" s="618" t="str">
        <f t="shared" si="1030"/>
        <v/>
      </c>
      <c r="AR357" s="618" t="str">
        <f t="shared" si="1030"/>
        <v/>
      </c>
      <c r="AS357" s="618" t="str">
        <f t="shared" si="1030"/>
        <v/>
      </c>
      <c r="AT357" s="618" t="str">
        <f t="shared" si="1030"/>
        <v/>
      </c>
      <c r="AU357" s="618" t="str">
        <f t="shared" si="1030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31">IF(BD355="","",BD355*BD356)</f>
        <v/>
      </c>
      <c r="BE357" s="618" t="str">
        <f t="shared" si="1031"/>
        <v/>
      </c>
      <c r="BF357" s="618" t="str">
        <f t="shared" si="1031"/>
        <v/>
      </c>
      <c r="BG357" s="618" t="str">
        <f t="shared" si="1031"/>
        <v/>
      </c>
      <c r="BH357" s="618" t="str">
        <f t="shared" si="1031"/>
        <v/>
      </c>
      <c r="BI357" s="618" t="str">
        <f t="shared" si="1031"/>
        <v/>
      </c>
      <c r="BJ357" s="618" t="str">
        <f t="shared" si="1031"/>
        <v/>
      </c>
      <c r="BK357" s="618" t="str">
        <f t="shared" si="1031"/>
        <v/>
      </c>
      <c r="BL357" s="618" t="str">
        <f t="shared" si="1031"/>
        <v/>
      </c>
      <c r="BM357" s="618" t="str">
        <f t="shared" si="1031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5"/>
        <v/>
      </c>
      <c r="CA357" s="586" t="str">
        <f t="shared" si="996"/>
        <v/>
      </c>
      <c r="CB357" s="586" t="str">
        <f t="shared" si="997"/>
        <v/>
      </c>
      <c r="CC357" s="676" t="str">
        <f t="shared" si="998"/>
        <v/>
      </c>
      <c r="CD357" s="1316" t="str">
        <f t="shared" si="999"/>
        <v/>
      </c>
      <c r="CE357" s="1317" t="str">
        <f t="shared" si="999"/>
        <v/>
      </c>
      <c r="CF357" s="1317" t="str">
        <f t="shared" si="999"/>
        <v/>
      </c>
      <c r="CG357" s="1317" t="str">
        <f t="shared" si="999"/>
        <v/>
      </c>
      <c r="CH357" s="1318" t="str">
        <f t="shared" si="999"/>
        <v/>
      </c>
      <c r="CI357" s="1318" t="str">
        <f t="shared" si="999"/>
        <v/>
      </c>
      <c r="CJ357" s="1317" t="str">
        <f t="shared" si="999"/>
        <v/>
      </c>
      <c r="CK357" s="1317" t="str">
        <f t="shared" si="999"/>
        <v/>
      </c>
      <c r="CL357" s="1317" t="str">
        <f t="shared" si="999"/>
        <v/>
      </c>
      <c r="CM357" s="1316" t="str">
        <f t="shared" si="999"/>
        <v/>
      </c>
      <c r="CN357" s="538" t="str">
        <f t="shared" si="1000"/>
        <v/>
      </c>
      <c r="CO357" s="539" t="str">
        <f t="shared" si="1001"/>
        <v/>
      </c>
      <c r="CP357" s="539" t="str">
        <f t="shared" si="1002"/>
        <v/>
      </c>
      <c r="CQ357" s="539" t="str">
        <f t="shared" si="1003"/>
        <v/>
      </c>
      <c r="CR357" s="539" t="str">
        <f t="shared" si="1004"/>
        <v/>
      </c>
      <c r="CS357" s="539" t="str">
        <f t="shared" si="1005"/>
        <v/>
      </c>
      <c r="CT357" s="540" t="str">
        <f t="shared" si="1006"/>
        <v/>
      </c>
      <c r="CU357" s="540" t="str">
        <f t="shared" si="1007"/>
        <v/>
      </c>
      <c r="CV357" s="540" t="str">
        <f t="shared" si="1008"/>
        <v/>
      </c>
      <c r="CW357" s="539" t="str">
        <f t="shared" si="1009"/>
        <v/>
      </c>
      <c r="CX357" s="539" t="str">
        <f t="shared" si="1010"/>
        <v/>
      </c>
      <c r="CY357" s="539" t="str">
        <f t="shared" si="1011"/>
        <v/>
      </c>
      <c r="CZ357" s="539" t="str">
        <f t="shared" si="1012"/>
        <v/>
      </c>
      <c r="DA357" s="539" t="str">
        <f t="shared" si="1013"/>
        <v/>
      </c>
      <c r="DB357" s="538" t="str">
        <f t="shared" si="1014"/>
        <v/>
      </c>
      <c r="DC357" s="537" t="str">
        <f t="shared" si="1015"/>
        <v/>
      </c>
      <c r="DD357" s="641">
        <f t="shared" si="1016"/>
        <v>0</v>
      </c>
      <c r="DE357" s="95">
        <f t="shared" si="1017"/>
        <v>0</v>
      </c>
      <c r="DF357" s="95">
        <f t="shared" si="1018"/>
        <v>0</v>
      </c>
      <c r="DG357" s="95">
        <f t="shared" si="1019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258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5"/>
        <v/>
      </c>
      <c r="CA358" s="586" t="str">
        <f t="shared" si="996"/>
        <v/>
      </c>
      <c r="CB358" s="586" t="str">
        <f t="shared" si="997"/>
        <v/>
      </c>
      <c r="CC358" s="676" t="str">
        <f t="shared" si="998"/>
        <v/>
      </c>
      <c r="CD358" s="1316" t="str">
        <f t="shared" si="999"/>
        <v/>
      </c>
      <c r="CE358" s="1317" t="str">
        <f t="shared" si="999"/>
        <v/>
      </c>
      <c r="CF358" s="1317" t="str">
        <f t="shared" si="999"/>
        <v/>
      </c>
      <c r="CG358" s="1317" t="str">
        <f t="shared" si="999"/>
        <v/>
      </c>
      <c r="CH358" s="1318" t="str">
        <f t="shared" si="999"/>
        <v/>
      </c>
      <c r="CI358" s="1318" t="str">
        <f t="shared" si="999"/>
        <v/>
      </c>
      <c r="CJ358" s="1317" t="str">
        <f t="shared" si="999"/>
        <v/>
      </c>
      <c r="CK358" s="1317" t="str">
        <f t="shared" si="999"/>
        <v/>
      </c>
      <c r="CL358" s="1317" t="str">
        <f t="shared" si="999"/>
        <v/>
      </c>
      <c r="CM358" s="1316" t="str">
        <f t="shared" si="999"/>
        <v/>
      </c>
      <c r="CN358" s="538" t="str">
        <f t="shared" si="1000"/>
        <v/>
      </c>
      <c r="CO358" s="539" t="str">
        <f t="shared" si="1001"/>
        <v/>
      </c>
      <c r="CP358" s="539" t="str">
        <f t="shared" si="1002"/>
        <v/>
      </c>
      <c r="CQ358" s="539" t="str">
        <f t="shared" si="1003"/>
        <v/>
      </c>
      <c r="CR358" s="539" t="str">
        <f t="shared" si="1004"/>
        <v/>
      </c>
      <c r="CS358" s="539" t="str">
        <f t="shared" si="1005"/>
        <v/>
      </c>
      <c r="CT358" s="540" t="str">
        <f t="shared" si="1006"/>
        <v/>
      </c>
      <c r="CU358" s="540" t="str">
        <f t="shared" si="1007"/>
        <v/>
      </c>
      <c r="CV358" s="540" t="str">
        <f t="shared" si="1008"/>
        <v/>
      </c>
      <c r="CW358" s="539" t="str">
        <f t="shared" si="1009"/>
        <v/>
      </c>
      <c r="CX358" s="539" t="str">
        <f t="shared" si="1010"/>
        <v/>
      </c>
      <c r="CY358" s="539" t="str">
        <f t="shared" si="1011"/>
        <v/>
      </c>
      <c r="CZ358" s="539" t="str">
        <f t="shared" si="1012"/>
        <v/>
      </c>
      <c r="DA358" s="539" t="str">
        <f t="shared" si="1013"/>
        <v/>
      </c>
      <c r="DB358" s="538" t="str">
        <f t="shared" si="1014"/>
        <v/>
      </c>
      <c r="DC358" s="537" t="str">
        <f t="shared" si="1015"/>
        <v/>
      </c>
      <c r="DD358" s="641">
        <f t="shared" si="1016"/>
        <v>0</v>
      </c>
      <c r="DE358" s="95">
        <f t="shared" si="1017"/>
        <v>0</v>
      </c>
      <c r="DF358" s="95">
        <f t="shared" si="1018"/>
        <v>0</v>
      </c>
      <c r="DG358" s="95">
        <f t="shared" si="1019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227</v>
      </c>
      <c r="B359" s="621" t="str">
        <f t="shared" ref="B359:K359" si="1032">IF(B353="","",(B353-B355-B358)*B354/B$46/365/$G$1)</f>
        <v/>
      </c>
      <c r="C359" s="621" t="str">
        <f t="shared" si="1032"/>
        <v/>
      </c>
      <c r="D359" s="621" t="str">
        <f t="shared" si="1032"/>
        <v/>
      </c>
      <c r="E359" s="621" t="str">
        <f t="shared" si="1032"/>
        <v/>
      </c>
      <c r="F359" s="621" t="str">
        <f t="shared" si="1032"/>
        <v/>
      </c>
      <c r="G359" s="621" t="str">
        <f t="shared" si="1032"/>
        <v/>
      </c>
      <c r="H359" s="621" t="str">
        <f t="shared" si="1032"/>
        <v/>
      </c>
      <c r="I359" s="621" t="str">
        <f t="shared" si="1032"/>
        <v/>
      </c>
      <c r="J359" s="621" t="str">
        <f t="shared" si="1032"/>
        <v/>
      </c>
      <c r="K359" s="621" t="str">
        <f t="shared" si="1032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3">IF(T353="","",(T353-T355-T358)*T354/T$46/365/$G$1)</f>
        <v/>
      </c>
      <c r="U359" s="621" t="str">
        <f t="shared" si="1033"/>
        <v/>
      </c>
      <c r="V359" s="621" t="str">
        <f t="shared" si="1033"/>
        <v/>
      </c>
      <c r="W359" s="621" t="str">
        <f t="shared" si="1033"/>
        <v/>
      </c>
      <c r="X359" s="621" t="str">
        <f t="shared" si="1033"/>
        <v/>
      </c>
      <c r="Y359" s="621" t="str">
        <f t="shared" si="1033"/>
        <v/>
      </c>
      <c r="Z359" s="621" t="str">
        <f t="shared" si="1033"/>
        <v/>
      </c>
      <c r="AA359" s="621" t="str">
        <f t="shared" si="1033"/>
        <v/>
      </c>
      <c r="AB359" s="621" t="str">
        <f t="shared" si="1033"/>
        <v/>
      </c>
      <c r="AC359" s="621" t="str">
        <f t="shared" si="1033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4">IF(AL353="","",(AL353-AL355-AL358)*AL354/AL$46/365/$G$1)</f>
        <v/>
      </c>
      <c r="AM359" s="621" t="str">
        <f t="shared" si="1034"/>
        <v/>
      </c>
      <c r="AN359" s="621" t="str">
        <f t="shared" si="1034"/>
        <v/>
      </c>
      <c r="AO359" s="621" t="str">
        <f t="shared" si="1034"/>
        <v/>
      </c>
      <c r="AP359" s="621" t="str">
        <f t="shared" si="1034"/>
        <v/>
      </c>
      <c r="AQ359" s="621" t="str">
        <f t="shared" si="1034"/>
        <v/>
      </c>
      <c r="AR359" s="621" t="str">
        <f t="shared" si="1034"/>
        <v/>
      </c>
      <c r="AS359" s="621" t="str">
        <f t="shared" si="1034"/>
        <v/>
      </c>
      <c r="AT359" s="621" t="str">
        <f t="shared" si="1034"/>
        <v/>
      </c>
      <c r="AU359" s="621" t="str">
        <f t="shared" si="1034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5">IF(BD353="","",(BD353-BD355-BD358)*BD354/BD$46/365/$G$1)</f>
        <v/>
      </c>
      <c r="BE359" s="621" t="str">
        <f t="shared" si="1035"/>
        <v/>
      </c>
      <c r="BF359" s="621" t="str">
        <f t="shared" si="1035"/>
        <v/>
      </c>
      <c r="BG359" s="621" t="str">
        <f t="shared" si="1035"/>
        <v/>
      </c>
      <c r="BH359" s="621" t="str">
        <f t="shared" si="1035"/>
        <v/>
      </c>
      <c r="BI359" s="621" t="str">
        <f t="shared" si="1035"/>
        <v/>
      </c>
      <c r="BJ359" s="621" t="str">
        <f t="shared" si="1035"/>
        <v/>
      </c>
      <c r="BK359" s="621" t="str">
        <f t="shared" si="1035"/>
        <v/>
      </c>
      <c r="BL359" s="621" t="str">
        <f t="shared" si="1035"/>
        <v/>
      </c>
      <c r="BM359" s="621" t="str">
        <f t="shared" si="1035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5"/>
        <v/>
      </c>
      <c r="CA359" s="611" t="str">
        <f t="shared" si="996"/>
        <v/>
      </c>
      <c r="CB359" s="611" t="str">
        <f t="shared" si="997"/>
        <v/>
      </c>
      <c r="CC359" s="679" t="str">
        <f t="shared" si="998"/>
        <v/>
      </c>
      <c r="CD359" s="1319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0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0" t="str">
        <f t="shared" si="1036"/>
        <v/>
      </c>
      <c r="CG359" s="1320" t="str">
        <f t="shared" si="1036"/>
        <v/>
      </c>
      <c r="CH359" s="1321" t="str">
        <f t="shared" si="1036"/>
        <v/>
      </c>
      <c r="CI359" s="1321" t="str">
        <f t="shared" si="1036"/>
        <v/>
      </c>
      <c r="CJ359" s="1320" t="str">
        <f t="shared" si="1036"/>
        <v/>
      </c>
      <c r="CK359" s="1320" t="str">
        <f t="shared" si="1036"/>
        <v/>
      </c>
      <c r="CL359" s="1320" t="str">
        <f t="shared" si="1036"/>
        <v/>
      </c>
      <c r="CM359" s="1319" t="str">
        <f t="shared" si="1036"/>
        <v/>
      </c>
      <c r="CN359" s="526" t="str">
        <f t="shared" si="1000"/>
        <v/>
      </c>
      <c r="CO359" s="527" t="str">
        <f t="shared" si="1001"/>
        <v/>
      </c>
      <c r="CP359" s="527" t="str">
        <f t="shared" si="1002"/>
        <v/>
      </c>
      <c r="CQ359" s="527" t="str">
        <f t="shared" si="1003"/>
        <v/>
      </c>
      <c r="CR359" s="527" t="str">
        <f t="shared" si="1004"/>
        <v/>
      </c>
      <c r="CS359" s="527" t="str">
        <f t="shared" si="1005"/>
        <v/>
      </c>
      <c r="CT359" s="528" t="str">
        <f t="shared" si="1006"/>
        <v/>
      </c>
      <c r="CU359" s="528" t="str">
        <f t="shared" si="1007"/>
        <v/>
      </c>
      <c r="CV359" s="528" t="str">
        <f t="shared" si="1008"/>
        <v/>
      </c>
      <c r="CW359" s="527" t="str">
        <f t="shared" si="1009"/>
        <v/>
      </c>
      <c r="CX359" s="527" t="str">
        <f t="shared" si="1010"/>
        <v/>
      </c>
      <c r="CY359" s="527" t="str">
        <f t="shared" si="1011"/>
        <v/>
      </c>
      <c r="CZ359" s="527" t="str">
        <f t="shared" si="1012"/>
        <v/>
      </c>
      <c r="DA359" s="527" t="str">
        <f t="shared" si="1013"/>
        <v/>
      </c>
      <c r="DB359" s="526" t="str">
        <f t="shared" si="1014"/>
        <v/>
      </c>
      <c r="DC359" s="525" t="str">
        <f t="shared" si="1015"/>
        <v/>
      </c>
      <c r="DD359" s="641">
        <f t="shared" si="1016"/>
        <v>0</v>
      </c>
      <c r="DE359" s="95">
        <f t="shared" si="1017"/>
        <v>0</v>
      </c>
      <c r="DF359" s="95">
        <f t="shared" si="1018"/>
        <v>0</v>
      </c>
      <c r="DG359" s="95">
        <f t="shared" si="1019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926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5"/>
        <v/>
      </c>
      <c r="CA360" s="578" t="str">
        <f t="shared" si="996"/>
        <v/>
      </c>
      <c r="CB360" s="578" t="str">
        <f t="shared" si="997"/>
        <v/>
      </c>
      <c r="CC360" s="675" t="str">
        <f t="shared" si="998"/>
        <v/>
      </c>
      <c r="CD360" s="1339"/>
      <c r="CE360" s="1339"/>
      <c r="CF360" s="1339"/>
      <c r="CG360" s="1339"/>
      <c r="CH360" s="1339"/>
      <c r="CI360" s="1339"/>
      <c r="CJ360" s="1339"/>
      <c r="CK360" s="1339"/>
      <c r="CL360" s="1339"/>
      <c r="CM360" s="1339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270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5"/>
        <v>2</v>
      </c>
      <c r="CA361" s="586">
        <f t="shared" si="996"/>
        <v>3.375</v>
      </c>
      <c r="CB361" s="586">
        <f t="shared" si="997"/>
        <v>8.5</v>
      </c>
      <c r="CC361" s="676">
        <f t="shared" si="998"/>
        <v>5</v>
      </c>
      <c r="CD361" s="1316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7" t="str">
        <f t="shared" si="1037"/>
        <v/>
      </c>
      <c r="CF361" s="1317">
        <f t="shared" si="1037"/>
        <v>2.5</v>
      </c>
      <c r="CG361" s="1317">
        <f t="shared" si="1037"/>
        <v>5</v>
      </c>
      <c r="CH361" s="1318">
        <f t="shared" si="1037"/>
        <v>6</v>
      </c>
      <c r="CI361" s="1318">
        <f t="shared" si="1037"/>
        <v>9</v>
      </c>
      <c r="CJ361" s="1317">
        <f t="shared" si="1037"/>
        <v>14</v>
      </c>
      <c r="CK361" s="1317">
        <f t="shared" si="1037"/>
        <v>25</v>
      </c>
      <c r="CL361" s="1317" t="str">
        <f t="shared" si="1037"/>
        <v/>
      </c>
      <c r="CM361" s="1316" t="str">
        <f t="shared" si="1037"/>
        <v/>
      </c>
      <c r="CN361" s="538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8"/>
        <v/>
      </c>
      <c r="CP361" s="539" t="str">
        <f t="shared" si="1038"/>
        <v/>
      </c>
      <c r="CQ361" s="539" t="str">
        <f t="shared" si="1038"/>
        <v/>
      </c>
      <c r="CR361" s="539" t="str">
        <f t="shared" si="1038"/>
        <v/>
      </c>
      <c r="CS361" s="539">
        <f t="shared" si="1038"/>
        <v>2</v>
      </c>
      <c r="CT361" s="540">
        <f t="shared" si="1038"/>
        <v>2.5</v>
      </c>
      <c r="CU361" s="540">
        <f t="shared" si="1038"/>
        <v>5</v>
      </c>
      <c r="CV361" s="540">
        <f t="shared" si="1038"/>
        <v>5</v>
      </c>
      <c r="CW361" s="539">
        <f t="shared" si="1038"/>
        <v>7.5</v>
      </c>
      <c r="CX361" s="539">
        <f t="shared" si="1038"/>
        <v>10</v>
      </c>
      <c r="CY361" s="539" t="str">
        <f t="shared" si="1038"/>
        <v/>
      </c>
      <c r="CZ361" s="539" t="str">
        <f t="shared" si="1038"/>
        <v/>
      </c>
      <c r="DA361" s="539" t="str">
        <f t="shared" si="1038"/>
        <v/>
      </c>
      <c r="DB361" s="538" t="str">
        <f t="shared" si="1038"/>
        <v/>
      </c>
      <c r="DC361" s="537" t="str">
        <f t="shared" si="1038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265</v>
      </c>
      <c r="B362" s="150" t="s">
        <v>267</v>
      </c>
      <c r="C362" s="150" t="s">
        <v>267</v>
      </c>
      <c r="D362" s="150" t="s">
        <v>267</v>
      </c>
      <c r="E362" s="150" t="s">
        <v>267</v>
      </c>
      <c r="F362" s="150" t="s">
        <v>267</v>
      </c>
      <c r="G362" s="150" t="s">
        <v>267</v>
      </c>
      <c r="H362" s="150" t="s">
        <v>267</v>
      </c>
      <c r="I362" s="150" t="s">
        <v>267</v>
      </c>
      <c r="J362" s="150" t="s">
        <v>267</v>
      </c>
      <c r="K362" s="150" t="s">
        <v>267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267</v>
      </c>
      <c r="U362" s="150" t="s">
        <v>267</v>
      </c>
      <c r="V362" s="150" t="s">
        <v>267</v>
      </c>
      <c r="W362" s="150" t="s">
        <v>267</v>
      </c>
      <c r="X362" s="150" t="s">
        <v>267</v>
      </c>
      <c r="Y362" s="150" t="s">
        <v>267</v>
      </c>
      <c r="Z362" s="150" t="s">
        <v>267</v>
      </c>
      <c r="AA362" s="150" t="s">
        <v>267</v>
      </c>
      <c r="AB362" s="150" t="s">
        <v>267</v>
      </c>
      <c r="AC362" s="150" t="s">
        <v>267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267</v>
      </c>
      <c r="AM362" s="150" t="s">
        <v>267</v>
      </c>
      <c r="AN362" s="150" t="s">
        <v>267</v>
      </c>
      <c r="AO362" s="150" t="s">
        <v>267</v>
      </c>
      <c r="AP362" s="150" t="s">
        <v>267</v>
      </c>
      <c r="AQ362" s="150" t="s">
        <v>267</v>
      </c>
      <c r="AR362" s="150" t="s">
        <v>267</v>
      </c>
      <c r="AS362" s="150" t="s">
        <v>267</v>
      </c>
      <c r="AT362" s="150" t="s">
        <v>267</v>
      </c>
      <c r="AU362" s="150" t="s">
        <v>267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267</v>
      </c>
      <c r="BE362" s="150" t="s">
        <v>267</v>
      </c>
      <c r="BF362" s="150" t="s">
        <v>267</v>
      </c>
      <c r="BG362" s="150" t="s">
        <v>267</v>
      </c>
      <c r="BH362" s="150" t="s">
        <v>267</v>
      </c>
      <c r="BI362" s="150" t="s">
        <v>267</v>
      </c>
      <c r="BJ362" s="150" t="s">
        <v>267</v>
      </c>
      <c r="BK362" s="150" t="s">
        <v>267</v>
      </c>
      <c r="BL362" s="150" t="s">
        <v>267</v>
      </c>
      <c r="BM362" s="150" t="s">
        <v>267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267</v>
      </c>
      <c r="BW362" s="150" t="s">
        <v>267</v>
      </c>
      <c r="BX362" s="150" t="s">
        <v>267</v>
      </c>
      <c r="BY362" s="150" t="s">
        <v>267</v>
      </c>
      <c r="BZ362" s="578"/>
      <c r="CA362" s="578"/>
      <c r="CB362" s="578"/>
      <c r="CC362" s="675"/>
      <c r="CD362" s="1338"/>
      <c r="CE362" s="1338"/>
      <c r="CF362" s="1338"/>
      <c r="CG362" s="1338"/>
      <c r="CH362" s="1338"/>
      <c r="CI362" s="1338"/>
      <c r="CJ362" s="1338"/>
      <c r="CK362" s="1338"/>
      <c r="CL362" s="1338"/>
      <c r="CM362" s="1338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266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9">IF(DD363&lt;3,"",(SUM(B363:R363)-MIN(B363:R363)-MAX(B363:R363))/(DD363-2))</f>
        <v>50</v>
      </c>
      <c r="CA363" s="586">
        <f t="shared" ref="CA363:CA372" si="1040">IF(DE363&lt;3,"",(SUM(T363:AJ363)-MIN(T363:AJ363)-MAX(T363:AJ363))/(DE363-2))</f>
        <v>50</v>
      </c>
      <c r="CB363" s="586">
        <f t="shared" ref="CB363:CB372" si="1041">IF(DF363&lt;3,"",(SUM(AL363:BB363)-MIN(AL363:BB363)-MAX(AL363:BB363))/(DF363-2))</f>
        <v>50</v>
      </c>
      <c r="CC363" s="676">
        <f t="shared" ref="CC363:CC372" si="1042">IF(DG363&lt;3,"",(SUM(BD363:BT363)-MIN(BD363:BT363)-MAX(BD363:BT363))/(DG363-2))</f>
        <v>50</v>
      </c>
      <c r="CD363" s="1316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7" t="str">
        <f t="shared" si="1043"/>
        <v/>
      </c>
      <c r="CF363" s="1317">
        <f t="shared" si="1043"/>
        <v>50</v>
      </c>
      <c r="CG363" s="1317">
        <f t="shared" si="1043"/>
        <v>50</v>
      </c>
      <c r="CH363" s="1318">
        <f t="shared" si="1043"/>
        <v>50</v>
      </c>
      <c r="CI363" s="1318">
        <f t="shared" si="1043"/>
        <v>50</v>
      </c>
      <c r="CJ363" s="1317">
        <f t="shared" si="1043"/>
        <v>50</v>
      </c>
      <c r="CK363" s="1317">
        <f t="shared" si="1043"/>
        <v>50</v>
      </c>
      <c r="CL363" s="1317" t="str">
        <f t="shared" si="1043"/>
        <v/>
      </c>
      <c r="CM363" s="1316" t="str">
        <f t="shared" si="1043"/>
        <v/>
      </c>
      <c r="CN363" s="538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60">COUNT(B363:R363)</f>
        <v>5</v>
      </c>
      <c r="DE363" s="95">
        <f t="shared" ref="DE363:DE370" si="1061">COUNT(T363:AJ363)</f>
        <v>6</v>
      </c>
      <c r="DF363" s="95">
        <f t="shared" ref="DF363:DF370" si="1062">COUNT(AL363:BB363)</f>
        <v>6</v>
      </c>
      <c r="DG363" s="95">
        <f t="shared" ref="DG363:DG370" si="1063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267</v>
      </c>
      <c r="B364" s="618" t="str">
        <f t="shared" ref="B364:K364" si="1064">IF(B361="","",B361*B363)</f>
        <v/>
      </c>
      <c r="C364" s="618" t="str">
        <f t="shared" si="1064"/>
        <v/>
      </c>
      <c r="D364" s="618" t="str">
        <f t="shared" si="1064"/>
        <v/>
      </c>
      <c r="E364" s="618" t="str">
        <f t="shared" si="1064"/>
        <v/>
      </c>
      <c r="F364" s="618" t="str">
        <f t="shared" si="1064"/>
        <v/>
      </c>
      <c r="G364" s="618">
        <f t="shared" si="1064"/>
        <v>100</v>
      </c>
      <c r="H364" s="618">
        <f t="shared" si="1064"/>
        <v>300</v>
      </c>
      <c r="I364" s="618">
        <f t="shared" si="1064"/>
        <v>50</v>
      </c>
      <c r="J364" s="618">
        <f t="shared" si="1064"/>
        <v>150</v>
      </c>
      <c r="K364" s="618">
        <f t="shared" si="1064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5">IF(T361="","",T361*T363)</f>
        <v>125</v>
      </c>
      <c r="U364" s="618" t="str">
        <f t="shared" si="1065"/>
        <v/>
      </c>
      <c r="V364" s="618" t="str">
        <f t="shared" si="1065"/>
        <v/>
      </c>
      <c r="W364" s="618" t="str">
        <f t="shared" si="1065"/>
        <v/>
      </c>
      <c r="X364" s="618" t="str">
        <f t="shared" si="1065"/>
        <v/>
      </c>
      <c r="Y364" s="618">
        <f t="shared" si="1065"/>
        <v>250</v>
      </c>
      <c r="Z364" s="618">
        <f t="shared" si="1065"/>
        <v>175</v>
      </c>
      <c r="AA364" s="618">
        <f t="shared" si="1065"/>
        <v>250</v>
      </c>
      <c r="AB364" s="618">
        <f t="shared" si="1065"/>
        <v>125</v>
      </c>
      <c r="AC364" s="618">
        <f t="shared" si="1065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6">IF(AL361="","",AL361*AL363)</f>
        <v>1250</v>
      </c>
      <c r="AM364" s="618" t="str">
        <f t="shared" si="1066"/>
        <v/>
      </c>
      <c r="AN364" s="618" t="str">
        <f t="shared" si="1066"/>
        <v/>
      </c>
      <c r="AO364" s="618" t="str">
        <f t="shared" si="1066"/>
        <v/>
      </c>
      <c r="AP364" s="618" t="str">
        <f t="shared" si="1066"/>
        <v/>
      </c>
      <c r="AQ364" s="618">
        <f t="shared" si="1066"/>
        <v>250</v>
      </c>
      <c r="AR364" s="618">
        <f t="shared" si="1066"/>
        <v>450</v>
      </c>
      <c r="AS364" s="618">
        <f t="shared" si="1066"/>
        <v>300</v>
      </c>
      <c r="AT364" s="618">
        <f t="shared" si="1066"/>
        <v>125</v>
      </c>
      <c r="AU364" s="618">
        <f t="shared" si="1066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7">IF(BD361="","",BD361*BD363)</f>
        <v>100</v>
      </c>
      <c r="BE364" s="618" t="str">
        <f t="shared" si="1067"/>
        <v/>
      </c>
      <c r="BF364" s="618" t="str">
        <f t="shared" si="1067"/>
        <v/>
      </c>
      <c r="BG364" s="618" t="str">
        <f t="shared" si="1067"/>
        <v/>
      </c>
      <c r="BH364" s="618" t="str">
        <f t="shared" si="1067"/>
        <v/>
      </c>
      <c r="BI364" s="618">
        <f t="shared" si="1067"/>
        <v>250</v>
      </c>
      <c r="BJ364" s="618">
        <f t="shared" si="1067"/>
        <v>125</v>
      </c>
      <c r="BK364" s="618">
        <f t="shared" si="1067"/>
        <v>500</v>
      </c>
      <c r="BL364" s="618">
        <f t="shared" si="1067"/>
        <v>250</v>
      </c>
      <c r="BM364" s="618">
        <f t="shared" si="1067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9"/>
        <v>100</v>
      </c>
      <c r="CA364" s="586">
        <f t="shared" si="1040"/>
        <v>168.75</v>
      </c>
      <c r="CB364" s="586">
        <f t="shared" si="1041"/>
        <v>425</v>
      </c>
      <c r="CC364" s="676">
        <f t="shared" si="1042"/>
        <v>250</v>
      </c>
      <c r="CD364" s="1316" t="str">
        <f t="shared" si="1043"/>
        <v/>
      </c>
      <c r="CE364" s="1317" t="str">
        <f t="shared" si="1043"/>
        <v/>
      </c>
      <c r="CF364" s="1317">
        <f t="shared" si="1043"/>
        <v>125</v>
      </c>
      <c r="CG364" s="1317">
        <f t="shared" si="1043"/>
        <v>250</v>
      </c>
      <c r="CH364" s="1318">
        <f t="shared" si="1043"/>
        <v>300</v>
      </c>
      <c r="CI364" s="1318">
        <f t="shared" si="1043"/>
        <v>450</v>
      </c>
      <c r="CJ364" s="1317">
        <f t="shared" si="1043"/>
        <v>700</v>
      </c>
      <c r="CK364" s="1317">
        <f t="shared" si="1043"/>
        <v>1250</v>
      </c>
      <c r="CL364" s="1317" t="str">
        <f t="shared" si="1043"/>
        <v/>
      </c>
      <c r="CM364" s="1316" t="str">
        <f t="shared" si="1043"/>
        <v/>
      </c>
      <c r="CN364" s="538" t="str">
        <f t="shared" si="1044"/>
        <v/>
      </c>
      <c r="CO364" s="539" t="str">
        <f t="shared" si="1045"/>
        <v/>
      </c>
      <c r="CP364" s="539" t="str">
        <f t="shared" si="1046"/>
        <v/>
      </c>
      <c r="CQ364" s="539" t="str">
        <f t="shared" si="1047"/>
        <v/>
      </c>
      <c r="CR364" s="539" t="str">
        <f t="shared" si="1048"/>
        <v/>
      </c>
      <c r="CS364" s="539">
        <f t="shared" si="1049"/>
        <v>100</v>
      </c>
      <c r="CT364" s="540">
        <f t="shared" si="1050"/>
        <v>125</v>
      </c>
      <c r="CU364" s="540">
        <f t="shared" si="1051"/>
        <v>250</v>
      </c>
      <c r="CV364" s="540">
        <f t="shared" si="1052"/>
        <v>250</v>
      </c>
      <c r="CW364" s="539">
        <f t="shared" si="1053"/>
        <v>375</v>
      </c>
      <c r="CX364" s="539">
        <f t="shared" si="1054"/>
        <v>500</v>
      </c>
      <c r="CY364" s="539" t="str">
        <f t="shared" si="1055"/>
        <v/>
      </c>
      <c r="CZ364" s="539" t="str">
        <f t="shared" si="1056"/>
        <v/>
      </c>
      <c r="DA364" s="539" t="str">
        <f t="shared" si="1057"/>
        <v/>
      </c>
      <c r="DB364" s="538" t="str">
        <f t="shared" si="1058"/>
        <v/>
      </c>
      <c r="DC364" s="537" t="str">
        <f t="shared" si="1059"/>
        <v/>
      </c>
      <c r="DD364" s="641">
        <f t="shared" si="1060"/>
        <v>5</v>
      </c>
      <c r="DE364" s="95">
        <f t="shared" si="1061"/>
        <v>6</v>
      </c>
      <c r="DF364" s="95">
        <f t="shared" si="1062"/>
        <v>6</v>
      </c>
      <c r="DG364" s="95">
        <f t="shared" si="1063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260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9"/>
        <v>3140</v>
      </c>
      <c r="CA365" s="586">
        <f t="shared" si="1040"/>
        <v>3140</v>
      </c>
      <c r="CB365" s="586">
        <f t="shared" si="1041"/>
        <v>3140</v>
      </c>
      <c r="CC365" s="676">
        <f t="shared" si="1042"/>
        <v>3140</v>
      </c>
      <c r="CD365" s="1316">
        <f t="shared" si="1043"/>
        <v>3140</v>
      </c>
      <c r="CE365" s="1317">
        <f t="shared" si="1043"/>
        <v>3140</v>
      </c>
      <c r="CF365" s="1317">
        <f t="shared" si="1043"/>
        <v>3140</v>
      </c>
      <c r="CG365" s="1317">
        <f t="shared" si="1043"/>
        <v>3140</v>
      </c>
      <c r="CH365" s="1318">
        <f t="shared" si="1043"/>
        <v>3140</v>
      </c>
      <c r="CI365" s="1318">
        <f t="shared" si="1043"/>
        <v>3140</v>
      </c>
      <c r="CJ365" s="1317">
        <f t="shared" si="1043"/>
        <v>3140</v>
      </c>
      <c r="CK365" s="1317">
        <f t="shared" si="1043"/>
        <v>3140</v>
      </c>
      <c r="CL365" s="1317">
        <f t="shared" si="1043"/>
        <v>3140</v>
      </c>
      <c r="CM365" s="1316">
        <f t="shared" si="1043"/>
        <v>3140</v>
      </c>
      <c r="CN365" s="538" t="str">
        <f t="shared" si="1044"/>
        <v/>
      </c>
      <c r="CO365" s="539" t="str">
        <f t="shared" si="1045"/>
        <v/>
      </c>
      <c r="CP365" s="539" t="str">
        <f t="shared" si="1046"/>
        <v/>
      </c>
      <c r="CQ365" s="539">
        <f t="shared" si="1047"/>
        <v>3140</v>
      </c>
      <c r="CR365" s="539">
        <f t="shared" si="1048"/>
        <v>3140</v>
      </c>
      <c r="CS365" s="539">
        <f t="shared" si="1049"/>
        <v>3140</v>
      </c>
      <c r="CT365" s="540">
        <f t="shared" si="1050"/>
        <v>3140</v>
      </c>
      <c r="CU365" s="540">
        <f t="shared" si="1051"/>
        <v>3140</v>
      </c>
      <c r="CV365" s="540">
        <f t="shared" si="1052"/>
        <v>3140</v>
      </c>
      <c r="CW365" s="539">
        <f t="shared" si="1053"/>
        <v>3140</v>
      </c>
      <c r="CX365" s="539">
        <f t="shared" si="1054"/>
        <v>3140</v>
      </c>
      <c r="CY365" s="539">
        <f t="shared" si="1055"/>
        <v>3140</v>
      </c>
      <c r="CZ365" s="539">
        <f t="shared" si="1056"/>
        <v>3140</v>
      </c>
      <c r="DA365" s="539" t="str">
        <f t="shared" si="1057"/>
        <v/>
      </c>
      <c r="DB365" s="538" t="str">
        <f t="shared" si="1058"/>
        <v/>
      </c>
      <c r="DC365" s="537" t="str">
        <f t="shared" si="1059"/>
        <v/>
      </c>
      <c r="DD365" s="641">
        <f t="shared" si="1060"/>
        <v>10</v>
      </c>
      <c r="DE365" s="95">
        <f t="shared" si="1061"/>
        <v>10</v>
      </c>
      <c r="DF365" s="95">
        <f t="shared" si="1062"/>
        <v>10</v>
      </c>
      <c r="DG365" s="95">
        <f t="shared" si="1063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257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9"/>
        <v>0</v>
      </c>
      <c r="CA366" s="586">
        <f t="shared" si="1040"/>
        <v>16.666666666666668</v>
      </c>
      <c r="CB366" s="586">
        <f t="shared" si="1041"/>
        <v>97.5</v>
      </c>
      <c r="CC366" s="676">
        <f t="shared" si="1042"/>
        <v>66.666666666666671</v>
      </c>
      <c r="CD366" s="1316" t="str">
        <f t="shared" si="1043"/>
        <v/>
      </c>
      <c r="CE366" s="1317" t="str">
        <f t="shared" si="1043"/>
        <v/>
      </c>
      <c r="CF366" s="1317">
        <f t="shared" si="1043"/>
        <v>0</v>
      </c>
      <c r="CG366" s="1317">
        <f t="shared" si="1043"/>
        <v>0</v>
      </c>
      <c r="CH366" s="1318">
        <f t="shared" si="1043"/>
        <v>70</v>
      </c>
      <c r="CI366" s="1318">
        <f t="shared" si="1043"/>
        <v>70</v>
      </c>
      <c r="CJ366" s="1317">
        <f t="shared" si="1043"/>
        <v>250</v>
      </c>
      <c r="CK366" s="1317">
        <f t="shared" si="1043"/>
        <v>1150</v>
      </c>
      <c r="CL366" s="1317" t="str">
        <f t="shared" si="1043"/>
        <v/>
      </c>
      <c r="CM366" s="1316" t="str">
        <f t="shared" si="1043"/>
        <v/>
      </c>
      <c r="CN366" s="538" t="str">
        <f t="shared" si="1044"/>
        <v/>
      </c>
      <c r="CO366" s="539" t="str">
        <f t="shared" si="1045"/>
        <v/>
      </c>
      <c r="CP366" s="539" t="str">
        <f t="shared" si="1046"/>
        <v/>
      </c>
      <c r="CQ366" s="539" t="str">
        <f t="shared" si="1047"/>
        <v/>
      </c>
      <c r="CR366" s="539" t="str">
        <f t="shared" si="1048"/>
        <v/>
      </c>
      <c r="CS366" s="539">
        <f t="shared" si="1049"/>
        <v>0</v>
      </c>
      <c r="CT366" s="540">
        <f t="shared" si="1050"/>
        <v>0</v>
      </c>
      <c r="CU366" s="540">
        <f t="shared" si="1051"/>
        <v>100</v>
      </c>
      <c r="CV366" s="540">
        <f t="shared" si="1052"/>
        <v>100</v>
      </c>
      <c r="CW366" s="539">
        <f t="shared" si="1053"/>
        <v>150</v>
      </c>
      <c r="CX366" s="539" t="str">
        <f t="shared" si="1054"/>
        <v/>
      </c>
      <c r="CY366" s="539" t="str">
        <f t="shared" si="1055"/>
        <v/>
      </c>
      <c r="CZ366" s="539" t="str">
        <f t="shared" si="1056"/>
        <v/>
      </c>
      <c r="DA366" s="539" t="str">
        <f t="shared" si="1057"/>
        <v/>
      </c>
      <c r="DB366" s="538" t="str">
        <f t="shared" si="1058"/>
        <v/>
      </c>
      <c r="DC366" s="537" t="str">
        <f t="shared" si="1059"/>
        <v/>
      </c>
      <c r="DD366" s="641">
        <f t="shared" si="1060"/>
        <v>5</v>
      </c>
      <c r="DE366" s="95">
        <f t="shared" si="1061"/>
        <v>5</v>
      </c>
      <c r="DF366" s="95">
        <f t="shared" si="1062"/>
        <v>6</v>
      </c>
      <c r="DG366" s="95">
        <f t="shared" si="1063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181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9"/>
        <v/>
      </c>
      <c r="CA367" s="586">
        <f t="shared" si="1040"/>
        <v>3</v>
      </c>
      <c r="CB367" s="586">
        <f t="shared" si="1041"/>
        <v>3.6666666666666665</v>
      </c>
      <c r="CC367" s="676">
        <f t="shared" si="1042"/>
        <v>5</v>
      </c>
      <c r="CD367" s="1316" t="str">
        <f t="shared" si="1043"/>
        <v/>
      </c>
      <c r="CE367" s="1317" t="str">
        <f t="shared" si="1043"/>
        <v/>
      </c>
      <c r="CF367" s="1317">
        <f t="shared" si="1043"/>
        <v>3</v>
      </c>
      <c r="CG367" s="1317">
        <f t="shared" si="1043"/>
        <v>3</v>
      </c>
      <c r="CH367" s="1318">
        <f t="shared" si="1043"/>
        <v>4</v>
      </c>
      <c r="CI367" s="1318">
        <f t="shared" si="1043"/>
        <v>4</v>
      </c>
      <c r="CJ367" s="1317">
        <f t="shared" si="1043"/>
        <v>5</v>
      </c>
      <c r="CK367" s="1317" t="str">
        <f t="shared" si="1043"/>
        <v/>
      </c>
      <c r="CL367" s="1317" t="str">
        <f t="shared" si="1043"/>
        <v/>
      </c>
      <c r="CM367" s="1316" t="str">
        <f t="shared" si="1043"/>
        <v/>
      </c>
      <c r="CN367" s="538" t="str">
        <f t="shared" si="1044"/>
        <v/>
      </c>
      <c r="CO367" s="539" t="str">
        <f t="shared" si="1045"/>
        <v/>
      </c>
      <c r="CP367" s="539" t="str">
        <f t="shared" si="1046"/>
        <v/>
      </c>
      <c r="CQ367" s="539" t="str">
        <f t="shared" si="1047"/>
        <v/>
      </c>
      <c r="CR367" s="539" t="str">
        <f t="shared" si="1048"/>
        <v/>
      </c>
      <c r="CS367" s="539" t="str">
        <f t="shared" si="1049"/>
        <v/>
      </c>
      <c r="CT367" s="540">
        <f t="shared" si="1050"/>
        <v>2</v>
      </c>
      <c r="CU367" s="540">
        <f t="shared" si="1051"/>
        <v>5</v>
      </c>
      <c r="CV367" s="540">
        <f t="shared" si="1052"/>
        <v>5</v>
      </c>
      <c r="CW367" s="539" t="str">
        <f t="shared" si="1053"/>
        <v/>
      </c>
      <c r="CX367" s="539" t="str">
        <f t="shared" si="1054"/>
        <v/>
      </c>
      <c r="CY367" s="539" t="str">
        <f t="shared" si="1055"/>
        <v/>
      </c>
      <c r="CZ367" s="539" t="str">
        <f t="shared" si="1056"/>
        <v/>
      </c>
      <c r="DA367" s="539" t="str">
        <f t="shared" si="1057"/>
        <v/>
      </c>
      <c r="DB367" s="538" t="str">
        <f t="shared" si="1058"/>
        <v/>
      </c>
      <c r="DC367" s="537" t="str">
        <f t="shared" si="1059"/>
        <v/>
      </c>
      <c r="DD367" s="641">
        <f t="shared" si="1060"/>
        <v>1</v>
      </c>
      <c r="DE367" s="95">
        <f t="shared" si="1061"/>
        <v>3</v>
      </c>
      <c r="DF367" s="95">
        <f t="shared" si="1062"/>
        <v>5</v>
      </c>
      <c r="DG367" s="95">
        <f t="shared" si="1063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183</v>
      </c>
      <c r="B368" s="618" t="str">
        <f t="shared" ref="B368:K368" si="1068">IF(B366="","",B366*B367)</f>
        <v/>
      </c>
      <c r="C368" s="618" t="str">
        <f t="shared" si="1068"/>
        <v/>
      </c>
      <c r="D368" s="618" t="str">
        <f t="shared" si="1068"/>
        <v/>
      </c>
      <c r="E368" s="618" t="str">
        <f t="shared" si="1068"/>
        <v/>
      </c>
      <c r="F368" s="618" t="str">
        <f t="shared" si="1068"/>
        <v/>
      </c>
      <c r="G368" s="618">
        <f t="shared" si="1068"/>
        <v>0</v>
      </c>
      <c r="H368" s="618">
        <f t="shared" si="1068"/>
        <v>0</v>
      </c>
      <c r="I368" s="618">
        <f t="shared" si="1068"/>
        <v>40</v>
      </c>
      <c r="J368" s="618">
        <f t="shared" si="1068"/>
        <v>0</v>
      </c>
      <c r="K368" s="618">
        <f t="shared" si="1068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9">IF(T366="","",T366*T367)</f>
        <v>60</v>
      </c>
      <c r="U368" s="618" t="str">
        <f t="shared" si="1069"/>
        <v/>
      </c>
      <c r="V368" s="618" t="str">
        <f t="shared" si="1069"/>
        <v/>
      </c>
      <c r="W368" s="618" t="str">
        <f t="shared" si="1069"/>
        <v/>
      </c>
      <c r="X368" s="618" t="str">
        <f t="shared" si="1069"/>
        <v/>
      </c>
      <c r="Y368" s="618" t="str">
        <f t="shared" si="1069"/>
        <v/>
      </c>
      <c r="Z368" s="618">
        <f t="shared" si="1069"/>
        <v>0</v>
      </c>
      <c r="AA368" s="618">
        <f t="shared" si="1069"/>
        <v>180</v>
      </c>
      <c r="AB368" s="618">
        <f t="shared" si="1069"/>
        <v>30</v>
      </c>
      <c r="AC368" s="618">
        <f t="shared" si="1069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70">IF(AL366="","",AL366*AL367)</f>
        <v>5750</v>
      </c>
      <c r="AM368" s="618" t="str">
        <f t="shared" si="1070"/>
        <v/>
      </c>
      <c r="AN368" s="618" t="str">
        <f t="shared" si="1070"/>
        <v/>
      </c>
      <c r="AO368" s="618" t="str">
        <f t="shared" si="1070"/>
        <v/>
      </c>
      <c r="AP368" s="618" t="str">
        <f t="shared" si="1070"/>
        <v/>
      </c>
      <c r="AQ368" s="618">
        <f t="shared" si="1070"/>
        <v>210</v>
      </c>
      <c r="AR368" s="618">
        <f t="shared" si="1070"/>
        <v>210</v>
      </c>
      <c r="AS368" s="618">
        <f t="shared" si="1070"/>
        <v>0</v>
      </c>
      <c r="AT368" s="618">
        <f t="shared" si="1070"/>
        <v>0</v>
      </c>
      <c r="AU368" s="618">
        <f t="shared" si="1070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71">IF(BD366="","",BD366*BD367)</f>
        <v>0</v>
      </c>
      <c r="BE368" s="618" t="str">
        <f t="shared" si="1071"/>
        <v/>
      </c>
      <c r="BF368" s="618" t="str">
        <f t="shared" si="1071"/>
        <v/>
      </c>
      <c r="BG368" s="618" t="str">
        <f t="shared" si="1071"/>
        <v/>
      </c>
      <c r="BH368" s="618" t="str">
        <f t="shared" si="1071"/>
        <v/>
      </c>
      <c r="BI368" s="618">
        <f t="shared" si="1071"/>
        <v>500</v>
      </c>
      <c r="BJ368" s="618">
        <f t="shared" si="1071"/>
        <v>0</v>
      </c>
      <c r="BK368" s="618">
        <f t="shared" si="1071"/>
        <v>750</v>
      </c>
      <c r="BL368" s="618" t="str">
        <f t="shared" si="1071"/>
        <v/>
      </c>
      <c r="BM368" s="618">
        <f t="shared" si="1071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9"/>
        <v>0</v>
      </c>
      <c r="CA368" s="586">
        <f t="shared" si="1040"/>
        <v>30</v>
      </c>
      <c r="CB368" s="586">
        <f t="shared" si="1041"/>
        <v>355</v>
      </c>
      <c r="CC368" s="676">
        <f t="shared" si="1042"/>
        <v>233.33333333333334</v>
      </c>
      <c r="CD368" s="1316" t="str">
        <f t="shared" si="1043"/>
        <v/>
      </c>
      <c r="CE368" s="1317" t="str">
        <f t="shared" si="1043"/>
        <v/>
      </c>
      <c r="CF368" s="1317">
        <f t="shared" si="1043"/>
        <v>0</v>
      </c>
      <c r="CG368" s="1317">
        <f t="shared" si="1043"/>
        <v>0</v>
      </c>
      <c r="CH368" s="1318">
        <f t="shared" si="1043"/>
        <v>210</v>
      </c>
      <c r="CI368" s="1318">
        <f t="shared" si="1043"/>
        <v>210</v>
      </c>
      <c r="CJ368" s="1317">
        <f t="shared" si="1043"/>
        <v>1000</v>
      </c>
      <c r="CK368" s="1317">
        <f t="shared" si="1043"/>
        <v>5750</v>
      </c>
      <c r="CL368" s="1317" t="str">
        <f t="shared" si="1043"/>
        <v/>
      </c>
      <c r="CM368" s="1316" t="str">
        <f t="shared" si="1043"/>
        <v/>
      </c>
      <c r="CN368" s="538" t="str">
        <f t="shared" si="1044"/>
        <v/>
      </c>
      <c r="CO368" s="539" t="str">
        <f t="shared" si="1045"/>
        <v/>
      </c>
      <c r="CP368" s="539" t="str">
        <f t="shared" si="1046"/>
        <v/>
      </c>
      <c r="CQ368" s="539" t="str">
        <f t="shared" si="1047"/>
        <v/>
      </c>
      <c r="CR368" s="539" t="str">
        <f t="shared" si="1048"/>
        <v/>
      </c>
      <c r="CS368" s="539">
        <f t="shared" si="1049"/>
        <v>0</v>
      </c>
      <c r="CT368" s="540">
        <f t="shared" si="1050"/>
        <v>0</v>
      </c>
      <c r="CU368" s="540">
        <f t="shared" si="1051"/>
        <v>200</v>
      </c>
      <c r="CV368" s="540">
        <f t="shared" si="1052"/>
        <v>500</v>
      </c>
      <c r="CW368" s="539">
        <f t="shared" si="1053"/>
        <v>750</v>
      </c>
      <c r="CX368" s="539" t="str">
        <f t="shared" si="1054"/>
        <v/>
      </c>
      <c r="CY368" s="539" t="str">
        <f t="shared" si="1055"/>
        <v/>
      </c>
      <c r="CZ368" s="539" t="str">
        <f t="shared" si="1056"/>
        <v/>
      </c>
      <c r="DA368" s="539" t="str">
        <f t="shared" si="1057"/>
        <v/>
      </c>
      <c r="DB368" s="538" t="str">
        <f t="shared" si="1058"/>
        <v/>
      </c>
      <c r="DC368" s="537" t="str">
        <f t="shared" si="1059"/>
        <v/>
      </c>
      <c r="DD368" s="641">
        <f t="shared" si="1060"/>
        <v>5</v>
      </c>
      <c r="DE368" s="95">
        <f t="shared" si="1061"/>
        <v>5</v>
      </c>
      <c r="DF368" s="95">
        <f t="shared" si="1062"/>
        <v>6</v>
      </c>
      <c r="DG368" s="95">
        <f t="shared" si="1063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258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9"/>
        <v/>
      </c>
      <c r="CA369" s="586">
        <f t="shared" si="1040"/>
        <v>15</v>
      </c>
      <c r="CB369" s="586">
        <f t="shared" si="1041"/>
        <v>6.666666666666667</v>
      </c>
      <c r="CC369" s="676">
        <f t="shared" si="1042"/>
        <v>8.3333333333333339</v>
      </c>
      <c r="CD369" s="1316" t="str">
        <f t="shared" si="1043"/>
        <v/>
      </c>
      <c r="CE369" s="1317" t="str">
        <f t="shared" si="1043"/>
        <v/>
      </c>
      <c r="CF369" s="1317">
        <f t="shared" si="1043"/>
        <v>2</v>
      </c>
      <c r="CG369" s="1317">
        <f t="shared" si="1043"/>
        <v>5</v>
      </c>
      <c r="CH369" s="1318">
        <f t="shared" si="1043"/>
        <v>5</v>
      </c>
      <c r="CI369" s="1318">
        <f t="shared" si="1043"/>
        <v>10</v>
      </c>
      <c r="CJ369" s="1317">
        <f t="shared" si="1043"/>
        <v>10</v>
      </c>
      <c r="CK369" s="1317" t="str">
        <f t="shared" si="1043"/>
        <v/>
      </c>
      <c r="CL369" s="1317" t="str">
        <f t="shared" si="1043"/>
        <v/>
      </c>
      <c r="CM369" s="1316" t="str">
        <f t="shared" si="1043"/>
        <v/>
      </c>
      <c r="CN369" s="538" t="str">
        <f t="shared" si="1044"/>
        <v/>
      </c>
      <c r="CO369" s="539" t="str">
        <f t="shared" si="1045"/>
        <v/>
      </c>
      <c r="CP369" s="539" t="str">
        <f t="shared" si="1046"/>
        <v/>
      </c>
      <c r="CQ369" s="539" t="str">
        <f t="shared" si="1047"/>
        <v/>
      </c>
      <c r="CR369" s="539" t="str">
        <f t="shared" si="1048"/>
        <v/>
      </c>
      <c r="CS369" s="539">
        <f t="shared" si="1049"/>
        <v>0</v>
      </c>
      <c r="CT369" s="540">
        <f t="shared" si="1050"/>
        <v>0</v>
      </c>
      <c r="CU369" s="540">
        <f t="shared" si="1051"/>
        <v>0</v>
      </c>
      <c r="CV369" s="540">
        <f t="shared" si="1052"/>
        <v>25</v>
      </c>
      <c r="CW369" s="539">
        <f t="shared" si="1053"/>
        <v>50</v>
      </c>
      <c r="CX369" s="539" t="str">
        <f t="shared" si="1054"/>
        <v/>
      </c>
      <c r="CY369" s="539" t="str">
        <f t="shared" si="1055"/>
        <v/>
      </c>
      <c r="CZ369" s="539" t="str">
        <f t="shared" si="1056"/>
        <v/>
      </c>
      <c r="DA369" s="539" t="str">
        <f t="shared" si="1057"/>
        <v/>
      </c>
      <c r="DB369" s="538" t="str">
        <f t="shared" si="1058"/>
        <v/>
      </c>
      <c r="DC369" s="537" t="str">
        <f t="shared" si="1059"/>
        <v/>
      </c>
      <c r="DD369" s="641">
        <f t="shared" si="1060"/>
        <v>1</v>
      </c>
      <c r="DE369" s="95">
        <f t="shared" si="1061"/>
        <v>4</v>
      </c>
      <c r="DF369" s="95">
        <f t="shared" si="1062"/>
        <v>5</v>
      </c>
      <c r="DG369" s="95">
        <f t="shared" si="1063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227</v>
      </c>
      <c r="B370" s="621" t="str">
        <f t="shared" ref="B370:K370" si="1072">IF(B364="","",(B364-B366-B369)*B365/B$46/365/$G$1)</f>
        <v/>
      </c>
      <c r="C370" s="621" t="str">
        <f t="shared" si="1072"/>
        <v/>
      </c>
      <c r="D370" s="621" t="str">
        <f t="shared" si="1072"/>
        <v/>
      </c>
      <c r="E370" s="621" t="str">
        <f t="shared" si="1072"/>
        <v/>
      </c>
      <c r="F370" s="621" t="str">
        <f t="shared" si="1072"/>
        <v/>
      </c>
      <c r="G370" s="621">
        <f t="shared" si="1072"/>
        <v>1.2219800747198008E-2</v>
      </c>
      <c r="H370" s="621">
        <f t="shared" si="1072"/>
        <v>3.2586135325861354E-2</v>
      </c>
      <c r="I370" s="621">
        <f t="shared" si="1072"/>
        <v>7.820672478206725E-3</v>
      </c>
      <c r="J370" s="621">
        <f t="shared" si="1072"/>
        <v>1.8329701120797012E-2</v>
      </c>
      <c r="K370" s="621">
        <f t="shared" si="1072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3">IF(T364="","",(T364-T366-T369)*T365/T$46/365/$G$1)</f>
        <v>1.1608810709838107E-2</v>
      </c>
      <c r="U370" s="621" t="str">
        <f t="shared" si="1073"/>
        <v/>
      </c>
      <c r="V370" s="621" t="str">
        <f t="shared" si="1073"/>
        <v/>
      </c>
      <c r="W370" s="621" t="str">
        <f t="shared" si="1073"/>
        <v/>
      </c>
      <c r="X370" s="621" t="str">
        <f t="shared" si="1073"/>
        <v/>
      </c>
      <c r="Y370" s="621">
        <f t="shared" si="1073"/>
        <v>2.4439601494396015E-2</v>
      </c>
      <c r="Z370" s="621">
        <f t="shared" si="1073"/>
        <v>1.6836169918361701E-2</v>
      </c>
      <c r="AA370" s="621">
        <f t="shared" si="1073"/>
        <v>1.6618929016189291E-2</v>
      </c>
      <c r="AB370" s="621">
        <f t="shared" si="1073"/>
        <v>1.1608810709838107E-2</v>
      </c>
      <c r="AC370" s="621">
        <f t="shared" si="1073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4">IF(AL364="","",(AL364-AL366-AL369)*AL365/AL$46/365/$G$1)</f>
        <v>1.3965486568226293E-2</v>
      </c>
      <c r="AM370" s="621" t="str">
        <f t="shared" si="1074"/>
        <v/>
      </c>
      <c r="AN370" s="621" t="str">
        <f t="shared" si="1074"/>
        <v/>
      </c>
      <c r="AO370" s="621" t="str">
        <f t="shared" si="1074"/>
        <v/>
      </c>
      <c r="AP370" s="621" t="str">
        <f t="shared" si="1074"/>
        <v/>
      </c>
      <c r="AQ370" s="621">
        <f t="shared" si="1074"/>
        <v>3.4215442092154422E-2</v>
      </c>
      <c r="AR370" s="621">
        <f t="shared" si="1074"/>
        <v>5.2370574630848599E-2</v>
      </c>
      <c r="AS370" s="621">
        <f t="shared" si="1074"/>
        <v>2.9132004981320053E-2</v>
      </c>
      <c r="AT370" s="621">
        <f t="shared" si="1074"/>
        <v>2.2484433374844334E-2</v>
      </c>
      <c r="AU370" s="621">
        <f t="shared" si="1074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5">IF(BD364="","",(BD364-BD366-BD369)*BD365/BD$46/365/$G$1)</f>
        <v>8.1465338314653385E-3</v>
      </c>
      <c r="BE370" s="621" t="str">
        <f t="shared" si="1075"/>
        <v/>
      </c>
      <c r="BF370" s="621" t="str">
        <f t="shared" si="1075"/>
        <v/>
      </c>
      <c r="BG370" s="621" t="str">
        <f t="shared" si="1075"/>
        <v/>
      </c>
      <c r="BH370" s="621" t="str">
        <f t="shared" si="1075"/>
        <v/>
      </c>
      <c r="BI370" s="621">
        <f t="shared" si="1075"/>
        <v>9.7758405977584062E-3</v>
      </c>
      <c r="BJ370" s="621">
        <f t="shared" si="1075"/>
        <v>1.2219800747198008E-2</v>
      </c>
      <c r="BK370" s="621">
        <f t="shared" si="1075"/>
        <v>4.8879202988792031E-2</v>
      </c>
      <c r="BL370" s="621">
        <f t="shared" si="1075"/>
        <v>2.2217819540360013E-2</v>
      </c>
      <c r="BM370" s="621">
        <f t="shared" si="1075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9"/>
        <v>1.279005811540058E-2</v>
      </c>
      <c r="CA370" s="611">
        <f t="shared" si="1040"/>
        <v>1.41681800885568E-2</v>
      </c>
      <c r="CB370" s="611">
        <f t="shared" si="1041"/>
        <v>3.2211394769613939E-2</v>
      </c>
      <c r="CC370" s="679">
        <f t="shared" si="1042"/>
        <v>2.0654637236984678E-2</v>
      </c>
      <c r="CD370" s="1319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0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0">
        <f t="shared" si="1076"/>
        <v>1.3965486568226293E-2</v>
      </c>
      <c r="CG370" s="1320">
        <f t="shared" si="1076"/>
        <v>2.2484433374844334E-2</v>
      </c>
      <c r="CH370" s="1321">
        <f t="shared" si="1076"/>
        <v>2.9132004981320053E-2</v>
      </c>
      <c r="CI370" s="1321">
        <f t="shared" si="1076"/>
        <v>3.4215442092154422E-2</v>
      </c>
      <c r="CJ370" s="1320">
        <f t="shared" si="1076"/>
        <v>4.3013698630136987E-2</v>
      </c>
      <c r="CK370" s="1320">
        <f t="shared" si="1076"/>
        <v>5.2370574630848599E-2</v>
      </c>
      <c r="CL370" s="1320" t="str">
        <f t="shared" si="1076"/>
        <v/>
      </c>
      <c r="CM370" s="1319" t="str">
        <f t="shared" si="1076"/>
        <v/>
      </c>
      <c r="CN370" s="526" t="str">
        <f t="shared" si="1044"/>
        <v/>
      </c>
      <c r="CO370" s="527" t="str">
        <f t="shared" si="1045"/>
        <v/>
      </c>
      <c r="CP370" s="527" t="str">
        <f t="shared" si="1046"/>
        <v/>
      </c>
      <c r="CQ370" s="527" t="str">
        <f t="shared" si="1047"/>
        <v/>
      </c>
      <c r="CR370" s="527" t="str">
        <f t="shared" si="1048"/>
        <v/>
      </c>
      <c r="CS370" s="527">
        <f t="shared" si="1049"/>
        <v>8.1465338314653385E-3</v>
      </c>
      <c r="CT370" s="528">
        <f t="shared" si="1050"/>
        <v>9.7758405977584062E-3</v>
      </c>
      <c r="CU370" s="528">
        <f t="shared" si="1051"/>
        <v>1.2219800747198008E-2</v>
      </c>
      <c r="CV370" s="528">
        <f t="shared" si="1052"/>
        <v>2.2217819540360013E-2</v>
      </c>
      <c r="CW370" s="527">
        <f t="shared" si="1053"/>
        <v>3.8405088062622307E-2</v>
      </c>
      <c r="CX370" s="527">
        <f t="shared" si="1054"/>
        <v>4.8879202988792031E-2</v>
      </c>
      <c r="CY370" s="527" t="str">
        <f t="shared" si="1055"/>
        <v/>
      </c>
      <c r="CZ370" s="527" t="str">
        <f t="shared" si="1056"/>
        <v/>
      </c>
      <c r="DA370" s="527" t="str">
        <f t="shared" si="1057"/>
        <v/>
      </c>
      <c r="DB370" s="526" t="str">
        <f t="shared" si="1058"/>
        <v/>
      </c>
      <c r="DC370" s="525" t="str">
        <f t="shared" si="1059"/>
        <v/>
      </c>
      <c r="DD370" s="641">
        <f t="shared" si="1060"/>
        <v>5</v>
      </c>
      <c r="DE370" s="95">
        <f t="shared" si="1061"/>
        <v>6</v>
      </c>
      <c r="DF370" s="95">
        <f t="shared" si="1062"/>
        <v>6</v>
      </c>
      <c r="DG370" s="95">
        <f t="shared" si="1063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927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9"/>
        <v/>
      </c>
      <c r="CA371" s="578" t="str">
        <f t="shared" si="1040"/>
        <v/>
      </c>
      <c r="CB371" s="578" t="str">
        <f t="shared" si="1041"/>
        <v/>
      </c>
      <c r="CC371" s="675" t="str">
        <f t="shared" si="1042"/>
        <v/>
      </c>
      <c r="CD371" s="1339"/>
      <c r="CE371" s="1339"/>
      <c r="CF371" s="1339"/>
      <c r="CG371" s="1339"/>
      <c r="CH371" s="1339"/>
      <c r="CI371" s="1339"/>
      <c r="CJ371" s="1339"/>
      <c r="CK371" s="1339"/>
      <c r="CL371" s="1339"/>
      <c r="CM371" s="1339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270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9"/>
        <v/>
      </c>
      <c r="CA372" s="586" t="str">
        <f t="shared" si="1040"/>
        <v/>
      </c>
      <c r="CB372" s="586" t="str">
        <f t="shared" si="1041"/>
        <v/>
      </c>
      <c r="CC372" s="676">
        <f t="shared" si="1042"/>
        <v>1.5999999999999996</v>
      </c>
      <c r="CD372" s="1316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7" t="str">
        <f t="shared" si="1077"/>
        <v/>
      </c>
      <c r="CF372" s="1317" t="str">
        <f t="shared" si="1077"/>
        <v/>
      </c>
      <c r="CG372" s="1317" t="str">
        <f t="shared" si="1077"/>
        <v/>
      </c>
      <c r="CH372" s="1318" t="str">
        <f t="shared" si="1077"/>
        <v/>
      </c>
      <c r="CI372" s="1318" t="str">
        <f t="shared" si="1077"/>
        <v/>
      </c>
      <c r="CJ372" s="1317" t="str">
        <f t="shared" si="1077"/>
        <v/>
      </c>
      <c r="CK372" s="1317" t="str">
        <f t="shared" si="1077"/>
        <v/>
      </c>
      <c r="CL372" s="1317" t="str">
        <f t="shared" si="1077"/>
        <v/>
      </c>
      <c r="CM372" s="1316" t="str">
        <f t="shared" si="1077"/>
        <v/>
      </c>
      <c r="CN372" s="538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8"/>
        <v/>
      </c>
      <c r="CP372" s="539" t="str">
        <f t="shared" si="1078"/>
        <v/>
      </c>
      <c r="CQ372" s="539" t="str">
        <f t="shared" si="1078"/>
        <v/>
      </c>
      <c r="CR372" s="539" t="str">
        <f t="shared" si="1078"/>
        <v/>
      </c>
      <c r="CS372" s="539" t="str">
        <f t="shared" si="1078"/>
        <v/>
      </c>
      <c r="CT372" s="540">
        <f t="shared" si="1078"/>
        <v>1</v>
      </c>
      <c r="CU372" s="540">
        <f t="shared" si="1078"/>
        <v>1.6</v>
      </c>
      <c r="CV372" s="540">
        <f t="shared" si="1078"/>
        <v>5</v>
      </c>
      <c r="CW372" s="539" t="str">
        <f t="shared" si="1078"/>
        <v/>
      </c>
      <c r="CX372" s="539" t="str">
        <f t="shared" si="1078"/>
        <v/>
      </c>
      <c r="CY372" s="539" t="str">
        <f t="shared" si="1078"/>
        <v/>
      </c>
      <c r="CZ372" s="539" t="str">
        <f t="shared" si="1078"/>
        <v/>
      </c>
      <c r="DA372" s="539" t="str">
        <f t="shared" si="1078"/>
        <v/>
      </c>
      <c r="DB372" s="538" t="str">
        <f t="shared" si="1078"/>
        <v/>
      </c>
      <c r="DC372" s="537" t="str">
        <f t="shared" si="1078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265</v>
      </c>
      <c r="B373" s="150" t="s">
        <v>267</v>
      </c>
      <c r="C373" s="150" t="s">
        <v>267</v>
      </c>
      <c r="D373" s="150" t="s">
        <v>267</v>
      </c>
      <c r="E373" s="150" t="s">
        <v>267</v>
      </c>
      <c r="F373" s="150" t="s">
        <v>267</v>
      </c>
      <c r="G373" s="150" t="s">
        <v>267</v>
      </c>
      <c r="H373" s="150" t="s">
        <v>267</v>
      </c>
      <c r="I373" s="150" t="s">
        <v>267</v>
      </c>
      <c r="J373" s="150" t="s">
        <v>267</v>
      </c>
      <c r="K373" s="150" t="s">
        <v>267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267</v>
      </c>
      <c r="U373" s="150" t="s">
        <v>267</v>
      </c>
      <c r="V373" s="150" t="s">
        <v>267</v>
      </c>
      <c r="W373" s="150" t="s">
        <v>267</v>
      </c>
      <c r="X373" s="150" t="s">
        <v>267</v>
      </c>
      <c r="Y373" s="150" t="s">
        <v>267</v>
      </c>
      <c r="Z373" s="150" t="s">
        <v>267</v>
      </c>
      <c r="AA373" s="150" t="s">
        <v>267</v>
      </c>
      <c r="AB373" s="150" t="s">
        <v>267</v>
      </c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267</v>
      </c>
      <c r="AM373" s="150" t="s">
        <v>267</v>
      </c>
      <c r="AN373" s="150" t="s">
        <v>267</v>
      </c>
      <c r="AO373" s="150" t="s">
        <v>267</v>
      </c>
      <c r="AP373" s="150" t="s">
        <v>267</v>
      </c>
      <c r="AQ373" s="150" t="s">
        <v>267</v>
      </c>
      <c r="AR373" s="150" t="s">
        <v>267</v>
      </c>
      <c r="AS373" s="150" t="s">
        <v>267</v>
      </c>
      <c r="AT373" s="150" t="s">
        <v>267</v>
      </c>
      <c r="AU373" s="150" t="s">
        <v>267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267</v>
      </c>
      <c r="BW373" s="150" t="s">
        <v>267</v>
      </c>
      <c r="BX373" s="150" t="s">
        <v>267</v>
      </c>
      <c r="BY373" s="150" t="s">
        <v>267</v>
      </c>
      <c r="BZ373" s="578"/>
      <c r="CA373" s="578"/>
      <c r="CB373" s="578"/>
      <c r="CC373" s="675"/>
      <c r="CD373" s="1338"/>
      <c r="CE373" s="1338"/>
      <c r="CF373" s="1338"/>
      <c r="CG373" s="1338"/>
      <c r="CH373" s="1338"/>
      <c r="CI373" s="1338"/>
      <c r="CJ373" s="1338"/>
      <c r="CK373" s="1338"/>
      <c r="CL373" s="1338"/>
      <c r="CM373" s="1338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266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9">IF(DD374&lt;3,"",(SUM(B374:R374)-MIN(B374:R374)-MAX(B374:R374))/(DD374-2))</f>
        <v/>
      </c>
      <c r="CA374" s="586" t="str">
        <f t="shared" ref="CA374:CA381" si="1080">IF(DE374&lt;3,"",(SUM(T374:AJ374)-MIN(T374:AJ374)-MAX(T374:AJ374))/(DE374-2))</f>
        <v/>
      </c>
      <c r="CB374" s="586" t="str">
        <f t="shared" ref="CB374:CB381" si="1081">IF(DF374&lt;3,"",(SUM(AL374:BB374)-MIN(AL374:BB374)-MAX(AL374:BB374))/(DF374-2))</f>
        <v/>
      </c>
      <c r="CC374" s="676">
        <f t="shared" ref="CC374:CC381" si="1082">IF(DG374&lt;3,"",(SUM(BD374:BT374)-MIN(BD374:BT374)-MAX(BD374:BT374))/(DG374-2))</f>
        <v>50</v>
      </c>
      <c r="CD374" s="1316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7" t="str">
        <f t="shared" si="1083"/>
        <v/>
      </c>
      <c r="CF374" s="1317" t="str">
        <f t="shared" si="1083"/>
        <v/>
      </c>
      <c r="CG374" s="1317" t="str">
        <f t="shared" si="1083"/>
        <v/>
      </c>
      <c r="CH374" s="1318" t="str">
        <f t="shared" si="1083"/>
        <v/>
      </c>
      <c r="CI374" s="1318" t="str">
        <f t="shared" si="1083"/>
        <v/>
      </c>
      <c r="CJ374" s="1317" t="str">
        <f t="shared" si="1083"/>
        <v/>
      </c>
      <c r="CK374" s="1317" t="str">
        <f t="shared" si="1083"/>
        <v/>
      </c>
      <c r="CL374" s="1317" t="str">
        <f t="shared" si="1083"/>
        <v/>
      </c>
      <c r="CM374" s="1316" t="str">
        <f t="shared" si="1083"/>
        <v/>
      </c>
      <c r="CN374" s="538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100">COUNT(B374:R374)</f>
        <v>2</v>
      </c>
      <c r="DE374" s="95">
        <f t="shared" ref="DE374:DE381" si="1101">COUNT(T374:AJ374)</f>
        <v>0</v>
      </c>
      <c r="DF374" s="95">
        <f t="shared" ref="DF374:DF381" si="1102">COUNT(AL374:BB374)</f>
        <v>0</v>
      </c>
      <c r="DG374" s="95">
        <f t="shared" ref="DG374:DG381" si="1103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267</v>
      </c>
      <c r="B375" s="618">
        <f t="shared" ref="B375:K375" si="1104">IF(B372="","",B372*B374)</f>
        <v>80</v>
      </c>
      <c r="C375" s="618" t="str">
        <f t="shared" si="1104"/>
        <v/>
      </c>
      <c r="D375" s="618">
        <f t="shared" si="1104"/>
        <v>250</v>
      </c>
      <c r="E375" s="618" t="str">
        <f t="shared" si="1104"/>
        <v/>
      </c>
      <c r="F375" s="618" t="str">
        <f t="shared" si="1104"/>
        <v/>
      </c>
      <c r="G375" s="618" t="str">
        <f t="shared" si="1104"/>
        <v/>
      </c>
      <c r="H375" s="618" t="str">
        <f t="shared" si="1104"/>
        <v/>
      </c>
      <c r="I375" s="618" t="str">
        <f t="shared" si="1104"/>
        <v/>
      </c>
      <c r="J375" s="618" t="str">
        <f t="shared" si="1104"/>
        <v/>
      </c>
      <c r="K375" s="618" t="str">
        <f t="shared" si="1104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5">IF(T372="","",T372*T374)</f>
        <v/>
      </c>
      <c r="U375" s="618" t="str">
        <f t="shared" si="1105"/>
        <v/>
      </c>
      <c r="V375" s="618" t="str">
        <f t="shared" si="1105"/>
        <v/>
      </c>
      <c r="W375" s="618" t="str">
        <f t="shared" si="1105"/>
        <v/>
      </c>
      <c r="X375" s="618" t="str">
        <f t="shared" si="1105"/>
        <v/>
      </c>
      <c r="Y375" s="618" t="str">
        <f t="shared" si="1105"/>
        <v/>
      </c>
      <c r="Z375" s="618" t="str">
        <f t="shared" si="1105"/>
        <v/>
      </c>
      <c r="AA375" s="618" t="str">
        <f t="shared" si="1105"/>
        <v/>
      </c>
      <c r="AB375" s="618" t="str">
        <f t="shared" si="1105"/>
        <v/>
      </c>
      <c r="AC375" s="618" t="str">
        <f t="shared" si="1105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6">IF(AL372="","",AL372*AL374)</f>
        <v/>
      </c>
      <c r="AM375" s="618" t="str">
        <f t="shared" si="1106"/>
        <v/>
      </c>
      <c r="AN375" s="618" t="str">
        <f t="shared" si="1106"/>
        <v/>
      </c>
      <c r="AO375" s="618" t="str">
        <f t="shared" si="1106"/>
        <v/>
      </c>
      <c r="AP375" s="618" t="str">
        <f t="shared" si="1106"/>
        <v/>
      </c>
      <c r="AQ375" s="618" t="str">
        <f t="shared" si="1106"/>
        <v/>
      </c>
      <c r="AR375" s="618" t="str">
        <f t="shared" si="1106"/>
        <v/>
      </c>
      <c r="AS375" s="618" t="str">
        <f t="shared" si="1106"/>
        <v/>
      </c>
      <c r="AT375" s="618" t="str">
        <f t="shared" si="1106"/>
        <v/>
      </c>
      <c r="AU375" s="618" t="str">
        <f t="shared" si="1106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7">IF(BD372="","",BD372*BD374)</f>
        <v>80</v>
      </c>
      <c r="BE375" s="618" t="str">
        <f t="shared" si="1107"/>
        <v/>
      </c>
      <c r="BF375" s="618" t="str">
        <f t="shared" si="1107"/>
        <v/>
      </c>
      <c r="BG375" s="618">
        <f t="shared" si="1107"/>
        <v>250</v>
      </c>
      <c r="BH375" s="618" t="str">
        <f t="shared" si="1107"/>
        <v/>
      </c>
      <c r="BI375" s="618" t="str">
        <f t="shared" si="1107"/>
        <v/>
      </c>
      <c r="BJ375" s="618" t="str">
        <f t="shared" si="1107"/>
        <v/>
      </c>
      <c r="BK375" s="618" t="str">
        <f t="shared" si="1107"/>
        <v/>
      </c>
      <c r="BL375" s="618">
        <f t="shared" si="1107"/>
        <v>50</v>
      </c>
      <c r="BM375" s="618" t="str">
        <f t="shared" si="1107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9"/>
        <v/>
      </c>
      <c r="CA375" s="586" t="str">
        <f t="shared" si="1080"/>
        <v/>
      </c>
      <c r="CB375" s="586" t="str">
        <f t="shared" si="1081"/>
        <v/>
      </c>
      <c r="CC375" s="676">
        <f t="shared" si="1082"/>
        <v>80</v>
      </c>
      <c r="CD375" s="1316" t="str">
        <f t="shared" si="1083"/>
        <v/>
      </c>
      <c r="CE375" s="1317" t="str">
        <f t="shared" si="1083"/>
        <v/>
      </c>
      <c r="CF375" s="1317" t="str">
        <f t="shared" si="1083"/>
        <v/>
      </c>
      <c r="CG375" s="1317" t="str">
        <f t="shared" si="1083"/>
        <v/>
      </c>
      <c r="CH375" s="1318" t="str">
        <f t="shared" si="1083"/>
        <v/>
      </c>
      <c r="CI375" s="1318" t="str">
        <f t="shared" si="1083"/>
        <v/>
      </c>
      <c r="CJ375" s="1317" t="str">
        <f t="shared" si="1083"/>
        <v/>
      </c>
      <c r="CK375" s="1317" t="str">
        <f t="shared" si="1083"/>
        <v/>
      </c>
      <c r="CL375" s="1317" t="str">
        <f t="shared" si="1083"/>
        <v/>
      </c>
      <c r="CM375" s="1316" t="str">
        <f t="shared" si="1083"/>
        <v/>
      </c>
      <c r="CN375" s="538" t="str">
        <f t="shared" si="1084"/>
        <v/>
      </c>
      <c r="CO375" s="539" t="str">
        <f t="shared" si="1085"/>
        <v/>
      </c>
      <c r="CP375" s="539" t="str">
        <f t="shared" si="1086"/>
        <v/>
      </c>
      <c r="CQ375" s="539" t="str">
        <f t="shared" si="1087"/>
        <v/>
      </c>
      <c r="CR375" s="539" t="str">
        <f t="shared" si="1088"/>
        <v/>
      </c>
      <c r="CS375" s="539" t="str">
        <f t="shared" si="1089"/>
        <v/>
      </c>
      <c r="CT375" s="540">
        <f t="shared" si="1090"/>
        <v>50</v>
      </c>
      <c r="CU375" s="540">
        <f t="shared" si="1091"/>
        <v>80</v>
      </c>
      <c r="CV375" s="540">
        <f t="shared" si="1092"/>
        <v>250</v>
      </c>
      <c r="CW375" s="539" t="str">
        <f t="shared" si="1093"/>
        <v/>
      </c>
      <c r="CX375" s="539" t="str">
        <f t="shared" si="1094"/>
        <v/>
      </c>
      <c r="CY375" s="539" t="str">
        <f t="shared" si="1095"/>
        <v/>
      </c>
      <c r="CZ375" s="539" t="str">
        <f t="shared" si="1096"/>
        <v/>
      </c>
      <c r="DA375" s="539" t="str">
        <f t="shared" si="1097"/>
        <v/>
      </c>
      <c r="DB375" s="538" t="str">
        <f t="shared" si="1098"/>
        <v/>
      </c>
      <c r="DC375" s="537" t="str">
        <f t="shared" si="1099"/>
        <v/>
      </c>
      <c r="DD375" s="641">
        <f t="shared" si="1100"/>
        <v>2</v>
      </c>
      <c r="DE375" s="95">
        <f t="shared" si="1101"/>
        <v>0</v>
      </c>
      <c r="DF375" s="95">
        <f t="shared" si="1102"/>
        <v>0</v>
      </c>
      <c r="DG375" s="95">
        <f t="shared" si="1103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260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9"/>
        <v>14190</v>
      </c>
      <c r="CA376" s="586">
        <f t="shared" si="1080"/>
        <v>14190</v>
      </c>
      <c r="CB376" s="586">
        <f t="shared" si="1081"/>
        <v>14190</v>
      </c>
      <c r="CC376" s="676">
        <f t="shared" si="1082"/>
        <v>14190</v>
      </c>
      <c r="CD376" s="1316">
        <f t="shared" si="1083"/>
        <v>14190</v>
      </c>
      <c r="CE376" s="1317">
        <f t="shared" si="1083"/>
        <v>14190</v>
      </c>
      <c r="CF376" s="1317">
        <f t="shared" si="1083"/>
        <v>14190</v>
      </c>
      <c r="CG376" s="1317">
        <f t="shared" si="1083"/>
        <v>14190</v>
      </c>
      <c r="CH376" s="1318">
        <f t="shared" si="1083"/>
        <v>14190</v>
      </c>
      <c r="CI376" s="1318">
        <f t="shared" si="1083"/>
        <v>14190</v>
      </c>
      <c r="CJ376" s="1317">
        <f t="shared" si="1083"/>
        <v>14190</v>
      </c>
      <c r="CK376" s="1317">
        <f t="shared" si="1083"/>
        <v>14190</v>
      </c>
      <c r="CL376" s="1317">
        <f t="shared" si="1083"/>
        <v>14190</v>
      </c>
      <c r="CM376" s="1316">
        <f t="shared" si="1083"/>
        <v>14190</v>
      </c>
      <c r="CN376" s="538" t="str">
        <f t="shared" si="1084"/>
        <v/>
      </c>
      <c r="CO376" s="539" t="str">
        <f t="shared" si="1085"/>
        <v/>
      </c>
      <c r="CP376" s="539" t="str">
        <f t="shared" si="1086"/>
        <v/>
      </c>
      <c r="CQ376" s="539">
        <f t="shared" si="1087"/>
        <v>14190</v>
      </c>
      <c r="CR376" s="539">
        <f t="shared" si="1088"/>
        <v>14190</v>
      </c>
      <c r="CS376" s="539">
        <f t="shared" si="1089"/>
        <v>14190</v>
      </c>
      <c r="CT376" s="540">
        <f t="shared" si="1090"/>
        <v>14190</v>
      </c>
      <c r="CU376" s="540">
        <f t="shared" si="1091"/>
        <v>14190</v>
      </c>
      <c r="CV376" s="540">
        <f t="shared" si="1092"/>
        <v>14190</v>
      </c>
      <c r="CW376" s="539">
        <f t="shared" si="1093"/>
        <v>14190</v>
      </c>
      <c r="CX376" s="539">
        <f t="shared" si="1094"/>
        <v>14190</v>
      </c>
      <c r="CY376" s="539">
        <f t="shared" si="1095"/>
        <v>14190</v>
      </c>
      <c r="CZ376" s="539">
        <f t="shared" si="1096"/>
        <v>14190</v>
      </c>
      <c r="DA376" s="539" t="str">
        <f t="shared" si="1097"/>
        <v/>
      </c>
      <c r="DB376" s="538" t="str">
        <f t="shared" si="1098"/>
        <v/>
      </c>
      <c r="DC376" s="537" t="str">
        <f t="shared" si="1099"/>
        <v/>
      </c>
      <c r="DD376" s="641">
        <f t="shared" si="1100"/>
        <v>10</v>
      </c>
      <c r="DE376" s="95">
        <f t="shared" si="1101"/>
        <v>10</v>
      </c>
      <c r="DF376" s="95">
        <f t="shared" si="1102"/>
        <v>10</v>
      </c>
      <c r="DG376" s="95">
        <f t="shared" si="1103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257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9"/>
        <v/>
      </c>
      <c r="CA377" s="586" t="str">
        <f t="shared" si="1080"/>
        <v/>
      </c>
      <c r="CB377" s="586" t="str">
        <f t="shared" si="1081"/>
        <v/>
      </c>
      <c r="CC377" s="676" t="str">
        <f t="shared" si="1082"/>
        <v/>
      </c>
      <c r="CD377" s="1316" t="str">
        <f t="shared" si="1083"/>
        <v/>
      </c>
      <c r="CE377" s="1317" t="str">
        <f t="shared" si="1083"/>
        <v/>
      </c>
      <c r="CF377" s="1317" t="str">
        <f t="shared" si="1083"/>
        <v/>
      </c>
      <c r="CG377" s="1317" t="str">
        <f t="shared" si="1083"/>
        <v/>
      </c>
      <c r="CH377" s="1318" t="str">
        <f t="shared" si="1083"/>
        <v/>
      </c>
      <c r="CI377" s="1318" t="str">
        <f t="shared" si="1083"/>
        <v/>
      </c>
      <c r="CJ377" s="1317" t="str">
        <f t="shared" si="1083"/>
        <v/>
      </c>
      <c r="CK377" s="1317" t="str">
        <f t="shared" si="1083"/>
        <v/>
      </c>
      <c r="CL377" s="1317" t="str">
        <f t="shared" si="1083"/>
        <v/>
      </c>
      <c r="CM377" s="1316" t="str">
        <f t="shared" si="1083"/>
        <v/>
      </c>
      <c r="CN377" s="538" t="str">
        <f t="shared" si="1084"/>
        <v/>
      </c>
      <c r="CO377" s="539" t="str">
        <f t="shared" si="1085"/>
        <v/>
      </c>
      <c r="CP377" s="539" t="str">
        <f t="shared" si="1086"/>
        <v/>
      </c>
      <c r="CQ377" s="539" t="str">
        <f t="shared" si="1087"/>
        <v/>
      </c>
      <c r="CR377" s="539" t="str">
        <f t="shared" si="1088"/>
        <v/>
      </c>
      <c r="CS377" s="539" t="str">
        <f t="shared" si="1089"/>
        <v/>
      </c>
      <c r="CT377" s="540" t="str">
        <f t="shared" si="1090"/>
        <v/>
      </c>
      <c r="CU377" s="540">
        <f t="shared" si="1091"/>
        <v>0</v>
      </c>
      <c r="CV377" s="540">
        <f t="shared" si="1092"/>
        <v>100</v>
      </c>
      <c r="CW377" s="539" t="str">
        <f t="shared" si="1093"/>
        <v/>
      </c>
      <c r="CX377" s="539" t="str">
        <f t="shared" si="1094"/>
        <v/>
      </c>
      <c r="CY377" s="539" t="str">
        <f t="shared" si="1095"/>
        <v/>
      </c>
      <c r="CZ377" s="539" t="str">
        <f t="shared" si="1096"/>
        <v/>
      </c>
      <c r="DA377" s="539" t="str">
        <f t="shared" si="1097"/>
        <v/>
      </c>
      <c r="DB377" s="538" t="str">
        <f t="shared" si="1098"/>
        <v/>
      </c>
      <c r="DC377" s="537" t="str">
        <f t="shared" si="1099"/>
        <v/>
      </c>
      <c r="DD377" s="641">
        <f t="shared" si="1100"/>
        <v>2</v>
      </c>
      <c r="DE377" s="95">
        <f t="shared" si="1101"/>
        <v>0</v>
      </c>
      <c r="DF377" s="95">
        <f t="shared" si="1102"/>
        <v>0</v>
      </c>
      <c r="DG377" s="95">
        <f t="shared" si="1103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181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9"/>
        <v/>
      </c>
      <c r="CA378" s="586" t="str">
        <f t="shared" si="1080"/>
        <v/>
      </c>
      <c r="CB378" s="586" t="str">
        <f t="shared" si="1081"/>
        <v/>
      </c>
      <c r="CC378" s="676" t="str">
        <f t="shared" si="1082"/>
        <v/>
      </c>
      <c r="CD378" s="1316" t="str">
        <f t="shared" si="1083"/>
        <v/>
      </c>
      <c r="CE378" s="1317" t="str">
        <f t="shared" si="1083"/>
        <v/>
      </c>
      <c r="CF378" s="1317" t="str">
        <f t="shared" si="1083"/>
        <v/>
      </c>
      <c r="CG378" s="1317" t="str">
        <f t="shared" si="1083"/>
        <v/>
      </c>
      <c r="CH378" s="1318" t="str">
        <f t="shared" si="1083"/>
        <v/>
      </c>
      <c r="CI378" s="1318" t="str">
        <f t="shared" si="1083"/>
        <v/>
      </c>
      <c r="CJ378" s="1317" t="str">
        <f t="shared" si="1083"/>
        <v/>
      </c>
      <c r="CK378" s="1317" t="str">
        <f t="shared" si="1083"/>
        <v/>
      </c>
      <c r="CL378" s="1317" t="str">
        <f t="shared" si="1083"/>
        <v/>
      </c>
      <c r="CM378" s="1316" t="str">
        <f t="shared" si="1083"/>
        <v/>
      </c>
      <c r="CN378" s="538" t="str">
        <f t="shared" si="1084"/>
        <v/>
      </c>
      <c r="CO378" s="539" t="str">
        <f t="shared" si="1085"/>
        <v/>
      </c>
      <c r="CP378" s="539" t="str">
        <f t="shared" si="1086"/>
        <v/>
      </c>
      <c r="CQ378" s="539" t="str">
        <f t="shared" si="1087"/>
        <v/>
      </c>
      <c r="CR378" s="539" t="str">
        <f t="shared" si="1088"/>
        <v/>
      </c>
      <c r="CS378" s="539" t="str">
        <f t="shared" si="1089"/>
        <v/>
      </c>
      <c r="CT378" s="540" t="str">
        <f t="shared" si="1090"/>
        <v/>
      </c>
      <c r="CU378" s="540" t="str">
        <f t="shared" si="1091"/>
        <v/>
      </c>
      <c r="CV378" s="540" t="str">
        <f t="shared" si="1092"/>
        <v/>
      </c>
      <c r="CW378" s="539" t="str">
        <f t="shared" si="1093"/>
        <v/>
      </c>
      <c r="CX378" s="539" t="str">
        <f t="shared" si="1094"/>
        <v/>
      </c>
      <c r="CY378" s="539" t="str">
        <f t="shared" si="1095"/>
        <v/>
      </c>
      <c r="CZ378" s="539" t="str">
        <f t="shared" si="1096"/>
        <v/>
      </c>
      <c r="DA378" s="539" t="str">
        <f t="shared" si="1097"/>
        <v/>
      </c>
      <c r="DB378" s="538" t="str">
        <f t="shared" si="1098"/>
        <v/>
      </c>
      <c r="DC378" s="537" t="str">
        <f t="shared" si="1099"/>
        <v/>
      </c>
      <c r="DD378" s="641">
        <f t="shared" si="1100"/>
        <v>0</v>
      </c>
      <c r="DE378" s="95">
        <f t="shared" si="1101"/>
        <v>0</v>
      </c>
      <c r="DF378" s="95">
        <f t="shared" si="1102"/>
        <v>0</v>
      </c>
      <c r="DG378" s="95">
        <f t="shared" si="1103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183</v>
      </c>
      <c r="B379" s="618">
        <f t="shared" ref="B379:K379" si="1108">IF(B377="","",B377*B378)</f>
        <v>0</v>
      </c>
      <c r="C379" s="618" t="str">
        <f t="shared" si="1108"/>
        <v/>
      </c>
      <c r="D379" s="618">
        <f t="shared" si="1108"/>
        <v>0</v>
      </c>
      <c r="E379" s="618" t="str">
        <f t="shared" si="1108"/>
        <v/>
      </c>
      <c r="F379" s="618" t="str">
        <f t="shared" si="1108"/>
        <v/>
      </c>
      <c r="G379" s="618" t="str">
        <f t="shared" si="1108"/>
        <v/>
      </c>
      <c r="H379" s="618" t="str">
        <f t="shared" si="1108"/>
        <v/>
      </c>
      <c r="I379" s="618" t="str">
        <f t="shared" si="1108"/>
        <v/>
      </c>
      <c r="J379" s="618" t="str">
        <f t="shared" si="1108"/>
        <v/>
      </c>
      <c r="K379" s="618" t="str">
        <f t="shared" si="1108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9">IF(T377="","",T377*T378)</f>
        <v/>
      </c>
      <c r="U379" s="618" t="str">
        <f t="shared" si="1109"/>
        <v/>
      </c>
      <c r="V379" s="618" t="str">
        <f t="shared" si="1109"/>
        <v/>
      </c>
      <c r="W379" s="618" t="str">
        <f t="shared" si="1109"/>
        <v/>
      </c>
      <c r="X379" s="618" t="str">
        <f t="shared" si="1109"/>
        <v/>
      </c>
      <c r="Y379" s="618" t="str">
        <f t="shared" si="1109"/>
        <v/>
      </c>
      <c r="Z379" s="618" t="str">
        <f t="shared" si="1109"/>
        <v/>
      </c>
      <c r="AA379" s="618" t="str">
        <f t="shared" si="1109"/>
        <v/>
      </c>
      <c r="AB379" s="618" t="str">
        <f t="shared" si="1109"/>
        <v/>
      </c>
      <c r="AC379" s="618" t="str">
        <f t="shared" si="1109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10">IF(AL377="","",AL377*AL378)</f>
        <v/>
      </c>
      <c r="AM379" s="618" t="str">
        <f t="shared" si="1110"/>
        <v/>
      </c>
      <c r="AN379" s="618" t="str">
        <f t="shared" si="1110"/>
        <v/>
      </c>
      <c r="AO379" s="618" t="str">
        <f t="shared" si="1110"/>
        <v/>
      </c>
      <c r="AP379" s="618" t="str">
        <f t="shared" si="1110"/>
        <v/>
      </c>
      <c r="AQ379" s="618" t="str">
        <f t="shared" si="1110"/>
        <v/>
      </c>
      <c r="AR379" s="618" t="str">
        <f t="shared" si="1110"/>
        <v/>
      </c>
      <c r="AS379" s="618" t="str">
        <f t="shared" si="1110"/>
        <v/>
      </c>
      <c r="AT379" s="618" t="str">
        <f t="shared" si="1110"/>
        <v/>
      </c>
      <c r="AU379" s="618" t="str">
        <f t="shared" si="1110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11">IF(BD377="","",BD377*BD378)</f>
        <v>0</v>
      </c>
      <c r="BE379" s="618" t="str">
        <f t="shared" si="1111"/>
        <v/>
      </c>
      <c r="BF379" s="618" t="str">
        <f t="shared" si="1111"/>
        <v/>
      </c>
      <c r="BG379" s="618">
        <f t="shared" si="1111"/>
        <v>0</v>
      </c>
      <c r="BH379" s="618" t="str">
        <f t="shared" si="1111"/>
        <v/>
      </c>
      <c r="BI379" s="618" t="str">
        <f t="shared" si="1111"/>
        <v/>
      </c>
      <c r="BJ379" s="618" t="str">
        <f t="shared" si="1111"/>
        <v/>
      </c>
      <c r="BK379" s="618" t="str">
        <f t="shared" si="1111"/>
        <v/>
      </c>
      <c r="BL379" s="618" t="str">
        <f t="shared" si="1111"/>
        <v/>
      </c>
      <c r="BM379" s="618" t="str">
        <f t="shared" si="1111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9"/>
        <v/>
      </c>
      <c r="CA379" s="586" t="str">
        <f t="shared" si="1080"/>
        <v/>
      </c>
      <c r="CB379" s="586" t="str">
        <f t="shared" si="1081"/>
        <v/>
      </c>
      <c r="CC379" s="676" t="str">
        <f t="shared" si="1082"/>
        <v/>
      </c>
      <c r="CD379" s="1316" t="str">
        <f t="shared" si="1083"/>
        <v/>
      </c>
      <c r="CE379" s="1317" t="str">
        <f t="shared" si="1083"/>
        <v/>
      </c>
      <c r="CF379" s="1317" t="str">
        <f t="shared" si="1083"/>
        <v/>
      </c>
      <c r="CG379" s="1317" t="str">
        <f t="shared" si="1083"/>
        <v/>
      </c>
      <c r="CH379" s="1318" t="str">
        <f t="shared" si="1083"/>
        <v/>
      </c>
      <c r="CI379" s="1318" t="str">
        <f t="shared" si="1083"/>
        <v/>
      </c>
      <c r="CJ379" s="1317" t="str">
        <f t="shared" si="1083"/>
        <v/>
      </c>
      <c r="CK379" s="1317" t="str">
        <f t="shared" si="1083"/>
        <v/>
      </c>
      <c r="CL379" s="1317" t="str">
        <f t="shared" si="1083"/>
        <v/>
      </c>
      <c r="CM379" s="1316" t="str">
        <f t="shared" si="1083"/>
        <v/>
      </c>
      <c r="CN379" s="538" t="str">
        <f t="shared" si="1084"/>
        <v/>
      </c>
      <c r="CO379" s="539" t="str">
        <f t="shared" si="1085"/>
        <v/>
      </c>
      <c r="CP379" s="539" t="str">
        <f t="shared" si="1086"/>
        <v/>
      </c>
      <c r="CQ379" s="539" t="str">
        <f t="shared" si="1087"/>
        <v/>
      </c>
      <c r="CR379" s="539" t="str">
        <f t="shared" si="1088"/>
        <v/>
      </c>
      <c r="CS379" s="539" t="str">
        <f t="shared" si="1089"/>
        <v/>
      </c>
      <c r="CT379" s="540" t="str">
        <f t="shared" si="1090"/>
        <v/>
      </c>
      <c r="CU379" s="540">
        <f t="shared" si="1091"/>
        <v>0</v>
      </c>
      <c r="CV379" s="540">
        <f t="shared" si="1092"/>
        <v>0</v>
      </c>
      <c r="CW379" s="539" t="str">
        <f t="shared" si="1093"/>
        <v/>
      </c>
      <c r="CX379" s="539" t="str">
        <f t="shared" si="1094"/>
        <v/>
      </c>
      <c r="CY379" s="539" t="str">
        <f t="shared" si="1095"/>
        <v/>
      </c>
      <c r="CZ379" s="539" t="str">
        <f t="shared" si="1096"/>
        <v/>
      </c>
      <c r="DA379" s="539" t="str">
        <f t="shared" si="1097"/>
        <v/>
      </c>
      <c r="DB379" s="538" t="str">
        <f t="shared" si="1098"/>
        <v/>
      </c>
      <c r="DC379" s="537" t="str">
        <f t="shared" si="1099"/>
        <v/>
      </c>
      <c r="DD379" s="641">
        <f t="shared" si="1100"/>
        <v>2</v>
      </c>
      <c r="DE379" s="95">
        <f t="shared" si="1101"/>
        <v>0</v>
      </c>
      <c r="DF379" s="95">
        <f t="shared" si="1102"/>
        <v>0</v>
      </c>
      <c r="DG379" s="95">
        <f t="shared" si="1103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258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9"/>
        <v/>
      </c>
      <c r="CA380" s="586" t="str">
        <f t="shared" si="1080"/>
        <v/>
      </c>
      <c r="CB380" s="586" t="str">
        <f t="shared" si="1081"/>
        <v/>
      </c>
      <c r="CC380" s="676" t="str">
        <f t="shared" si="1082"/>
        <v/>
      </c>
      <c r="CD380" s="1316" t="str">
        <f t="shared" si="1083"/>
        <v/>
      </c>
      <c r="CE380" s="1317" t="str">
        <f t="shared" si="1083"/>
        <v/>
      </c>
      <c r="CF380" s="1317" t="str">
        <f t="shared" si="1083"/>
        <v/>
      </c>
      <c r="CG380" s="1317" t="str">
        <f t="shared" si="1083"/>
        <v/>
      </c>
      <c r="CH380" s="1318" t="str">
        <f t="shared" si="1083"/>
        <v/>
      </c>
      <c r="CI380" s="1318" t="str">
        <f t="shared" si="1083"/>
        <v/>
      </c>
      <c r="CJ380" s="1317" t="str">
        <f t="shared" si="1083"/>
        <v/>
      </c>
      <c r="CK380" s="1317" t="str">
        <f t="shared" si="1083"/>
        <v/>
      </c>
      <c r="CL380" s="1317" t="str">
        <f t="shared" si="1083"/>
        <v/>
      </c>
      <c r="CM380" s="1316" t="str">
        <f t="shared" si="1083"/>
        <v/>
      </c>
      <c r="CN380" s="538" t="str">
        <f t="shared" si="1084"/>
        <v/>
      </c>
      <c r="CO380" s="539" t="str">
        <f t="shared" si="1085"/>
        <v/>
      </c>
      <c r="CP380" s="539" t="str">
        <f t="shared" si="1086"/>
        <v/>
      </c>
      <c r="CQ380" s="539" t="str">
        <f t="shared" si="1087"/>
        <v/>
      </c>
      <c r="CR380" s="539" t="str">
        <f t="shared" si="1088"/>
        <v/>
      </c>
      <c r="CS380" s="539" t="str">
        <f t="shared" si="1089"/>
        <v/>
      </c>
      <c r="CT380" s="540" t="str">
        <f t="shared" si="1090"/>
        <v/>
      </c>
      <c r="CU380" s="540">
        <f t="shared" si="1091"/>
        <v>10</v>
      </c>
      <c r="CV380" s="540">
        <f t="shared" si="1092"/>
        <v>50</v>
      </c>
      <c r="CW380" s="539" t="str">
        <f t="shared" si="1093"/>
        <v/>
      </c>
      <c r="CX380" s="539" t="str">
        <f t="shared" si="1094"/>
        <v/>
      </c>
      <c r="CY380" s="539" t="str">
        <f t="shared" si="1095"/>
        <v/>
      </c>
      <c r="CZ380" s="539" t="str">
        <f t="shared" si="1096"/>
        <v/>
      </c>
      <c r="DA380" s="539" t="str">
        <f t="shared" si="1097"/>
        <v/>
      </c>
      <c r="DB380" s="538" t="str">
        <f t="shared" si="1098"/>
        <v/>
      </c>
      <c r="DC380" s="537" t="str">
        <f t="shared" si="1099"/>
        <v/>
      </c>
      <c r="DD380" s="641">
        <f t="shared" si="1100"/>
        <v>1</v>
      </c>
      <c r="DE380" s="95">
        <f t="shared" si="1101"/>
        <v>0</v>
      </c>
      <c r="DF380" s="95">
        <f t="shared" si="1102"/>
        <v>0</v>
      </c>
      <c r="DG380" s="95">
        <f t="shared" si="1103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227</v>
      </c>
      <c r="B381" s="621">
        <f t="shared" ref="B381:K381" si="1112">IF(B375="","",(B375-B377-B380)*B376/B$46/365/$G$1)</f>
        <v>3.0924657534246575E-2</v>
      </c>
      <c r="C381" s="621" t="str">
        <f t="shared" si="1112"/>
        <v/>
      </c>
      <c r="D381" s="621">
        <f t="shared" si="1112"/>
        <v>0.13805650684931506</v>
      </c>
      <c r="E381" s="621" t="str">
        <f t="shared" si="1112"/>
        <v/>
      </c>
      <c r="F381" s="621" t="str">
        <f t="shared" si="1112"/>
        <v/>
      </c>
      <c r="G381" s="621" t="str">
        <f t="shared" si="1112"/>
        <v/>
      </c>
      <c r="H381" s="621" t="str">
        <f t="shared" si="1112"/>
        <v/>
      </c>
      <c r="I381" s="621" t="str">
        <f t="shared" si="1112"/>
        <v/>
      </c>
      <c r="J381" s="621" t="str">
        <f t="shared" si="1112"/>
        <v/>
      </c>
      <c r="K381" s="621" t="str">
        <f t="shared" si="1112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3">IF(T375="","",(T375-T377-T380)*T376/T$46/365/$G$1)</f>
        <v/>
      </c>
      <c r="U381" s="621" t="str">
        <f t="shared" si="1113"/>
        <v/>
      </c>
      <c r="V381" s="621" t="str">
        <f t="shared" si="1113"/>
        <v/>
      </c>
      <c r="W381" s="621" t="str">
        <f t="shared" si="1113"/>
        <v/>
      </c>
      <c r="X381" s="621" t="str">
        <f t="shared" si="1113"/>
        <v/>
      </c>
      <c r="Y381" s="621" t="str">
        <f t="shared" si="1113"/>
        <v/>
      </c>
      <c r="Z381" s="621" t="str">
        <f t="shared" si="1113"/>
        <v/>
      </c>
      <c r="AA381" s="621" t="str">
        <f t="shared" si="1113"/>
        <v/>
      </c>
      <c r="AB381" s="621" t="str">
        <f t="shared" si="1113"/>
        <v/>
      </c>
      <c r="AC381" s="621" t="str">
        <f t="shared" si="1113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4">IF(AL375="","",(AL375-AL377-AL380)*AL376/AL$46/365/$G$1)</f>
        <v/>
      </c>
      <c r="AM381" s="621" t="str">
        <f t="shared" si="1114"/>
        <v/>
      </c>
      <c r="AN381" s="621" t="str">
        <f t="shared" si="1114"/>
        <v/>
      </c>
      <c r="AO381" s="621" t="str">
        <f t="shared" si="1114"/>
        <v/>
      </c>
      <c r="AP381" s="621" t="str">
        <f t="shared" si="1114"/>
        <v/>
      </c>
      <c r="AQ381" s="621" t="str">
        <f t="shared" si="1114"/>
        <v/>
      </c>
      <c r="AR381" s="621" t="str">
        <f t="shared" si="1114"/>
        <v/>
      </c>
      <c r="AS381" s="621" t="str">
        <f t="shared" si="1114"/>
        <v/>
      </c>
      <c r="AT381" s="621" t="str">
        <f t="shared" si="1114"/>
        <v/>
      </c>
      <c r="AU381" s="621" t="str">
        <f t="shared" si="1114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5">IF(BD375="","",(BD375-BD377-BD380)*BD376/BD$46/365/$G$1)</f>
        <v>2.5770547945205481E-2</v>
      </c>
      <c r="BE381" s="621" t="str">
        <f t="shared" si="1115"/>
        <v/>
      </c>
      <c r="BF381" s="621" t="str">
        <f t="shared" si="1115"/>
        <v/>
      </c>
      <c r="BG381" s="621">
        <f t="shared" si="1115"/>
        <v>6.3111545988258314E-2</v>
      </c>
      <c r="BH381" s="621" t="str">
        <f t="shared" si="1115"/>
        <v/>
      </c>
      <c r="BI381" s="621" t="str">
        <f t="shared" si="1115"/>
        <v/>
      </c>
      <c r="BJ381" s="621" t="str">
        <f t="shared" si="1115"/>
        <v/>
      </c>
      <c r="BK381" s="621" t="str">
        <f t="shared" si="1115"/>
        <v/>
      </c>
      <c r="BL381" s="621">
        <f t="shared" si="1115"/>
        <v>2.0080946450809465E-2</v>
      </c>
      <c r="BM381" s="621" t="str">
        <f t="shared" si="1115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9"/>
        <v/>
      </c>
      <c r="CA381" s="611" t="str">
        <f t="shared" si="1080"/>
        <v/>
      </c>
      <c r="CB381" s="611" t="str">
        <f t="shared" si="1081"/>
        <v/>
      </c>
      <c r="CC381" s="679">
        <f t="shared" si="1082"/>
        <v>2.5770547945205488E-2</v>
      </c>
      <c r="CD381" s="131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0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0" t="str">
        <f t="shared" si="1116"/>
        <v/>
      </c>
      <c r="CG381" s="1320" t="str">
        <f t="shared" si="1116"/>
        <v/>
      </c>
      <c r="CH381" s="1321" t="str">
        <f t="shared" si="1116"/>
        <v/>
      </c>
      <c r="CI381" s="1321" t="str">
        <f t="shared" si="1116"/>
        <v/>
      </c>
      <c r="CJ381" s="1320" t="str">
        <f t="shared" si="1116"/>
        <v/>
      </c>
      <c r="CK381" s="1320" t="str">
        <f t="shared" si="1116"/>
        <v/>
      </c>
      <c r="CL381" s="1320" t="str">
        <f t="shared" si="1116"/>
        <v/>
      </c>
      <c r="CM381" s="1319" t="str">
        <f t="shared" si="1116"/>
        <v/>
      </c>
      <c r="CN381" s="526" t="str">
        <f t="shared" si="1084"/>
        <v/>
      </c>
      <c r="CO381" s="527" t="str">
        <f t="shared" si="1085"/>
        <v/>
      </c>
      <c r="CP381" s="527" t="str">
        <f t="shared" si="1086"/>
        <v/>
      </c>
      <c r="CQ381" s="527" t="str">
        <f t="shared" si="1087"/>
        <v/>
      </c>
      <c r="CR381" s="527" t="str">
        <f t="shared" si="1088"/>
        <v/>
      </c>
      <c r="CS381" s="527" t="str">
        <f t="shared" si="1089"/>
        <v/>
      </c>
      <c r="CT381" s="528">
        <f t="shared" si="1090"/>
        <v>2.0080946450809465E-2</v>
      </c>
      <c r="CU381" s="528">
        <f t="shared" si="1091"/>
        <v>2.5770547945205481E-2</v>
      </c>
      <c r="CV381" s="528">
        <f t="shared" si="1092"/>
        <v>6.3111545988258314E-2</v>
      </c>
      <c r="CW381" s="527" t="str">
        <f t="shared" si="1093"/>
        <v/>
      </c>
      <c r="CX381" s="527" t="str">
        <f t="shared" si="1094"/>
        <v/>
      </c>
      <c r="CY381" s="527" t="str">
        <f t="shared" si="1095"/>
        <v/>
      </c>
      <c r="CZ381" s="527" t="str">
        <f t="shared" si="1096"/>
        <v/>
      </c>
      <c r="DA381" s="527" t="str">
        <f t="shared" si="1097"/>
        <v/>
      </c>
      <c r="DB381" s="526" t="str">
        <f t="shared" si="1098"/>
        <v/>
      </c>
      <c r="DC381" s="525" t="str">
        <f t="shared" si="1099"/>
        <v/>
      </c>
      <c r="DD381" s="641">
        <f t="shared" si="1100"/>
        <v>2</v>
      </c>
      <c r="DE381" s="95">
        <f t="shared" si="1101"/>
        <v>0</v>
      </c>
      <c r="DF381" s="95">
        <f t="shared" si="1102"/>
        <v>0</v>
      </c>
      <c r="DG381" s="95">
        <f t="shared" si="1103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925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7">IF(DD382&lt;3,"",(SUM(B382:R382)-MIN(B382:R382)-MAX(B382:R382))/(DD382-2))</f>
        <v>2.6666666666666665</v>
      </c>
      <c r="CA382" s="586">
        <f t="shared" ref="CA382" si="1118">IF(DE382&lt;3,"",(SUM(T382:AJ382)-MIN(T382:AJ382)-MAX(T382:AJ382))/(DE382-2))</f>
        <v>2.8499999999999996</v>
      </c>
      <c r="CB382" s="586">
        <f t="shared" ref="CB382" si="1119">IF(DF382&lt;3,"",(SUM(AL382:BB382)-MIN(AL382:BB382)-MAX(AL382:BB382))/(DF382-2))</f>
        <v>6.5</v>
      </c>
      <c r="CC382" s="676">
        <f t="shared" ref="CC382" si="1120">IF(DG382&lt;3,"",(SUM(BD382:BT382)-MIN(BD382:BT382)-MAX(BD382:BT382))/(DG382-2))</f>
        <v>3.875</v>
      </c>
      <c r="CD382" s="1316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7" t="str">
        <f t="shared" si="1116"/>
        <v/>
      </c>
      <c r="CF382" s="1317" t="str">
        <f t="shared" si="1116"/>
        <v/>
      </c>
      <c r="CG382" s="1317">
        <f t="shared" si="1116"/>
        <v>2</v>
      </c>
      <c r="CH382" s="1318">
        <f t="shared" si="1116"/>
        <v>6</v>
      </c>
      <c r="CI382" s="1318">
        <f t="shared" si="1116"/>
        <v>7</v>
      </c>
      <c r="CJ382" s="1317">
        <f t="shared" si="1116"/>
        <v>8</v>
      </c>
      <c r="CK382" s="1317" t="str">
        <f t="shared" si="1116"/>
        <v/>
      </c>
      <c r="CL382" s="1317" t="str">
        <f t="shared" si="1116"/>
        <v/>
      </c>
      <c r="CM382" s="1316" t="str">
        <f t="shared" si="1116"/>
        <v/>
      </c>
      <c r="CN382" s="538" t="str">
        <f t="shared" si="1084"/>
        <v/>
      </c>
      <c r="CO382" s="539" t="str">
        <f t="shared" si="1085"/>
        <v/>
      </c>
      <c r="CP382" s="539" t="str">
        <f t="shared" si="1086"/>
        <v/>
      </c>
      <c r="CQ382" s="539" t="str">
        <f t="shared" si="1087"/>
        <v/>
      </c>
      <c r="CR382" s="539" t="str">
        <f t="shared" si="1088"/>
        <v/>
      </c>
      <c r="CS382" s="539">
        <f t="shared" si="1089"/>
        <v>0.5</v>
      </c>
      <c r="CT382" s="540">
        <f t="shared" si="1090"/>
        <v>0.5</v>
      </c>
      <c r="CU382" s="540">
        <f t="shared" si="1091"/>
        <v>5</v>
      </c>
      <c r="CV382" s="540">
        <f t="shared" si="1092"/>
        <v>5</v>
      </c>
      <c r="CW382" s="539">
        <f t="shared" si="1093"/>
        <v>5</v>
      </c>
      <c r="CX382" s="539">
        <f t="shared" si="1094"/>
        <v>10</v>
      </c>
      <c r="CY382" s="539" t="str">
        <f t="shared" si="1095"/>
        <v/>
      </c>
      <c r="CZ382" s="539" t="str">
        <f t="shared" si="1096"/>
        <v/>
      </c>
      <c r="DA382" s="539" t="str">
        <f t="shared" si="1097"/>
        <v/>
      </c>
      <c r="DB382" s="538" t="str">
        <f t="shared" si="1098"/>
        <v/>
      </c>
      <c r="DC382" s="537" t="str">
        <f t="shared" si="1099"/>
        <v/>
      </c>
      <c r="DD382" s="641">
        <f t="shared" ref="DD382" si="1121">COUNT(B382:R382)</f>
        <v>5</v>
      </c>
      <c r="DE382" s="95">
        <f t="shared" ref="DE382" si="1122">COUNT(T382:AJ382)</f>
        <v>6</v>
      </c>
      <c r="DF382" s="95">
        <f t="shared" ref="DF382" si="1123">COUNT(AL382:BB382)</f>
        <v>4</v>
      </c>
      <c r="DG382" s="95">
        <f t="shared" ref="DG382" si="1124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265</v>
      </c>
      <c r="B383" s="150" t="s">
        <v>267</v>
      </c>
      <c r="C383" s="150" t="s">
        <v>267</v>
      </c>
      <c r="D383" s="150" t="s">
        <v>267</v>
      </c>
      <c r="E383" s="150" t="s">
        <v>267</v>
      </c>
      <c r="F383" s="150" t="s">
        <v>267</v>
      </c>
      <c r="G383" s="150" t="s">
        <v>267</v>
      </c>
      <c r="H383" s="150" t="s">
        <v>267</v>
      </c>
      <c r="I383" s="150" t="s">
        <v>267</v>
      </c>
      <c r="J383" s="150" t="s">
        <v>267</v>
      </c>
      <c r="K383" s="150" t="s">
        <v>267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267</v>
      </c>
      <c r="U383" s="150" t="s">
        <v>267</v>
      </c>
      <c r="V383" s="150" t="s">
        <v>267</v>
      </c>
      <c r="W383" s="150" t="s">
        <v>267</v>
      </c>
      <c r="X383" s="150" t="s">
        <v>267</v>
      </c>
      <c r="Y383" s="150" t="s">
        <v>267</v>
      </c>
      <c r="Z383" s="150" t="s">
        <v>267</v>
      </c>
      <c r="AA383" s="150" t="s">
        <v>267</v>
      </c>
      <c r="AB383" s="150" t="s">
        <v>267</v>
      </c>
      <c r="AC383" s="150" t="s">
        <v>267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38"/>
      <c r="CE383" s="1338"/>
      <c r="CF383" s="1338"/>
      <c r="CG383" s="1338"/>
      <c r="CH383" s="1338"/>
      <c r="CI383" s="1338"/>
      <c r="CJ383" s="1338"/>
      <c r="CK383" s="1338"/>
      <c r="CL383" s="1338"/>
      <c r="CM383" s="1338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266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5">IF(DD384&lt;3,"",(SUM(B384:R384)-MIN(B384:R384)-MAX(B384:R384))/(DD384-2))</f>
        <v>50</v>
      </c>
      <c r="CA384" s="586">
        <f t="shared" ref="CA384:CA418" si="1126">IF(DE384&lt;3,"",(SUM(T384:AJ384)-MIN(T384:AJ384)-MAX(T384:AJ384))/(DE384-2))</f>
        <v>50</v>
      </c>
      <c r="CB384" s="586">
        <f t="shared" ref="CB384:CB418" si="1127">IF(DF384&lt;3,"",(SUM(AL384:BB384)-MIN(AL384:BB384)-MAX(AL384:BB384))/(DF384-2))</f>
        <v>50</v>
      </c>
      <c r="CC384" s="676">
        <f t="shared" ref="CC384:CC418" si="1128">IF(DG384&lt;3,"",(SUM(BD384:BT384)-MIN(BD384:BT384)-MAX(BD384:BT384))/(DG384-2))</f>
        <v>50</v>
      </c>
      <c r="CD384" s="1316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7" t="str">
        <f t="shared" si="1129"/>
        <v/>
      </c>
      <c r="CF384" s="1317" t="str">
        <f t="shared" si="1129"/>
        <v/>
      </c>
      <c r="CG384" s="1317">
        <f t="shared" si="1129"/>
        <v>50</v>
      </c>
      <c r="CH384" s="1318">
        <f t="shared" si="1129"/>
        <v>50</v>
      </c>
      <c r="CI384" s="1318">
        <f t="shared" si="1129"/>
        <v>50</v>
      </c>
      <c r="CJ384" s="1317">
        <f t="shared" si="1129"/>
        <v>50</v>
      </c>
      <c r="CK384" s="1317" t="str">
        <f t="shared" si="1129"/>
        <v/>
      </c>
      <c r="CL384" s="1317" t="str">
        <f t="shared" si="1129"/>
        <v/>
      </c>
      <c r="CM384" s="1316" t="str">
        <f t="shared" si="1129"/>
        <v/>
      </c>
      <c r="CN384" s="538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6">COUNT(B384:R384)</f>
        <v>6</v>
      </c>
      <c r="DE384" s="95">
        <f t="shared" ref="DE384:DE418" si="1147">COUNT(T384:AJ384)</f>
        <v>7</v>
      </c>
      <c r="DF384" s="95">
        <f t="shared" ref="DF384:DF418" si="1148">COUNT(AL384:BB384)</f>
        <v>4</v>
      </c>
      <c r="DG384" s="95">
        <f t="shared" ref="DG384:DG418" si="1149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271</v>
      </c>
      <c r="B385" s="618" t="str">
        <f t="shared" ref="B385:K385" si="1150">IF(B382="","",B382*B384)</f>
        <v/>
      </c>
      <c r="C385" s="618">
        <f>IF(C382="","",C382*C384)</f>
        <v>150</v>
      </c>
      <c r="D385" s="618" t="str">
        <f t="shared" si="1150"/>
        <v/>
      </c>
      <c r="E385" s="618" t="str">
        <f t="shared" si="1150"/>
        <v/>
      </c>
      <c r="F385" s="618" t="str">
        <f t="shared" si="1150"/>
        <v/>
      </c>
      <c r="G385" s="618">
        <f t="shared" si="1150"/>
        <v>300</v>
      </c>
      <c r="H385" s="618" t="str">
        <f t="shared" si="1150"/>
        <v/>
      </c>
      <c r="I385" s="618">
        <f t="shared" si="1150"/>
        <v>50</v>
      </c>
      <c r="J385" s="618">
        <f t="shared" si="1150"/>
        <v>200</v>
      </c>
      <c r="K385" s="618">
        <f t="shared" si="1150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51">IF(T382="","",T382*T384)</f>
        <v/>
      </c>
      <c r="U385" s="618">
        <f t="shared" si="1151"/>
        <v>100</v>
      </c>
      <c r="V385" s="618" t="str">
        <f t="shared" si="1151"/>
        <v/>
      </c>
      <c r="W385" s="618" t="str">
        <f t="shared" si="1151"/>
        <v/>
      </c>
      <c r="X385" s="618">
        <f t="shared" si="1151"/>
        <v>20</v>
      </c>
      <c r="Y385" s="618">
        <f t="shared" si="1151"/>
        <v>450</v>
      </c>
      <c r="Z385" s="618" t="str">
        <f t="shared" si="1151"/>
        <v/>
      </c>
      <c r="AA385" s="618">
        <f t="shared" si="1151"/>
        <v>150</v>
      </c>
      <c r="AB385" s="618">
        <f t="shared" si="1151"/>
        <v>200</v>
      </c>
      <c r="AC385" s="618">
        <f t="shared" si="1151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2">IF(AL382="","",AL382*AL384)</f>
        <v/>
      </c>
      <c r="AM385" s="618">
        <f t="shared" si="1152"/>
        <v>100</v>
      </c>
      <c r="AN385" s="618" t="str">
        <f t="shared" si="1152"/>
        <v/>
      </c>
      <c r="AO385" s="618" t="str">
        <f t="shared" si="1152"/>
        <v/>
      </c>
      <c r="AP385" s="618">
        <f t="shared" si="1152"/>
        <v>350</v>
      </c>
      <c r="AQ385" s="618" t="str">
        <f t="shared" si="1152"/>
        <v/>
      </c>
      <c r="AR385" s="618" t="str">
        <f t="shared" si="1152"/>
        <v/>
      </c>
      <c r="AS385" s="618">
        <f t="shared" si="1152"/>
        <v>300</v>
      </c>
      <c r="AT385" s="618" t="str">
        <f t="shared" si="1152"/>
        <v/>
      </c>
      <c r="AU385" s="618">
        <f t="shared" si="1152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3">IF(BD382="","",BD382*BD384)</f>
        <v>25</v>
      </c>
      <c r="BE385" s="618">
        <f t="shared" si="1153"/>
        <v>250</v>
      </c>
      <c r="BF385" s="618" t="str">
        <f t="shared" si="1153"/>
        <v/>
      </c>
      <c r="BG385" s="618" t="str">
        <f t="shared" si="1153"/>
        <v/>
      </c>
      <c r="BH385" s="618">
        <f t="shared" si="1153"/>
        <v>500</v>
      </c>
      <c r="BI385" s="618">
        <f t="shared" si="1153"/>
        <v>25</v>
      </c>
      <c r="BJ385" s="618" t="str">
        <f t="shared" si="1153"/>
        <v/>
      </c>
      <c r="BK385" s="618">
        <f t="shared" si="1153"/>
        <v>250</v>
      </c>
      <c r="BL385" s="618" t="str">
        <f t="shared" si="1153"/>
        <v/>
      </c>
      <c r="BM385" s="618">
        <f t="shared" si="1153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4">IF(BV382="","",BV382*BV384)</f>
        <v>150</v>
      </c>
      <c r="BW385" s="618">
        <f t="shared" si="1154"/>
        <v>150</v>
      </c>
      <c r="BX385" s="618">
        <f t="shared" si="1154"/>
        <v>250</v>
      </c>
      <c r="BY385" s="618">
        <f t="shared" si="1154"/>
        <v>250</v>
      </c>
      <c r="BZ385" s="586">
        <f t="shared" si="1125"/>
        <v>133.33333333333334</v>
      </c>
      <c r="CA385" s="586">
        <f t="shared" si="1126"/>
        <v>142.5</v>
      </c>
      <c r="CB385" s="586">
        <f t="shared" si="1127"/>
        <v>325</v>
      </c>
      <c r="CC385" s="676">
        <f t="shared" si="1128"/>
        <v>193.75</v>
      </c>
      <c r="CD385" s="1316" t="str">
        <f t="shared" si="1129"/>
        <v/>
      </c>
      <c r="CE385" s="1317" t="str">
        <f t="shared" si="1129"/>
        <v/>
      </c>
      <c r="CF385" s="1317" t="str">
        <f t="shared" si="1129"/>
        <v/>
      </c>
      <c r="CG385" s="1317">
        <f t="shared" si="1129"/>
        <v>100</v>
      </c>
      <c r="CH385" s="1318">
        <f t="shared" si="1129"/>
        <v>300</v>
      </c>
      <c r="CI385" s="1318">
        <f t="shared" si="1129"/>
        <v>350</v>
      </c>
      <c r="CJ385" s="1317">
        <f t="shared" si="1129"/>
        <v>400</v>
      </c>
      <c r="CK385" s="1317" t="str">
        <f t="shared" si="1129"/>
        <v/>
      </c>
      <c r="CL385" s="1317" t="str">
        <f t="shared" si="1129"/>
        <v/>
      </c>
      <c r="CM385" s="1316" t="str">
        <f t="shared" si="1129"/>
        <v/>
      </c>
      <c r="CN385" s="538" t="str">
        <f t="shared" si="1130"/>
        <v/>
      </c>
      <c r="CO385" s="539" t="str">
        <f t="shared" si="1131"/>
        <v/>
      </c>
      <c r="CP385" s="539" t="str">
        <f t="shared" si="1132"/>
        <v/>
      </c>
      <c r="CQ385" s="539" t="str">
        <f t="shared" si="1133"/>
        <v/>
      </c>
      <c r="CR385" s="539" t="str">
        <f t="shared" si="1134"/>
        <v/>
      </c>
      <c r="CS385" s="539">
        <f t="shared" si="1135"/>
        <v>25</v>
      </c>
      <c r="CT385" s="540">
        <f t="shared" si="1136"/>
        <v>25</v>
      </c>
      <c r="CU385" s="540">
        <f t="shared" si="1137"/>
        <v>250</v>
      </c>
      <c r="CV385" s="540">
        <f t="shared" si="1138"/>
        <v>250</v>
      </c>
      <c r="CW385" s="539">
        <f t="shared" si="1139"/>
        <v>250</v>
      </c>
      <c r="CX385" s="539">
        <f t="shared" si="1140"/>
        <v>500</v>
      </c>
      <c r="CY385" s="539" t="str">
        <f t="shared" si="1141"/>
        <v/>
      </c>
      <c r="CZ385" s="539" t="str">
        <f t="shared" si="1142"/>
        <v/>
      </c>
      <c r="DA385" s="539" t="str">
        <f t="shared" si="1143"/>
        <v/>
      </c>
      <c r="DB385" s="538" t="str">
        <f t="shared" si="1144"/>
        <v/>
      </c>
      <c r="DC385" s="537" t="str">
        <f t="shared" si="1145"/>
        <v/>
      </c>
      <c r="DD385" s="641">
        <f t="shared" si="1146"/>
        <v>5</v>
      </c>
      <c r="DE385" s="95">
        <f t="shared" si="1147"/>
        <v>6</v>
      </c>
      <c r="DF385" s="95">
        <f t="shared" si="1148"/>
        <v>4</v>
      </c>
      <c r="DG385" s="95">
        <f t="shared" si="1149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260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5"/>
        <v>4350</v>
      </c>
      <c r="CA386" s="586">
        <f t="shared" si="1126"/>
        <v>4350</v>
      </c>
      <c r="CB386" s="586">
        <f t="shared" si="1127"/>
        <v>4350</v>
      </c>
      <c r="CC386" s="676">
        <f t="shared" si="1128"/>
        <v>4350</v>
      </c>
      <c r="CD386" s="1316">
        <f t="shared" si="1129"/>
        <v>4350</v>
      </c>
      <c r="CE386" s="1317">
        <f t="shared" si="1129"/>
        <v>4350</v>
      </c>
      <c r="CF386" s="1317">
        <f t="shared" si="1129"/>
        <v>4350</v>
      </c>
      <c r="CG386" s="1317">
        <f t="shared" si="1129"/>
        <v>4350</v>
      </c>
      <c r="CH386" s="1318">
        <f t="shared" si="1129"/>
        <v>4350</v>
      </c>
      <c r="CI386" s="1318">
        <f t="shared" si="1129"/>
        <v>4350</v>
      </c>
      <c r="CJ386" s="1317">
        <f t="shared" si="1129"/>
        <v>4350</v>
      </c>
      <c r="CK386" s="1317">
        <f t="shared" si="1129"/>
        <v>4350</v>
      </c>
      <c r="CL386" s="1317">
        <f t="shared" si="1129"/>
        <v>4350</v>
      </c>
      <c r="CM386" s="1316">
        <f t="shared" si="1129"/>
        <v>4350</v>
      </c>
      <c r="CN386" s="538" t="str">
        <f t="shared" si="1130"/>
        <v/>
      </c>
      <c r="CO386" s="539" t="str">
        <f t="shared" si="1131"/>
        <v/>
      </c>
      <c r="CP386" s="539" t="str">
        <f t="shared" si="1132"/>
        <v/>
      </c>
      <c r="CQ386" s="539">
        <f t="shared" si="1133"/>
        <v>4350</v>
      </c>
      <c r="CR386" s="539">
        <f t="shared" si="1134"/>
        <v>4350</v>
      </c>
      <c r="CS386" s="539">
        <f t="shared" si="1135"/>
        <v>4350</v>
      </c>
      <c r="CT386" s="540">
        <f t="shared" si="1136"/>
        <v>4350</v>
      </c>
      <c r="CU386" s="540">
        <f t="shared" si="1137"/>
        <v>4350</v>
      </c>
      <c r="CV386" s="540">
        <f t="shared" si="1138"/>
        <v>4350</v>
      </c>
      <c r="CW386" s="539">
        <f t="shared" si="1139"/>
        <v>4350</v>
      </c>
      <c r="CX386" s="539">
        <f t="shared" si="1140"/>
        <v>4350</v>
      </c>
      <c r="CY386" s="539">
        <f t="shared" si="1141"/>
        <v>4350</v>
      </c>
      <c r="CZ386" s="539">
        <f t="shared" si="1142"/>
        <v>4350</v>
      </c>
      <c r="DA386" s="539" t="str">
        <f t="shared" si="1143"/>
        <v/>
      </c>
      <c r="DB386" s="538" t="str">
        <f t="shared" si="1144"/>
        <v/>
      </c>
      <c r="DC386" s="537" t="str">
        <f t="shared" si="1145"/>
        <v/>
      </c>
      <c r="DD386" s="641">
        <f t="shared" si="1146"/>
        <v>10</v>
      </c>
      <c r="DE386" s="95">
        <f t="shared" si="1147"/>
        <v>10</v>
      </c>
      <c r="DF386" s="95">
        <f t="shared" si="1148"/>
        <v>10</v>
      </c>
      <c r="DG386" s="95">
        <f t="shared" si="1149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257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5"/>
        <v>0</v>
      </c>
      <c r="CA387" s="586">
        <f t="shared" si="1126"/>
        <v>15</v>
      </c>
      <c r="CB387" s="586">
        <f t="shared" si="1127"/>
        <v>65</v>
      </c>
      <c r="CC387" s="676">
        <f t="shared" si="1128"/>
        <v>106.25</v>
      </c>
      <c r="CD387" s="1316" t="str">
        <f t="shared" si="1129"/>
        <v/>
      </c>
      <c r="CE387" s="1317" t="str">
        <f t="shared" si="1129"/>
        <v/>
      </c>
      <c r="CF387" s="1317">
        <f t="shared" si="1129"/>
        <v>0</v>
      </c>
      <c r="CG387" s="1317">
        <f t="shared" si="1129"/>
        <v>20</v>
      </c>
      <c r="CH387" s="1318">
        <f t="shared" si="1129"/>
        <v>75</v>
      </c>
      <c r="CI387" s="1318">
        <f t="shared" si="1129"/>
        <v>100</v>
      </c>
      <c r="CJ387" s="1317">
        <f t="shared" si="1129"/>
        <v>250</v>
      </c>
      <c r="CK387" s="1317" t="str">
        <f t="shared" si="1129"/>
        <v/>
      </c>
      <c r="CL387" s="1317" t="str">
        <f t="shared" si="1129"/>
        <v/>
      </c>
      <c r="CM387" s="1316" t="str">
        <f t="shared" si="1129"/>
        <v/>
      </c>
      <c r="CN387" s="538" t="str">
        <f t="shared" si="1130"/>
        <v/>
      </c>
      <c r="CO387" s="539" t="str">
        <f t="shared" si="1131"/>
        <v/>
      </c>
      <c r="CP387" s="539" t="str">
        <f t="shared" si="1132"/>
        <v/>
      </c>
      <c r="CQ387" s="539" t="str">
        <f t="shared" si="1133"/>
        <v/>
      </c>
      <c r="CR387" s="539" t="str">
        <f t="shared" si="1134"/>
        <v/>
      </c>
      <c r="CS387" s="539">
        <f t="shared" si="1135"/>
        <v>0</v>
      </c>
      <c r="CT387" s="540">
        <f t="shared" si="1136"/>
        <v>25</v>
      </c>
      <c r="CU387" s="540">
        <f t="shared" si="1137"/>
        <v>100</v>
      </c>
      <c r="CV387" s="540">
        <f t="shared" si="1138"/>
        <v>150</v>
      </c>
      <c r="CW387" s="539">
        <f t="shared" si="1139"/>
        <v>150</v>
      </c>
      <c r="CX387" s="539">
        <f t="shared" si="1140"/>
        <v>200</v>
      </c>
      <c r="CY387" s="539" t="str">
        <f t="shared" si="1141"/>
        <v/>
      </c>
      <c r="CZ387" s="539" t="str">
        <f t="shared" si="1142"/>
        <v/>
      </c>
      <c r="DA387" s="539" t="str">
        <f t="shared" si="1143"/>
        <v/>
      </c>
      <c r="DB387" s="538" t="str">
        <f t="shared" si="1144"/>
        <v/>
      </c>
      <c r="DC387" s="537" t="str">
        <f t="shared" si="1145"/>
        <v/>
      </c>
      <c r="DD387" s="641">
        <f t="shared" si="1146"/>
        <v>5</v>
      </c>
      <c r="DE387" s="95">
        <f t="shared" si="1147"/>
        <v>6</v>
      </c>
      <c r="DF387" s="95">
        <f t="shared" si="1148"/>
        <v>5</v>
      </c>
      <c r="DG387" s="95">
        <f t="shared" si="1149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181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5"/>
        <v/>
      </c>
      <c r="CA388" s="586" t="str">
        <f t="shared" si="1126"/>
        <v/>
      </c>
      <c r="CB388" s="586">
        <f t="shared" si="1127"/>
        <v>4</v>
      </c>
      <c r="CC388" s="676">
        <f t="shared" si="1128"/>
        <v>5.333333333333333</v>
      </c>
      <c r="CD388" s="1316" t="str">
        <f t="shared" si="1129"/>
        <v/>
      </c>
      <c r="CE388" s="1317" t="str">
        <f t="shared" si="1129"/>
        <v/>
      </c>
      <c r="CF388" s="1317" t="str">
        <f t="shared" si="1129"/>
        <v/>
      </c>
      <c r="CG388" s="1317">
        <f t="shared" si="1129"/>
        <v>2</v>
      </c>
      <c r="CH388" s="1318">
        <f t="shared" si="1129"/>
        <v>4</v>
      </c>
      <c r="CI388" s="1318">
        <f t="shared" si="1129"/>
        <v>4</v>
      </c>
      <c r="CJ388" s="1317">
        <f t="shared" si="1129"/>
        <v>6</v>
      </c>
      <c r="CK388" s="1317" t="str">
        <f t="shared" si="1129"/>
        <v/>
      </c>
      <c r="CL388" s="1317" t="str">
        <f t="shared" si="1129"/>
        <v/>
      </c>
      <c r="CM388" s="1316" t="str">
        <f t="shared" si="1129"/>
        <v/>
      </c>
      <c r="CN388" s="538" t="str">
        <f t="shared" si="1130"/>
        <v/>
      </c>
      <c r="CO388" s="539" t="str">
        <f t="shared" si="1131"/>
        <v/>
      </c>
      <c r="CP388" s="539" t="str">
        <f t="shared" si="1132"/>
        <v/>
      </c>
      <c r="CQ388" s="539" t="str">
        <f t="shared" si="1133"/>
        <v/>
      </c>
      <c r="CR388" s="539" t="str">
        <f t="shared" si="1134"/>
        <v/>
      </c>
      <c r="CS388" s="539">
        <f t="shared" si="1135"/>
        <v>3.6</v>
      </c>
      <c r="CT388" s="540">
        <f t="shared" si="1136"/>
        <v>4</v>
      </c>
      <c r="CU388" s="540">
        <f t="shared" si="1137"/>
        <v>6</v>
      </c>
      <c r="CV388" s="540">
        <f t="shared" si="1138"/>
        <v>6</v>
      </c>
      <c r="CW388" s="539">
        <f t="shared" si="1139"/>
        <v>7</v>
      </c>
      <c r="CX388" s="539" t="str">
        <f t="shared" si="1140"/>
        <v/>
      </c>
      <c r="CY388" s="539" t="str">
        <f t="shared" si="1141"/>
        <v/>
      </c>
      <c r="CZ388" s="539" t="str">
        <f t="shared" si="1142"/>
        <v/>
      </c>
      <c r="DA388" s="539" t="str">
        <f t="shared" si="1143"/>
        <v/>
      </c>
      <c r="DB388" s="538" t="str">
        <f t="shared" si="1144"/>
        <v/>
      </c>
      <c r="DC388" s="537" t="str">
        <f t="shared" si="1145"/>
        <v/>
      </c>
      <c r="DD388" s="641">
        <f t="shared" si="1146"/>
        <v>1</v>
      </c>
      <c r="DE388" s="95">
        <f t="shared" si="1147"/>
        <v>2</v>
      </c>
      <c r="DF388" s="95">
        <f t="shared" si="1148"/>
        <v>4</v>
      </c>
      <c r="DG388" s="95">
        <f t="shared" si="1149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183</v>
      </c>
      <c r="B389" s="618" t="str">
        <f t="shared" ref="B389:K389" si="1155">IF(B387="","",B387*B388)</f>
        <v/>
      </c>
      <c r="C389" s="618">
        <f t="shared" si="1155"/>
        <v>0</v>
      </c>
      <c r="D389" s="618" t="str">
        <f t="shared" si="1155"/>
        <v/>
      </c>
      <c r="E389" s="618" t="str">
        <f t="shared" si="1155"/>
        <v/>
      </c>
      <c r="F389" s="618" t="str">
        <f t="shared" si="1155"/>
        <v/>
      </c>
      <c r="G389" s="618">
        <f t="shared" si="1155"/>
        <v>0</v>
      </c>
      <c r="H389" s="618" t="str">
        <f t="shared" si="1155"/>
        <v/>
      </c>
      <c r="I389" s="618">
        <f t="shared" si="1155"/>
        <v>80</v>
      </c>
      <c r="J389" s="618">
        <f t="shared" si="1155"/>
        <v>0</v>
      </c>
      <c r="K389" s="618">
        <f t="shared" si="1155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6">IF(T387="","",T387*T388)</f>
        <v/>
      </c>
      <c r="U389" s="618">
        <f t="shared" si="1156"/>
        <v>300</v>
      </c>
      <c r="V389" s="618" t="str">
        <f t="shared" si="1156"/>
        <v/>
      </c>
      <c r="W389" s="618" t="str">
        <f t="shared" si="1156"/>
        <v/>
      </c>
      <c r="X389" s="618">
        <f t="shared" si="1156"/>
        <v>0</v>
      </c>
      <c r="Y389" s="618">
        <f t="shared" si="1156"/>
        <v>0</v>
      </c>
      <c r="Z389" s="618" t="str">
        <f t="shared" si="1156"/>
        <v/>
      </c>
      <c r="AA389" s="618">
        <f t="shared" si="1156"/>
        <v>0</v>
      </c>
      <c r="AB389" s="618">
        <f t="shared" si="1156"/>
        <v>0</v>
      </c>
      <c r="AC389" s="618">
        <f t="shared" si="1156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7">IF(AL387="","",AL387*AL388)</f>
        <v/>
      </c>
      <c r="AM389" s="618">
        <f t="shared" si="1157"/>
        <v>150</v>
      </c>
      <c r="AN389" s="618" t="str">
        <f t="shared" si="1157"/>
        <v/>
      </c>
      <c r="AO389" s="618">
        <f t="shared" si="1157"/>
        <v>0</v>
      </c>
      <c r="AP389" s="618">
        <f t="shared" si="1157"/>
        <v>600</v>
      </c>
      <c r="AQ389" s="618" t="str">
        <f t="shared" si="1157"/>
        <v/>
      </c>
      <c r="AR389" s="618" t="str">
        <f t="shared" si="1157"/>
        <v/>
      </c>
      <c r="AS389" s="618">
        <f t="shared" si="1157"/>
        <v>80</v>
      </c>
      <c r="AT389" s="618" t="str">
        <f t="shared" si="1157"/>
        <v/>
      </c>
      <c r="AU389" s="618">
        <f t="shared" si="1157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8">IF(BD387="","",BD387*BD388)</f>
        <v/>
      </c>
      <c r="BE389" s="618">
        <f t="shared" si="1158"/>
        <v>1200</v>
      </c>
      <c r="BF389" s="618" t="str">
        <f t="shared" si="1158"/>
        <v/>
      </c>
      <c r="BG389" s="618" t="str">
        <f t="shared" si="1158"/>
        <v/>
      </c>
      <c r="BH389" s="618">
        <f t="shared" si="1158"/>
        <v>900</v>
      </c>
      <c r="BI389" s="618">
        <f t="shared" si="1158"/>
        <v>0</v>
      </c>
      <c r="BJ389" s="618" t="str">
        <f t="shared" si="1158"/>
        <v/>
      </c>
      <c r="BK389" s="618">
        <f t="shared" si="1158"/>
        <v>1050</v>
      </c>
      <c r="BL389" s="618">
        <f t="shared" si="1158"/>
        <v>100</v>
      </c>
      <c r="BM389" s="618">
        <f t="shared" si="1158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5"/>
        <v>0</v>
      </c>
      <c r="CA389" s="586">
        <f t="shared" si="1126"/>
        <v>52.5</v>
      </c>
      <c r="CB389" s="586">
        <f t="shared" si="1127"/>
        <v>276.66666666666669</v>
      </c>
      <c r="CC389" s="676">
        <f t="shared" si="1128"/>
        <v>602.5</v>
      </c>
      <c r="CD389" s="1316" t="str">
        <f t="shared" si="1129"/>
        <v/>
      </c>
      <c r="CE389" s="1317" t="str">
        <f t="shared" si="1129"/>
        <v/>
      </c>
      <c r="CF389" s="1317">
        <f t="shared" si="1129"/>
        <v>0</v>
      </c>
      <c r="CG389" s="1317">
        <f t="shared" si="1129"/>
        <v>80</v>
      </c>
      <c r="CH389" s="1318">
        <f t="shared" si="1129"/>
        <v>150</v>
      </c>
      <c r="CI389" s="1318">
        <f t="shared" si="1129"/>
        <v>600</v>
      </c>
      <c r="CJ389" s="1317">
        <f t="shared" si="1129"/>
        <v>1000</v>
      </c>
      <c r="CK389" s="1317" t="str">
        <f t="shared" si="1129"/>
        <v/>
      </c>
      <c r="CL389" s="1317" t="str">
        <f t="shared" si="1129"/>
        <v/>
      </c>
      <c r="CM389" s="1316" t="str">
        <f t="shared" si="1129"/>
        <v/>
      </c>
      <c r="CN389" s="538" t="str">
        <f t="shared" si="1130"/>
        <v/>
      </c>
      <c r="CO389" s="539" t="str">
        <f t="shared" si="1131"/>
        <v/>
      </c>
      <c r="CP389" s="539" t="str">
        <f t="shared" si="1132"/>
        <v/>
      </c>
      <c r="CQ389" s="539" t="str">
        <f t="shared" si="1133"/>
        <v/>
      </c>
      <c r="CR389" s="539" t="str">
        <f t="shared" si="1134"/>
        <v/>
      </c>
      <c r="CS389" s="539">
        <f t="shared" si="1135"/>
        <v>0</v>
      </c>
      <c r="CT389" s="540">
        <f t="shared" si="1136"/>
        <v>100</v>
      </c>
      <c r="CU389" s="540">
        <f t="shared" si="1137"/>
        <v>360</v>
      </c>
      <c r="CV389" s="540">
        <f t="shared" si="1138"/>
        <v>900</v>
      </c>
      <c r="CW389" s="539">
        <f t="shared" si="1139"/>
        <v>1050</v>
      </c>
      <c r="CX389" s="539">
        <f t="shared" si="1140"/>
        <v>1200</v>
      </c>
      <c r="CY389" s="539" t="str">
        <f t="shared" si="1141"/>
        <v/>
      </c>
      <c r="CZ389" s="539" t="str">
        <f t="shared" si="1142"/>
        <v/>
      </c>
      <c r="DA389" s="539" t="str">
        <f t="shared" si="1143"/>
        <v/>
      </c>
      <c r="DB389" s="538" t="str">
        <f t="shared" si="1144"/>
        <v/>
      </c>
      <c r="DC389" s="537" t="str">
        <f t="shared" si="1145"/>
        <v/>
      </c>
      <c r="DD389" s="641">
        <f t="shared" si="1146"/>
        <v>5</v>
      </c>
      <c r="DE389" s="95">
        <f t="shared" si="1147"/>
        <v>6</v>
      </c>
      <c r="DF389" s="95">
        <f t="shared" si="1148"/>
        <v>5</v>
      </c>
      <c r="DG389" s="95">
        <f t="shared" si="1149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258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5"/>
        <v>34</v>
      </c>
      <c r="CA390" s="586">
        <f t="shared" si="1126"/>
        <v>20</v>
      </c>
      <c r="CB390" s="586">
        <f t="shared" si="1127"/>
        <v>1</v>
      </c>
      <c r="CC390" s="676">
        <f t="shared" si="1128"/>
        <v>0</v>
      </c>
      <c r="CD390" s="1316" t="str">
        <f t="shared" si="1129"/>
        <v/>
      </c>
      <c r="CE390" s="1317" t="str">
        <f t="shared" si="1129"/>
        <v/>
      </c>
      <c r="CF390" s="1317" t="str">
        <f t="shared" si="1129"/>
        <v/>
      </c>
      <c r="CG390" s="1317">
        <f t="shared" si="1129"/>
        <v>0</v>
      </c>
      <c r="CH390" s="1318">
        <f t="shared" si="1129"/>
        <v>0</v>
      </c>
      <c r="CI390" s="1318">
        <f t="shared" si="1129"/>
        <v>2</v>
      </c>
      <c r="CJ390" s="1317">
        <f t="shared" si="1129"/>
        <v>100</v>
      </c>
      <c r="CK390" s="1317" t="str">
        <f t="shared" si="1129"/>
        <v/>
      </c>
      <c r="CL390" s="1317" t="str">
        <f t="shared" si="1129"/>
        <v/>
      </c>
      <c r="CM390" s="1316" t="str">
        <f t="shared" si="1129"/>
        <v/>
      </c>
      <c r="CN390" s="538" t="str">
        <f t="shared" si="1130"/>
        <v/>
      </c>
      <c r="CO390" s="539" t="str">
        <f t="shared" si="1131"/>
        <v/>
      </c>
      <c r="CP390" s="539" t="str">
        <f t="shared" si="1132"/>
        <v/>
      </c>
      <c r="CQ390" s="539" t="str">
        <f t="shared" si="1133"/>
        <v/>
      </c>
      <c r="CR390" s="539" t="str">
        <f t="shared" si="1134"/>
        <v/>
      </c>
      <c r="CS390" s="539">
        <f t="shared" si="1135"/>
        <v>0</v>
      </c>
      <c r="CT390" s="540">
        <f t="shared" si="1136"/>
        <v>0</v>
      </c>
      <c r="CU390" s="540">
        <f t="shared" si="1137"/>
        <v>0</v>
      </c>
      <c r="CV390" s="540">
        <f t="shared" si="1138"/>
        <v>0</v>
      </c>
      <c r="CW390" s="539">
        <f t="shared" si="1139"/>
        <v>0</v>
      </c>
      <c r="CX390" s="539" t="str">
        <f t="shared" si="1140"/>
        <v/>
      </c>
      <c r="CY390" s="539" t="str">
        <f t="shared" si="1141"/>
        <v/>
      </c>
      <c r="CZ390" s="539" t="str">
        <f t="shared" si="1142"/>
        <v/>
      </c>
      <c r="DA390" s="539" t="str">
        <f t="shared" si="1143"/>
        <v/>
      </c>
      <c r="DB390" s="538" t="str">
        <f t="shared" si="1144"/>
        <v/>
      </c>
      <c r="DC390" s="537" t="str">
        <f t="shared" si="1145"/>
        <v/>
      </c>
      <c r="DD390" s="641">
        <f t="shared" si="1146"/>
        <v>5</v>
      </c>
      <c r="DE390" s="95">
        <f t="shared" si="1147"/>
        <v>6</v>
      </c>
      <c r="DF390" s="95">
        <f t="shared" si="1148"/>
        <v>4</v>
      </c>
      <c r="DG390" s="95">
        <f t="shared" si="1149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227</v>
      </c>
      <c r="B391" s="621" t="str">
        <f t="shared" ref="B391:K391" si="1159">IF(B385="","",(B385-B387-B390)*B386/B$46/365/$G$1)</f>
        <v/>
      </c>
      <c r="C391" s="621">
        <f t="shared" si="1159"/>
        <v>2.9020636897349225E-2</v>
      </c>
      <c r="D391" s="621" t="str">
        <f t="shared" si="1159"/>
        <v/>
      </c>
      <c r="E391" s="621" t="str">
        <f t="shared" si="1159"/>
        <v/>
      </c>
      <c r="F391" s="621" t="str">
        <f t="shared" si="1159"/>
        <v/>
      </c>
      <c r="G391" s="621">
        <f t="shared" si="1159"/>
        <v>3.3857409713574101E-2</v>
      </c>
      <c r="H391" s="621" t="str">
        <f t="shared" si="1159"/>
        <v/>
      </c>
      <c r="I391" s="621">
        <f t="shared" si="1159"/>
        <v>7.5840597758405973E-3</v>
      </c>
      <c r="J391" s="621">
        <f t="shared" si="1159"/>
        <v>1.692870485678705E-2</v>
      </c>
      <c r="K391" s="621">
        <f t="shared" si="1159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60">IF(T385="","",(T385-T387-T390)*T386/T$46/365/$G$1)</f>
        <v/>
      </c>
      <c r="U391" s="621">
        <f t="shared" si="1160"/>
        <v>2.9020636897349227E-3</v>
      </c>
      <c r="V391" s="621" t="str">
        <f t="shared" si="1160"/>
        <v/>
      </c>
      <c r="W391" s="621" t="str">
        <f t="shared" si="1160"/>
        <v/>
      </c>
      <c r="X391" s="621">
        <f t="shared" si="1160"/>
        <v>1.6928704856787047E-3</v>
      </c>
      <c r="Y391" s="621">
        <f t="shared" si="1160"/>
        <v>5.9589041095890409E-2</v>
      </c>
      <c r="Z391" s="621" t="str">
        <f t="shared" si="1160"/>
        <v/>
      </c>
      <c r="AA391" s="621">
        <f t="shared" si="1160"/>
        <v>1.0834371108343711E-2</v>
      </c>
      <c r="AB391" s="621">
        <f t="shared" si="1160"/>
        <v>2.5393057285180574E-2</v>
      </c>
      <c r="AC391" s="621">
        <f t="shared" si="1160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61">IF(AL385="","",(AL385-AL387-AL390)*AL386/AL$46/365/$G$1)</f>
        <v/>
      </c>
      <c r="AM391" s="621">
        <f t="shared" si="1161"/>
        <v>4.2321762141967626E-3</v>
      </c>
      <c r="AN391" s="621" t="str">
        <f t="shared" si="1161"/>
        <v/>
      </c>
      <c r="AO391" s="621" t="str">
        <f t="shared" si="1161"/>
        <v/>
      </c>
      <c r="AP391" s="621">
        <f t="shared" si="1161"/>
        <v>2.031444582814446E-2</v>
      </c>
      <c r="AQ391" s="621" t="str">
        <f t="shared" si="1161"/>
        <v/>
      </c>
      <c r="AR391" s="621" t="str">
        <f t="shared" si="1161"/>
        <v/>
      </c>
      <c r="AS391" s="621">
        <f t="shared" si="1161"/>
        <v>3.7649439601494396E-2</v>
      </c>
      <c r="AT391" s="621" t="str">
        <f t="shared" si="1161"/>
        <v/>
      </c>
      <c r="AU391" s="621">
        <f t="shared" si="1161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2">IF(BD385="","",(BD385-BD387-BD390)*BD386/BD$46/365/$G$1)</f>
        <v>2.8214508094645081E-3</v>
      </c>
      <c r="BE391" s="621">
        <f t="shared" si="1162"/>
        <v>8.4643524283935252E-3</v>
      </c>
      <c r="BF391" s="621" t="str">
        <f t="shared" si="1162"/>
        <v/>
      </c>
      <c r="BG391" s="621" t="str">
        <f t="shared" si="1162"/>
        <v/>
      </c>
      <c r="BH391" s="621">
        <f t="shared" si="1162"/>
        <v>4.3091248726367035E-2</v>
      </c>
      <c r="BI391" s="621">
        <f t="shared" si="1162"/>
        <v>3.3857409713574094E-3</v>
      </c>
      <c r="BJ391" s="621" t="str">
        <f t="shared" si="1162"/>
        <v/>
      </c>
      <c r="BK391" s="621">
        <f t="shared" si="1162"/>
        <v>1.9347091264899485E-2</v>
      </c>
      <c r="BL391" s="621" t="str">
        <f t="shared" si="1162"/>
        <v/>
      </c>
      <c r="BM391" s="621">
        <f t="shared" si="1162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5"/>
        <v>1.7896059420032025E-2</v>
      </c>
      <c r="CA391" s="611">
        <f t="shared" si="1126"/>
        <v>1.1663340227124471E-2</v>
      </c>
      <c r="CB391" s="611">
        <f t="shared" si="1127"/>
        <v>2.031444582814446E-2</v>
      </c>
      <c r="CC391" s="679">
        <f t="shared" si="1128"/>
        <v>1.5054455390499911E-2</v>
      </c>
      <c r="CD391" s="1319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0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0" t="str">
        <f t="shared" si="1164"/>
        <v/>
      </c>
      <c r="CG391" s="1320">
        <f t="shared" si="1164"/>
        <v>4.2321762141967626E-3</v>
      </c>
      <c r="CH391" s="1321">
        <f t="shared" si="1164"/>
        <v>2.031444582814446E-2</v>
      </c>
      <c r="CI391" s="1321">
        <f t="shared" si="1164"/>
        <v>2.031444582814446E-2</v>
      </c>
      <c r="CJ391" s="1320">
        <f t="shared" si="1164"/>
        <v>3.7649439601494396E-2</v>
      </c>
      <c r="CK391" s="1320" t="str">
        <f t="shared" si="1164"/>
        <v/>
      </c>
      <c r="CL391" s="1320" t="str">
        <f t="shared" si="1164"/>
        <v/>
      </c>
      <c r="CM391" s="1319" t="str">
        <f t="shared" si="1164"/>
        <v/>
      </c>
      <c r="CN391" s="526" t="str">
        <f t="shared" si="1130"/>
        <v/>
      </c>
      <c r="CO391" s="527" t="str">
        <f t="shared" si="1131"/>
        <v/>
      </c>
      <c r="CP391" s="527" t="str">
        <f t="shared" si="1132"/>
        <v/>
      </c>
      <c r="CQ391" s="527" t="str">
        <f t="shared" si="1133"/>
        <v/>
      </c>
      <c r="CR391" s="527" t="str">
        <f t="shared" si="1134"/>
        <v/>
      </c>
      <c r="CS391" s="527">
        <f t="shared" si="1135"/>
        <v>2.8214508094645081E-3</v>
      </c>
      <c r="CT391" s="528">
        <f t="shared" si="1136"/>
        <v>3.3857409713574094E-3</v>
      </c>
      <c r="CU391" s="528">
        <f t="shared" si="1137"/>
        <v>8.4643524283935252E-3</v>
      </c>
      <c r="CV391" s="528">
        <f t="shared" si="1138"/>
        <v>1.9347091264899485E-2</v>
      </c>
      <c r="CW391" s="527">
        <f t="shared" si="1139"/>
        <v>2.9020636897349225E-2</v>
      </c>
      <c r="CX391" s="527">
        <f t="shared" si="1140"/>
        <v>4.3091248726367035E-2</v>
      </c>
      <c r="CY391" s="527" t="str">
        <f t="shared" si="1141"/>
        <v/>
      </c>
      <c r="CZ391" s="527" t="str">
        <f t="shared" si="1142"/>
        <v/>
      </c>
      <c r="DA391" s="527" t="str">
        <f t="shared" si="1143"/>
        <v/>
      </c>
      <c r="DB391" s="526" t="str">
        <f t="shared" si="1144"/>
        <v/>
      </c>
      <c r="DC391" s="525" t="str">
        <f t="shared" si="1145"/>
        <v/>
      </c>
      <c r="DD391" s="641">
        <f t="shared" si="1146"/>
        <v>5</v>
      </c>
      <c r="DE391" s="95">
        <f t="shared" si="1147"/>
        <v>6</v>
      </c>
      <c r="DF391" s="95">
        <f t="shared" si="1148"/>
        <v>4</v>
      </c>
      <c r="DG391" s="95">
        <f t="shared" si="1149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272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5"/>
        <v/>
      </c>
      <c r="CA392" s="586" t="str">
        <f t="shared" si="1126"/>
        <v/>
      </c>
      <c r="CB392" s="586" t="str">
        <f t="shared" si="1127"/>
        <v/>
      </c>
      <c r="CC392" s="676" t="str">
        <f t="shared" si="1128"/>
        <v/>
      </c>
      <c r="CD392" s="1316" t="str">
        <f t="shared" si="1163"/>
        <v/>
      </c>
      <c r="CE392" s="1317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7" t="str">
        <f t="shared" si="1165"/>
        <v/>
      </c>
      <c r="CG392" s="1317" t="str">
        <f t="shared" si="1165"/>
        <v/>
      </c>
      <c r="CH392" s="1318" t="str">
        <f t="shared" si="1165"/>
        <v/>
      </c>
      <c r="CI392" s="1318" t="str">
        <f t="shared" si="1165"/>
        <v/>
      </c>
      <c r="CJ392" s="1317" t="str">
        <f t="shared" si="1165"/>
        <v/>
      </c>
      <c r="CK392" s="1317" t="str">
        <f t="shared" si="1165"/>
        <v/>
      </c>
      <c r="CL392" s="1317" t="str">
        <f t="shared" si="1165"/>
        <v/>
      </c>
      <c r="CM392" s="1316" t="str">
        <f t="shared" si="1165"/>
        <v/>
      </c>
      <c r="CN392" s="538" t="str">
        <f t="shared" si="1130"/>
        <v/>
      </c>
      <c r="CO392" s="539" t="str">
        <f t="shared" si="1131"/>
        <v/>
      </c>
      <c r="CP392" s="539" t="str">
        <f t="shared" si="1132"/>
        <v/>
      </c>
      <c r="CQ392" s="539" t="str">
        <f t="shared" si="1133"/>
        <v/>
      </c>
      <c r="CR392" s="539" t="str">
        <f t="shared" si="1134"/>
        <v/>
      </c>
      <c r="CS392" s="539" t="str">
        <f t="shared" si="1135"/>
        <v/>
      </c>
      <c r="CT392" s="540" t="str">
        <f t="shared" si="1136"/>
        <v/>
      </c>
      <c r="CU392" s="540" t="str">
        <f t="shared" si="1137"/>
        <v/>
      </c>
      <c r="CV392" s="540" t="str">
        <f t="shared" si="1138"/>
        <v/>
      </c>
      <c r="CW392" s="539" t="str">
        <f t="shared" si="1139"/>
        <v/>
      </c>
      <c r="CX392" s="539" t="str">
        <f t="shared" si="1140"/>
        <v/>
      </c>
      <c r="CY392" s="539" t="str">
        <f t="shared" si="1141"/>
        <v/>
      </c>
      <c r="CZ392" s="539" t="str">
        <f t="shared" si="1142"/>
        <v/>
      </c>
      <c r="DA392" s="539" t="str">
        <f t="shared" si="1143"/>
        <v/>
      </c>
      <c r="DB392" s="538" t="str">
        <f t="shared" si="1144"/>
        <v/>
      </c>
      <c r="DC392" s="537" t="str">
        <f t="shared" si="1145"/>
        <v/>
      </c>
      <c r="DD392" s="641">
        <f t="shared" si="1146"/>
        <v>0</v>
      </c>
      <c r="DE392" s="95">
        <f t="shared" si="1147"/>
        <v>0</v>
      </c>
      <c r="DF392" s="95">
        <f t="shared" si="1148"/>
        <v>0</v>
      </c>
      <c r="DG392" s="95">
        <f t="shared" si="1149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5"/>
        <v/>
      </c>
      <c r="CA393" s="586" t="str">
        <f t="shared" si="1126"/>
        <v/>
      </c>
      <c r="CB393" s="586" t="str">
        <f t="shared" si="1127"/>
        <v/>
      </c>
      <c r="CC393" s="676" t="str">
        <f t="shared" si="1128"/>
        <v/>
      </c>
      <c r="CD393" s="1316" t="str">
        <f t="shared" si="1163"/>
        <v/>
      </c>
      <c r="CE393" s="1317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7" t="str">
        <f t="shared" si="1166"/>
        <v/>
      </c>
      <c r="CG393" s="1317" t="str">
        <f t="shared" si="1166"/>
        <v/>
      </c>
      <c r="CH393" s="1318" t="str">
        <f t="shared" si="1166"/>
        <v/>
      </c>
      <c r="CI393" s="1318" t="str">
        <f t="shared" si="1166"/>
        <v/>
      </c>
      <c r="CJ393" s="1317" t="str">
        <f t="shared" si="1166"/>
        <v/>
      </c>
      <c r="CK393" s="1317" t="str">
        <f t="shared" si="1166"/>
        <v/>
      </c>
      <c r="CL393" s="1317" t="str">
        <f t="shared" si="1166"/>
        <v/>
      </c>
      <c r="CM393" s="1316" t="str">
        <f t="shared" si="1166"/>
        <v/>
      </c>
      <c r="CN393" s="538" t="str">
        <f t="shared" si="1130"/>
        <v/>
      </c>
      <c r="CO393" s="539" t="str">
        <f t="shared" si="1131"/>
        <v/>
      </c>
      <c r="CP393" s="539" t="str">
        <f t="shared" si="1132"/>
        <v/>
      </c>
      <c r="CQ393" s="539" t="str">
        <f t="shared" si="1133"/>
        <v/>
      </c>
      <c r="CR393" s="539" t="str">
        <f t="shared" si="1134"/>
        <v/>
      </c>
      <c r="CS393" s="539" t="str">
        <f t="shared" si="1135"/>
        <v/>
      </c>
      <c r="CT393" s="540" t="str">
        <f t="shared" si="1136"/>
        <v/>
      </c>
      <c r="CU393" s="540" t="str">
        <f t="shared" si="1137"/>
        <v/>
      </c>
      <c r="CV393" s="540" t="str">
        <f t="shared" si="1138"/>
        <v/>
      </c>
      <c r="CW393" s="539" t="str">
        <f t="shared" si="1139"/>
        <v/>
      </c>
      <c r="CX393" s="539" t="str">
        <f t="shared" si="1140"/>
        <v/>
      </c>
      <c r="CY393" s="539" t="str">
        <f t="shared" si="1141"/>
        <v/>
      </c>
      <c r="CZ393" s="539" t="str">
        <f t="shared" si="1142"/>
        <v/>
      </c>
      <c r="DA393" s="539" t="str">
        <f t="shared" si="1143"/>
        <v/>
      </c>
      <c r="DB393" s="538" t="str">
        <f t="shared" si="1144"/>
        <v/>
      </c>
      <c r="DC393" s="537" t="str">
        <f t="shared" si="1145"/>
        <v/>
      </c>
      <c r="DD393" s="641">
        <f t="shared" si="1146"/>
        <v>0</v>
      </c>
      <c r="DE393" s="95">
        <f t="shared" si="1147"/>
        <v>0</v>
      </c>
      <c r="DF393" s="95">
        <f t="shared" si="1148"/>
        <v>0</v>
      </c>
      <c r="DG393" s="95">
        <f t="shared" si="1149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183</v>
      </c>
      <c r="B394" s="618" t="str">
        <f t="shared" ref="B394:K394" si="1167">IF(B392="","",B392*B393)</f>
        <v/>
      </c>
      <c r="C394" s="618" t="str">
        <f t="shared" si="1167"/>
        <v/>
      </c>
      <c r="D394" s="618" t="str">
        <f t="shared" si="1167"/>
        <v/>
      </c>
      <c r="E394" s="618" t="str">
        <f t="shared" si="1167"/>
        <v/>
      </c>
      <c r="F394" s="618" t="str">
        <f t="shared" si="1167"/>
        <v/>
      </c>
      <c r="G394" s="618" t="str">
        <f t="shared" si="1167"/>
        <v/>
      </c>
      <c r="H394" s="618" t="str">
        <f t="shared" si="1167"/>
        <v/>
      </c>
      <c r="I394" s="618" t="str">
        <f t="shared" si="1167"/>
        <v/>
      </c>
      <c r="J394" s="618" t="str">
        <f t="shared" si="1167"/>
        <v/>
      </c>
      <c r="K394" s="618" t="str">
        <f t="shared" si="1167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8">IF(T392="","",T392*T393)</f>
        <v/>
      </c>
      <c r="U394" s="618" t="str">
        <f t="shared" si="1168"/>
        <v/>
      </c>
      <c r="V394" s="618" t="str">
        <f t="shared" si="1168"/>
        <v/>
      </c>
      <c r="W394" s="618" t="str">
        <f t="shared" si="1168"/>
        <v/>
      </c>
      <c r="X394" s="618" t="str">
        <f t="shared" si="1168"/>
        <v/>
      </c>
      <c r="Y394" s="618" t="str">
        <f t="shared" si="1168"/>
        <v/>
      </c>
      <c r="Z394" s="618" t="str">
        <f t="shared" si="1168"/>
        <v/>
      </c>
      <c r="AA394" s="618" t="str">
        <f t="shared" si="1168"/>
        <v/>
      </c>
      <c r="AB394" s="618" t="str">
        <f t="shared" si="1168"/>
        <v/>
      </c>
      <c r="AC394" s="618" t="str">
        <f t="shared" si="1168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9">IF(AL392="","",AL392*AL393)</f>
        <v/>
      </c>
      <c r="AM394" s="618" t="str">
        <f t="shared" si="1169"/>
        <v/>
      </c>
      <c r="AN394" s="618" t="str">
        <f t="shared" si="1169"/>
        <v/>
      </c>
      <c r="AO394" s="618" t="str">
        <f t="shared" si="1169"/>
        <v/>
      </c>
      <c r="AP394" s="618" t="str">
        <f t="shared" si="1169"/>
        <v/>
      </c>
      <c r="AQ394" s="618" t="str">
        <f t="shared" si="1169"/>
        <v/>
      </c>
      <c r="AR394" s="618" t="str">
        <f t="shared" si="1169"/>
        <v/>
      </c>
      <c r="AS394" s="618" t="str">
        <f t="shared" si="1169"/>
        <v/>
      </c>
      <c r="AT394" s="618" t="str">
        <f t="shared" si="1169"/>
        <v/>
      </c>
      <c r="AU394" s="618" t="str">
        <f t="shared" si="1169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70">IF(BD392="","",BD392*BD393)</f>
        <v/>
      </c>
      <c r="BE394" s="618" t="str">
        <f t="shared" si="1170"/>
        <v/>
      </c>
      <c r="BF394" s="618" t="str">
        <f t="shared" si="1170"/>
        <v/>
      </c>
      <c r="BG394" s="618" t="str">
        <f t="shared" si="1170"/>
        <v/>
      </c>
      <c r="BH394" s="618" t="str">
        <f t="shared" si="1170"/>
        <v/>
      </c>
      <c r="BI394" s="618" t="str">
        <f t="shared" si="1170"/>
        <v/>
      </c>
      <c r="BJ394" s="618" t="str">
        <f t="shared" si="1170"/>
        <v/>
      </c>
      <c r="BK394" s="618" t="str">
        <f t="shared" si="1170"/>
        <v/>
      </c>
      <c r="BL394" s="618" t="str">
        <f t="shared" si="1170"/>
        <v/>
      </c>
      <c r="BM394" s="618" t="str">
        <f t="shared" si="1170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5"/>
        <v/>
      </c>
      <c r="CA394" s="586" t="str">
        <f t="shared" si="1126"/>
        <v/>
      </c>
      <c r="CB394" s="586" t="str">
        <f t="shared" si="1127"/>
        <v/>
      </c>
      <c r="CC394" s="676" t="str">
        <f t="shared" si="1128"/>
        <v/>
      </c>
      <c r="CD394" s="1316" t="str">
        <f t="shared" si="1163"/>
        <v/>
      </c>
      <c r="CE394" s="1317" t="str">
        <f t="shared" si="1166"/>
        <v/>
      </c>
      <c r="CF394" s="1317" t="str">
        <f t="shared" si="1166"/>
        <v/>
      </c>
      <c r="CG394" s="1317" t="str">
        <f t="shared" si="1166"/>
        <v/>
      </c>
      <c r="CH394" s="1318" t="str">
        <f t="shared" si="1166"/>
        <v/>
      </c>
      <c r="CI394" s="1318" t="str">
        <f t="shared" si="1166"/>
        <v/>
      </c>
      <c r="CJ394" s="1317" t="str">
        <f t="shared" si="1166"/>
        <v/>
      </c>
      <c r="CK394" s="1317" t="str">
        <f t="shared" si="1166"/>
        <v/>
      </c>
      <c r="CL394" s="1317" t="str">
        <f t="shared" si="1166"/>
        <v/>
      </c>
      <c r="CM394" s="1316" t="str">
        <f t="shared" si="1166"/>
        <v/>
      </c>
      <c r="CN394" s="538" t="str">
        <f t="shared" si="1130"/>
        <v/>
      </c>
      <c r="CO394" s="539" t="str">
        <f t="shared" si="1131"/>
        <v/>
      </c>
      <c r="CP394" s="539" t="str">
        <f t="shared" si="1132"/>
        <v/>
      </c>
      <c r="CQ394" s="539" t="str">
        <f t="shared" si="1133"/>
        <v/>
      </c>
      <c r="CR394" s="539" t="str">
        <f t="shared" si="1134"/>
        <v/>
      </c>
      <c r="CS394" s="539" t="str">
        <f t="shared" si="1135"/>
        <v/>
      </c>
      <c r="CT394" s="540" t="str">
        <f t="shared" si="1136"/>
        <v/>
      </c>
      <c r="CU394" s="540" t="str">
        <f t="shared" si="1137"/>
        <v/>
      </c>
      <c r="CV394" s="540" t="str">
        <f t="shared" si="1138"/>
        <v/>
      </c>
      <c r="CW394" s="539" t="str">
        <f t="shared" si="1139"/>
        <v/>
      </c>
      <c r="CX394" s="539" t="str">
        <f t="shared" si="1140"/>
        <v/>
      </c>
      <c r="CY394" s="539" t="str">
        <f t="shared" si="1141"/>
        <v/>
      </c>
      <c r="CZ394" s="539" t="str">
        <f t="shared" si="1142"/>
        <v/>
      </c>
      <c r="DA394" s="539" t="str">
        <f t="shared" si="1143"/>
        <v/>
      </c>
      <c r="DB394" s="538" t="str">
        <f t="shared" si="1144"/>
        <v/>
      </c>
      <c r="DC394" s="537" t="str">
        <f t="shared" si="1145"/>
        <v/>
      </c>
      <c r="DD394" s="641">
        <f t="shared" si="1146"/>
        <v>0</v>
      </c>
      <c r="DE394" s="95">
        <f t="shared" si="1147"/>
        <v>0</v>
      </c>
      <c r="DF394" s="95">
        <f t="shared" si="1148"/>
        <v>0</v>
      </c>
      <c r="DG394" s="95">
        <f t="shared" si="1149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928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5"/>
        <v/>
      </c>
      <c r="CA395" s="586">
        <f t="shared" si="1126"/>
        <v>36</v>
      </c>
      <c r="CB395" s="586" t="str">
        <f t="shared" si="1127"/>
        <v/>
      </c>
      <c r="CC395" s="676">
        <f t="shared" si="1128"/>
        <v>57.5</v>
      </c>
      <c r="CD395" s="1316" t="str">
        <f t="shared" si="1163"/>
        <v/>
      </c>
      <c r="CE395" s="1317" t="str">
        <f t="shared" si="1166"/>
        <v/>
      </c>
      <c r="CF395" s="1317" t="str">
        <f t="shared" si="1166"/>
        <v/>
      </c>
      <c r="CG395" s="1317" t="str">
        <f t="shared" si="1166"/>
        <v/>
      </c>
      <c r="CH395" s="1318">
        <f t="shared" si="1166"/>
        <v>10</v>
      </c>
      <c r="CI395" s="1318">
        <f t="shared" si="1166"/>
        <v>20</v>
      </c>
      <c r="CJ395" s="1317" t="str">
        <f t="shared" si="1166"/>
        <v/>
      </c>
      <c r="CK395" s="1317" t="str">
        <f t="shared" si="1166"/>
        <v/>
      </c>
      <c r="CL395" s="1317" t="str">
        <f t="shared" si="1166"/>
        <v/>
      </c>
      <c r="CM395" s="1316" t="str">
        <f t="shared" si="1166"/>
        <v/>
      </c>
      <c r="CN395" s="538" t="str">
        <f t="shared" si="1130"/>
        <v/>
      </c>
      <c r="CO395" s="539" t="str">
        <f t="shared" si="1131"/>
        <v/>
      </c>
      <c r="CP395" s="539" t="str">
        <f t="shared" si="1132"/>
        <v/>
      </c>
      <c r="CQ395" s="539" t="str">
        <f t="shared" si="1133"/>
        <v/>
      </c>
      <c r="CR395" s="539" t="str">
        <f t="shared" si="1134"/>
        <v/>
      </c>
      <c r="CS395" s="539">
        <f t="shared" si="1135"/>
        <v>25</v>
      </c>
      <c r="CT395" s="540">
        <f t="shared" si="1136"/>
        <v>40</v>
      </c>
      <c r="CU395" s="540">
        <f t="shared" si="1137"/>
        <v>55</v>
      </c>
      <c r="CV395" s="540">
        <f t="shared" si="1138"/>
        <v>60</v>
      </c>
      <c r="CW395" s="539">
        <f t="shared" si="1139"/>
        <v>75</v>
      </c>
      <c r="CX395" s="539">
        <f t="shared" si="1140"/>
        <v>120</v>
      </c>
      <c r="CY395" s="539" t="str">
        <f t="shared" si="1141"/>
        <v/>
      </c>
      <c r="CZ395" s="539" t="str">
        <f t="shared" si="1142"/>
        <v/>
      </c>
      <c r="DA395" s="539" t="str">
        <f t="shared" si="1143"/>
        <v/>
      </c>
      <c r="DB395" s="538" t="str">
        <f t="shared" si="1144"/>
        <v/>
      </c>
      <c r="DC395" s="537" t="str">
        <f t="shared" si="1145"/>
        <v/>
      </c>
      <c r="DD395" s="641">
        <f t="shared" si="1146"/>
        <v>0</v>
      </c>
      <c r="DE395" s="95">
        <f t="shared" si="1147"/>
        <v>4</v>
      </c>
      <c r="DF395" s="95">
        <f t="shared" si="1148"/>
        <v>2</v>
      </c>
      <c r="DG395" s="95">
        <f t="shared" si="1149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5"/>
        <v/>
      </c>
      <c r="CA396" s="586">
        <f t="shared" si="1126"/>
        <v>3.3500000000000005</v>
      </c>
      <c r="CB396" s="586" t="str">
        <f t="shared" si="1127"/>
        <v/>
      </c>
      <c r="CC396" s="676">
        <f t="shared" si="1128"/>
        <v>5.75</v>
      </c>
      <c r="CD396" s="1316" t="str">
        <f t="shared" si="1163"/>
        <v/>
      </c>
      <c r="CE396" s="1317" t="str">
        <f t="shared" si="1166"/>
        <v/>
      </c>
      <c r="CF396" s="1317" t="str">
        <f t="shared" si="1166"/>
        <v/>
      </c>
      <c r="CG396" s="1317" t="str">
        <f t="shared" si="1166"/>
        <v/>
      </c>
      <c r="CH396" s="1318">
        <f t="shared" si="1166"/>
        <v>3</v>
      </c>
      <c r="CI396" s="1318">
        <f t="shared" si="1166"/>
        <v>5</v>
      </c>
      <c r="CJ396" s="1317" t="str">
        <f t="shared" si="1166"/>
        <v/>
      </c>
      <c r="CK396" s="1317" t="str">
        <f t="shared" si="1166"/>
        <v/>
      </c>
      <c r="CL396" s="1317" t="str">
        <f t="shared" si="1166"/>
        <v/>
      </c>
      <c r="CM396" s="1316" t="str">
        <f t="shared" si="1166"/>
        <v/>
      </c>
      <c r="CN396" s="538" t="str">
        <f t="shared" si="1130"/>
        <v/>
      </c>
      <c r="CO396" s="539" t="str">
        <f t="shared" si="1131"/>
        <v/>
      </c>
      <c r="CP396" s="539" t="str">
        <f t="shared" si="1132"/>
        <v/>
      </c>
      <c r="CQ396" s="539" t="str">
        <f t="shared" si="1133"/>
        <v/>
      </c>
      <c r="CR396" s="539" t="str">
        <f t="shared" si="1134"/>
        <v/>
      </c>
      <c r="CS396" s="539">
        <f t="shared" si="1135"/>
        <v>3</v>
      </c>
      <c r="CT396" s="540">
        <f t="shared" si="1136"/>
        <v>5</v>
      </c>
      <c r="CU396" s="540">
        <f t="shared" si="1137"/>
        <v>5</v>
      </c>
      <c r="CV396" s="540">
        <f t="shared" si="1138"/>
        <v>5</v>
      </c>
      <c r="CW396" s="539">
        <f t="shared" si="1139"/>
        <v>8</v>
      </c>
      <c r="CX396" s="539">
        <f t="shared" si="1140"/>
        <v>8</v>
      </c>
      <c r="CY396" s="539" t="str">
        <f t="shared" si="1141"/>
        <v/>
      </c>
      <c r="CZ396" s="539" t="str">
        <f t="shared" si="1142"/>
        <v/>
      </c>
      <c r="DA396" s="539" t="str">
        <f t="shared" si="1143"/>
        <v/>
      </c>
      <c r="DB396" s="538" t="str">
        <f t="shared" si="1144"/>
        <v/>
      </c>
      <c r="DC396" s="537" t="str">
        <f t="shared" si="1145"/>
        <v/>
      </c>
      <c r="DD396" s="641">
        <f t="shared" si="1146"/>
        <v>0</v>
      </c>
      <c r="DE396" s="95">
        <f t="shared" si="1147"/>
        <v>4</v>
      </c>
      <c r="DF396" s="95">
        <f t="shared" si="1148"/>
        <v>2</v>
      </c>
      <c r="DG396" s="95">
        <f t="shared" si="1149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183</v>
      </c>
      <c r="B397" s="618" t="str">
        <f t="shared" ref="B397:K397" si="1171">IF(B395="","",B395*B396)</f>
        <v/>
      </c>
      <c r="C397" s="618" t="str">
        <f t="shared" si="1171"/>
        <v/>
      </c>
      <c r="D397" s="618" t="str">
        <f t="shared" si="1171"/>
        <v/>
      </c>
      <c r="E397" s="618" t="str">
        <f t="shared" si="1171"/>
        <v/>
      </c>
      <c r="F397" s="618" t="str">
        <f t="shared" si="1171"/>
        <v/>
      </c>
      <c r="G397" s="618" t="str">
        <f t="shared" si="1171"/>
        <v/>
      </c>
      <c r="H397" s="618" t="str">
        <f t="shared" si="1171"/>
        <v/>
      </c>
      <c r="I397" s="618" t="str">
        <f t="shared" si="1171"/>
        <v/>
      </c>
      <c r="J397" s="618" t="str">
        <f t="shared" si="1171"/>
        <v/>
      </c>
      <c r="K397" s="618" t="str">
        <f t="shared" si="1171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2">IF(T395="","",T395*T396)</f>
        <v>99</v>
      </c>
      <c r="U397" s="618">
        <f t="shared" si="1172"/>
        <v>151.20000000000002</v>
      </c>
      <c r="V397" s="618" t="str">
        <f t="shared" si="1172"/>
        <v/>
      </c>
      <c r="W397" s="618" t="str">
        <f t="shared" si="1172"/>
        <v/>
      </c>
      <c r="X397" s="618" t="str">
        <f t="shared" si="1172"/>
        <v/>
      </c>
      <c r="Y397" s="618" t="str">
        <f t="shared" si="1172"/>
        <v/>
      </c>
      <c r="Z397" s="618">
        <f t="shared" si="1172"/>
        <v>153</v>
      </c>
      <c r="AA397" s="618" t="str">
        <f t="shared" si="1172"/>
        <v/>
      </c>
      <c r="AB397" s="618" t="str">
        <f t="shared" si="1172"/>
        <v/>
      </c>
      <c r="AC397" s="618">
        <f t="shared" si="1172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3">IF(AL395="","",AL395*AL396)</f>
        <v/>
      </c>
      <c r="AM397" s="618" t="str">
        <f t="shared" si="1173"/>
        <v/>
      </c>
      <c r="AN397" s="618" t="str">
        <f t="shared" si="1173"/>
        <v/>
      </c>
      <c r="AO397" s="618" t="str">
        <f t="shared" si="1173"/>
        <v/>
      </c>
      <c r="AP397" s="618" t="str">
        <f t="shared" si="1173"/>
        <v/>
      </c>
      <c r="AQ397" s="618" t="str">
        <f t="shared" si="1173"/>
        <v/>
      </c>
      <c r="AR397" s="618">
        <f t="shared" si="1173"/>
        <v>30</v>
      </c>
      <c r="AS397" s="618" t="str">
        <f t="shared" si="1173"/>
        <v/>
      </c>
      <c r="AT397" s="618">
        <f t="shared" si="1173"/>
        <v>100</v>
      </c>
      <c r="AU397" s="618" t="str">
        <f t="shared" si="1173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4">IF(BD395="","",BD395*BD396)</f>
        <v>600</v>
      </c>
      <c r="BE397" s="618" t="str">
        <f t="shared" si="1174"/>
        <v/>
      </c>
      <c r="BF397" s="618">
        <f t="shared" si="1174"/>
        <v>125</v>
      </c>
      <c r="BG397" s="618">
        <f t="shared" si="1174"/>
        <v>200</v>
      </c>
      <c r="BH397" s="618">
        <f t="shared" si="1174"/>
        <v>960</v>
      </c>
      <c r="BI397" s="618">
        <f t="shared" si="1174"/>
        <v>275</v>
      </c>
      <c r="BJ397" s="618" t="str">
        <f t="shared" si="1174"/>
        <v/>
      </c>
      <c r="BK397" s="618" t="str">
        <f t="shared" si="1174"/>
        <v/>
      </c>
      <c r="BL397" s="618" t="str">
        <f t="shared" si="1174"/>
        <v/>
      </c>
      <c r="BM397" s="618">
        <f t="shared" si="1174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5"/>
        <v/>
      </c>
      <c r="CA397" s="586">
        <f t="shared" si="1126"/>
        <v>125.10000000000002</v>
      </c>
      <c r="CB397" s="586" t="str">
        <f t="shared" si="1127"/>
        <v/>
      </c>
      <c r="CC397" s="676">
        <f t="shared" si="1128"/>
        <v>313.75</v>
      </c>
      <c r="CD397" s="1316" t="str">
        <f t="shared" si="1163"/>
        <v/>
      </c>
      <c r="CE397" s="1317" t="str">
        <f t="shared" si="1166"/>
        <v/>
      </c>
      <c r="CF397" s="1317" t="str">
        <f t="shared" si="1166"/>
        <v/>
      </c>
      <c r="CG397" s="1317" t="str">
        <f t="shared" si="1166"/>
        <v/>
      </c>
      <c r="CH397" s="1318">
        <f t="shared" si="1166"/>
        <v>30</v>
      </c>
      <c r="CI397" s="1318">
        <f t="shared" si="1166"/>
        <v>100</v>
      </c>
      <c r="CJ397" s="1317" t="str">
        <f t="shared" si="1166"/>
        <v/>
      </c>
      <c r="CK397" s="1317" t="str">
        <f t="shared" si="1166"/>
        <v/>
      </c>
      <c r="CL397" s="1317" t="str">
        <f t="shared" si="1166"/>
        <v/>
      </c>
      <c r="CM397" s="1316" t="str">
        <f t="shared" si="1166"/>
        <v/>
      </c>
      <c r="CN397" s="538" t="str">
        <f t="shared" si="1130"/>
        <v/>
      </c>
      <c r="CO397" s="539" t="str">
        <f t="shared" si="1131"/>
        <v/>
      </c>
      <c r="CP397" s="539" t="str">
        <f t="shared" si="1132"/>
        <v/>
      </c>
      <c r="CQ397" s="539" t="str">
        <f t="shared" si="1133"/>
        <v/>
      </c>
      <c r="CR397" s="539" t="str">
        <f t="shared" si="1134"/>
        <v/>
      </c>
      <c r="CS397" s="539">
        <f t="shared" si="1135"/>
        <v>125</v>
      </c>
      <c r="CT397" s="540">
        <f t="shared" si="1136"/>
        <v>180</v>
      </c>
      <c r="CU397" s="540">
        <f t="shared" si="1137"/>
        <v>200</v>
      </c>
      <c r="CV397" s="540">
        <f t="shared" si="1138"/>
        <v>275</v>
      </c>
      <c r="CW397" s="539">
        <f t="shared" si="1139"/>
        <v>600</v>
      </c>
      <c r="CX397" s="539">
        <f t="shared" si="1140"/>
        <v>960</v>
      </c>
      <c r="CY397" s="539" t="str">
        <f t="shared" si="1141"/>
        <v/>
      </c>
      <c r="CZ397" s="539" t="str">
        <f t="shared" si="1142"/>
        <v/>
      </c>
      <c r="DA397" s="539" t="str">
        <f t="shared" si="1143"/>
        <v/>
      </c>
      <c r="DB397" s="538" t="str">
        <f t="shared" si="1144"/>
        <v/>
      </c>
      <c r="DC397" s="537" t="str">
        <f t="shared" si="1145"/>
        <v/>
      </c>
      <c r="DD397" s="641">
        <f t="shared" si="1146"/>
        <v>0</v>
      </c>
      <c r="DE397" s="95">
        <f t="shared" si="1147"/>
        <v>4</v>
      </c>
      <c r="DF397" s="95">
        <f t="shared" si="1148"/>
        <v>2</v>
      </c>
      <c r="DG397" s="95">
        <f t="shared" si="1149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929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5"/>
        <v/>
      </c>
      <c r="CA398" s="586" t="str">
        <f t="shared" si="1126"/>
        <v/>
      </c>
      <c r="CB398" s="586" t="str">
        <f t="shared" si="1127"/>
        <v/>
      </c>
      <c r="CC398" s="676" t="str">
        <f t="shared" si="1128"/>
        <v/>
      </c>
      <c r="CD398" s="1316" t="str">
        <f t="shared" si="1163"/>
        <v/>
      </c>
      <c r="CE398" s="1317" t="str">
        <f t="shared" si="1166"/>
        <v/>
      </c>
      <c r="CF398" s="1317" t="str">
        <f t="shared" si="1166"/>
        <v/>
      </c>
      <c r="CG398" s="1317" t="str">
        <f t="shared" si="1166"/>
        <v/>
      </c>
      <c r="CH398" s="1318" t="str">
        <f t="shared" si="1166"/>
        <v/>
      </c>
      <c r="CI398" s="1318" t="str">
        <f t="shared" si="1166"/>
        <v/>
      </c>
      <c r="CJ398" s="1317" t="str">
        <f t="shared" si="1166"/>
        <v/>
      </c>
      <c r="CK398" s="1317" t="str">
        <f t="shared" si="1166"/>
        <v/>
      </c>
      <c r="CL398" s="1317" t="str">
        <f t="shared" si="1166"/>
        <v/>
      </c>
      <c r="CM398" s="1316" t="str">
        <f t="shared" si="1166"/>
        <v/>
      </c>
      <c r="CN398" s="538" t="str">
        <f t="shared" si="1130"/>
        <v/>
      </c>
      <c r="CO398" s="539" t="str">
        <f t="shared" si="1131"/>
        <v/>
      </c>
      <c r="CP398" s="539" t="str">
        <f t="shared" si="1132"/>
        <v/>
      </c>
      <c r="CQ398" s="539" t="str">
        <f t="shared" si="1133"/>
        <v/>
      </c>
      <c r="CR398" s="539" t="str">
        <f t="shared" si="1134"/>
        <v/>
      </c>
      <c r="CS398" s="539" t="str">
        <f t="shared" si="1135"/>
        <v/>
      </c>
      <c r="CT398" s="540" t="str">
        <f t="shared" si="1136"/>
        <v/>
      </c>
      <c r="CU398" s="540">
        <f t="shared" si="1137"/>
        <v>300</v>
      </c>
      <c r="CV398" s="540">
        <f t="shared" si="1138"/>
        <v>350</v>
      </c>
      <c r="CW398" s="539" t="str">
        <f t="shared" si="1139"/>
        <v/>
      </c>
      <c r="CX398" s="539" t="str">
        <f t="shared" si="1140"/>
        <v/>
      </c>
      <c r="CY398" s="539" t="str">
        <f t="shared" si="1141"/>
        <v/>
      </c>
      <c r="CZ398" s="539" t="str">
        <f t="shared" si="1142"/>
        <v/>
      </c>
      <c r="DA398" s="539" t="str">
        <f t="shared" si="1143"/>
        <v/>
      </c>
      <c r="DB398" s="538" t="str">
        <f t="shared" si="1144"/>
        <v/>
      </c>
      <c r="DC398" s="537" t="str">
        <f t="shared" si="1145"/>
        <v/>
      </c>
      <c r="DD398" s="641">
        <f t="shared" si="1146"/>
        <v>0</v>
      </c>
      <c r="DE398" s="95">
        <f t="shared" si="1147"/>
        <v>1</v>
      </c>
      <c r="DF398" s="95">
        <f t="shared" si="1148"/>
        <v>0</v>
      </c>
      <c r="DG398" s="95">
        <f t="shared" si="1149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5"/>
        <v/>
      </c>
      <c r="CA399" s="586" t="str">
        <f t="shared" si="1126"/>
        <v/>
      </c>
      <c r="CB399" s="586" t="str">
        <f t="shared" si="1127"/>
        <v/>
      </c>
      <c r="CC399" s="676" t="str">
        <f t="shared" si="1128"/>
        <v/>
      </c>
      <c r="CD399" s="1316" t="str">
        <f t="shared" si="1163"/>
        <v/>
      </c>
      <c r="CE399" s="1317" t="str">
        <f t="shared" si="1166"/>
        <v/>
      </c>
      <c r="CF399" s="1317" t="str">
        <f t="shared" si="1166"/>
        <v/>
      </c>
      <c r="CG399" s="1317" t="str">
        <f t="shared" si="1166"/>
        <v/>
      </c>
      <c r="CH399" s="1318" t="str">
        <f t="shared" si="1166"/>
        <v/>
      </c>
      <c r="CI399" s="1318" t="str">
        <f t="shared" si="1166"/>
        <v/>
      </c>
      <c r="CJ399" s="1317" t="str">
        <f t="shared" si="1166"/>
        <v/>
      </c>
      <c r="CK399" s="1317" t="str">
        <f t="shared" si="1166"/>
        <v/>
      </c>
      <c r="CL399" s="1317" t="str">
        <f t="shared" si="1166"/>
        <v/>
      </c>
      <c r="CM399" s="1316" t="str">
        <f t="shared" si="1166"/>
        <v/>
      </c>
      <c r="CN399" s="538" t="str">
        <f t="shared" si="1130"/>
        <v/>
      </c>
      <c r="CO399" s="539" t="str">
        <f t="shared" si="1131"/>
        <v/>
      </c>
      <c r="CP399" s="539" t="str">
        <f t="shared" si="1132"/>
        <v/>
      </c>
      <c r="CQ399" s="539" t="str">
        <f t="shared" si="1133"/>
        <v/>
      </c>
      <c r="CR399" s="539" t="str">
        <f t="shared" si="1134"/>
        <v/>
      </c>
      <c r="CS399" s="539" t="str">
        <f t="shared" si="1135"/>
        <v/>
      </c>
      <c r="CT399" s="540" t="str">
        <f t="shared" si="1136"/>
        <v/>
      </c>
      <c r="CU399" s="540">
        <f t="shared" si="1137"/>
        <v>10</v>
      </c>
      <c r="CV399" s="540">
        <f t="shared" si="1138"/>
        <v>10</v>
      </c>
      <c r="CW399" s="539" t="str">
        <f t="shared" si="1139"/>
        <v/>
      </c>
      <c r="CX399" s="539" t="str">
        <f t="shared" si="1140"/>
        <v/>
      </c>
      <c r="CY399" s="539" t="str">
        <f t="shared" si="1141"/>
        <v/>
      </c>
      <c r="CZ399" s="539" t="str">
        <f t="shared" si="1142"/>
        <v/>
      </c>
      <c r="DA399" s="539" t="str">
        <f t="shared" si="1143"/>
        <v/>
      </c>
      <c r="DB399" s="538" t="str">
        <f t="shared" si="1144"/>
        <v/>
      </c>
      <c r="DC399" s="537" t="str">
        <f t="shared" si="1145"/>
        <v/>
      </c>
      <c r="DD399" s="641">
        <f t="shared" si="1146"/>
        <v>0</v>
      </c>
      <c r="DE399" s="95">
        <f t="shared" si="1147"/>
        <v>1</v>
      </c>
      <c r="DF399" s="95">
        <f t="shared" si="1148"/>
        <v>0</v>
      </c>
      <c r="DG399" s="95">
        <f t="shared" si="1149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183</v>
      </c>
      <c r="B400" s="618" t="str">
        <f t="shared" ref="B400:K400" si="1175">IF(B398="","",B398*B399)</f>
        <v/>
      </c>
      <c r="C400" s="618" t="str">
        <f t="shared" si="1175"/>
        <v/>
      </c>
      <c r="D400" s="618" t="str">
        <f t="shared" si="1175"/>
        <v/>
      </c>
      <c r="E400" s="618" t="str">
        <f t="shared" si="1175"/>
        <v/>
      </c>
      <c r="F400" s="618" t="str">
        <f t="shared" si="1175"/>
        <v/>
      </c>
      <c r="G400" s="618" t="str">
        <f t="shared" si="1175"/>
        <v/>
      </c>
      <c r="H400" s="618" t="str">
        <f t="shared" si="1175"/>
        <v/>
      </c>
      <c r="I400" s="618" t="str">
        <f t="shared" si="1175"/>
        <v/>
      </c>
      <c r="J400" s="618" t="str">
        <f t="shared" si="1175"/>
        <v/>
      </c>
      <c r="K400" s="618" t="str">
        <f t="shared" si="1175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6">IF(T398="","",T398*T399)</f>
        <v/>
      </c>
      <c r="U400" s="618">
        <f t="shared" si="1176"/>
        <v>100</v>
      </c>
      <c r="V400" s="618" t="str">
        <f t="shared" si="1176"/>
        <v/>
      </c>
      <c r="W400" s="618" t="str">
        <f t="shared" si="1176"/>
        <v/>
      </c>
      <c r="X400" s="618" t="str">
        <f t="shared" si="1176"/>
        <v/>
      </c>
      <c r="Y400" s="618" t="str">
        <f t="shared" si="1176"/>
        <v/>
      </c>
      <c r="Z400" s="618" t="str">
        <f t="shared" si="1176"/>
        <v/>
      </c>
      <c r="AA400" s="618" t="str">
        <f t="shared" si="1176"/>
        <v/>
      </c>
      <c r="AB400" s="618" t="str">
        <f t="shared" si="1176"/>
        <v/>
      </c>
      <c r="AC400" s="618" t="str">
        <f t="shared" si="1176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7">IF(AL398="","",AL398*AL399)</f>
        <v/>
      </c>
      <c r="AM400" s="618" t="str">
        <f t="shared" si="1177"/>
        <v/>
      </c>
      <c r="AN400" s="618" t="str">
        <f t="shared" si="1177"/>
        <v/>
      </c>
      <c r="AO400" s="618" t="str">
        <f t="shared" si="1177"/>
        <v/>
      </c>
      <c r="AP400" s="618" t="str">
        <f t="shared" si="1177"/>
        <v/>
      </c>
      <c r="AQ400" s="618" t="str">
        <f t="shared" si="1177"/>
        <v/>
      </c>
      <c r="AR400" s="618" t="str">
        <f t="shared" si="1177"/>
        <v/>
      </c>
      <c r="AS400" s="618" t="str">
        <f t="shared" si="1177"/>
        <v/>
      </c>
      <c r="AT400" s="618" t="str">
        <f t="shared" si="1177"/>
        <v/>
      </c>
      <c r="AU400" s="618" t="str">
        <f t="shared" si="1177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8">IF(BD398="","",BD398*BD399)</f>
        <v/>
      </c>
      <c r="BE400" s="618">
        <f t="shared" si="1178"/>
        <v>3000</v>
      </c>
      <c r="BF400" s="618">
        <f t="shared" si="1178"/>
        <v>3500</v>
      </c>
      <c r="BG400" s="618" t="str">
        <f t="shared" si="1178"/>
        <v/>
      </c>
      <c r="BH400" s="618" t="str">
        <f t="shared" si="1178"/>
        <v/>
      </c>
      <c r="BI400" s="618" t="str">
        <f t="shared" si="1178"/>
        <v/>
      </c>
      <c r="BJ400" s="618" t="str">
        <f t="shared" si="1178"/>
        <v/>
      </c>
      <c r="BK400" s="618" t="str">
        <f t="shared" si="1178"/>
        <v/>
      </c>
      <c r="BL400" s="618" t="str">
        <f t="shared" si="1178"/>
        <v/>
      </c>
      <c r="BM400" s="618" t="str">
        <f t="shared" si="1178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5"/>
        <v/>
      </c>
      <c r="CA400" s="586" t="str">
        <f t="shared" si="1126"/>
        <v/>
      </c>
      <c r="CB400" s="586" t="str">
        <f t="shared" si="1127"/>
        <v/>
      </c>
      <c r="CC400" s="676" t="str">
        <f t="shared" si="1128"/>
        <v/>
      </c>
      <c r="CD400" s="1316" t="str">
        <f t="shared" si="1163"/>
        <v/>
      </c>
      <c r="CE400" s="1317" t="str">
        <f t="shared" si="1166"/>
        <v/>
      </c>
      <c r="CF400" s="1317" t="str">
        <f t="shared" si="1166"/>
        <v/>
      </c>
      <c r="CG400" s="1317" t="str">
        <f t="shared" si="1166"/>
        <v/>
      </c>
      <c r="CH400" s="1318" t="str">
        <f t="shared" si="1166"/>
        <v/>
      </c>
      <c r="CI400" s="1318" t="str">
        <f t="shared" si="1166"/>
        <v/>
      </c>
      <c r="CJ400" s="1317" t="str">
        <f t="shared" si="1166"/>
        <v/>
      </c>
      <c r="CK400" s="1317" t="str">
        <f t="shared" si="1166"/>
        <v/>
      </c>
      <c r="CL400" s="1317" t="str">
        <f t="shared" si="1166"/>
        <v/>
      </c>
      <c r="CM400" s="1316" t="str">
        <f t="shared" si="1166"/>
        <v/>
      </c>
      <c r="CN400" s="538" t="str">
        <f t="shared" si="1130"/>
        <v/>
      </c>
      <c r="CO400" s="539" t="str">
        <f t="shared" si="1131"/>
        <v/>
      </c>
      <c r="CP400" s="539" t="str">
        <f t="shared" si="1132"/>
        <v/>
      </c>
      <c r="CQ400" s="539" t="str">
        <f t="shared" si="1133"/>
        <v/>
      </c>
      <c r="CR400" s="539" t="str">
        <f t="shared" si="1134"/>
        <v/>
      </c>
      <c r="CS400" s="539" t="str">
        <f t="shared" si="1135"/>
        <v/>
      </c>
      <c r="CT400" s="540" t="str">
        <f t="shared" si="1136"/>
        <v/>
      </c>
      <c r="CU400" s="540">
        <f t="shared" si="1137"/>
        <v>3000</v>
      </c>
      <c r="CV400" s="540">
        <f t="shared" si="1138"/>
        <v>3500</v>
      </c>
      <c r="CW400" s="539" t="str">
        <f t="shared" si="1139"/>
        <v/>
      </c>
      <c r="CX400" s="539" t="str">
        <f t="shared" si="1140"/>
        <v/>
      </c>
      <c r="CY400" s="539" t="str">
        <f t="shared" si="1141"/>
        <v/>
      </c>
      <c r="CZ400" s="539" t="str">
        <f t="shared" si="1142"/>
        <v/>
      </c>
      <c r="DA400" s="539" t="str">
        <f t="shared" si="1143"/>
        <v/>
      </c>
      <c r="DB400" s="538" t="str">
        <f t="shared" si="1144"/>
        <v/>
      </c>
      <c r="DC400" s="537" t="str">
        <f t="shared" si="1145"/>
        <v/>
      </c>
      <c r="DD400" s="641">
        <f t="shared" si="1146"/>
        <v>0</v>
      </c>
      <c r="DE400" s="95">
        <f t="shared" si="1147"/>
        <v>1</v>
      </c>
      <c r="DF400" s="95">
        <f t="shared" si="1148"/>
        <v>0</v>
      </c>
      <c r="DG400" s="95">
        <f t="shared" si="1149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930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5"/>
        <v/>
      </c>
      <c r="CA401" s="586" t="str">
        <f t="shared" si="1126"/>
        <v/>
      </c>
      <c r="CB401" s="586" t="str">
        <f t="shared" si="1127"/>
        <v/>
      </c>
      <c r="CC401" s="676" t="str">
        <f t="shared" si="1128"/>
        <v/>
      </c>
      <c r="CD401" s="1316" t="str">
        <f t="shared" si="1163"/>
        <v/>
      </c>
      <c r="CE401" s="1317" t="str">
        <f t="shared" si="1166"/>
        <v/>
      </c>
      <c r="CF401" s="1317" t="str">
        <f t="shared" si="1166"/>
        <v/>
      </c>
      <c r="CG401" s="1317" t="str">
        <f t="shared" si="1166"/>
        <v/>
      </c>
      <c r="CH401" s="1318" t="str">
        <f t="shared" si="1166"/>
        <v/>
      </c>
      <c r="CI401" s="1318" t="str">
        <f t="shared" si="1166"/>
        <v/>
      </c>
      <c r="CJ401" s="1317" t="str">
        <f t="shared" si="1166"/>
        <v/>
      </c>
      <c r="CK401" s="1317" t="str">
        <f t="shared" si="1166"/>
        <v/>
      </c>
      <c r="CL401" s="1317" t="str">
        <f t="shared" si="1166"/>
        <v/>
      </c>
      <c r="CM401" s="1316" t="str">
        <f t="shared" si="1166"/>
        <v/>
      </c>
      <c r="CN401" s="538" t="str">
        <f t="shared" si="1130"/>
        <v/>
      </c>
      <c r="CO401" s="539" t="str">
        <f t="shared" si="1131"/>
        <v/>
      </c>
      <c r="CP401" s="539" t="str">
        <f t="shared" si="1132"/>
        <v/>
      </c>
      <c r="CQ401" s="539" t="str">
        <f t="shared" si="1133"/>
        <v/>
      </c>
      <c r="CR401" s="539" t="str">
        <f t="shared" si="1134"/>
        <v/>
      </c>
      <c r="CS401" s="539" t="str">
        <f t="shared" si="1135"/>
        <v/>
      </c>
      <c r="CT401" s="540" t="str">
        <f t="shared" si="1136"/>
        <v/>
      </c>
      <c r="CU401" s="540" t="str">
        <f t="shared" si="1137"/>
        <v/>
      </c>
      <c r="CV401" s="540" t="str">
        <f t="shared" si="1138"/>
        <v/>
      </c>
      <c r="CW401" s="539" t="str">
        <f t="shared" si="1139"/>
        <v/>
      </c>
      <c r="CX401" s="539" t="str">
        <f t="shared" si="1140"/>
        <v/>
      </c>
      <c r="CY401" s="539" t="str">
        <f t="shared" si="1141"/>
        <v/>
      </c>
      <c r="CZ401" s="539" t="str">
        <f t="shared" si="1142"/>
        <v/>
      </c>
      <c r="DA401" s="539" t="str">
        <f t="shared" si="1143"/>
        <v/>
      </c>
      <c r="DB401" s="538" t="str">
        <f t="shared" si="1144"/>
        <v/>
      </c>
      <c r="DC401" s="537" t="str">
        <f t="shared" si="1145"/>
        <v/>
      </c>
      <c r="DD401" s="641">
        <f t="shared" si="1146"/>
        <v>0</v>
      </c>
      <c r="DE401" s="95">
        <f t="shared" si="1147"/>
        <v>0</v>
      </c>
      <c r="DF401" s="95">
        <f t="shared" si="1148"/>
        <v>0</v>
      </c>
      <c r="DG401" s="95">
        <f t="shared" si="1149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5"/>
        <v/>
      </c>
      <c r="CA402" s="586" t="str">
        <f t="shared" si="1126"/>
        <v/>
      </c>
      <c r="CB402" s="586" t="str">
        <f t="shared" si="1127"/>
        <v/>
      </c>
      <c r="CC402" s="676" t="str">
        <f t="shared" si="1128"/>
        <v/>
      </c>
      <c r="CD402" s="1316" t="str">
        <f t="shared" si="1163"/>
        <v/>
      </c>
      <c r="CE402" s="1317" t="str">
        <f t="shared" si="1166"/>
        <v/>
      </c>
      <c r="CF402" s="1317" t="str">
        <f t="shared" si="1166"/>
        <v/>
      </c>
      <c r="CG402" s="1317" t="str">
        <f t="shared" si="1166"/>
        <v/>
      </c>
      <c r="CH402" s="1318" t="str">
        <f t="shared" si="1166"/>
        <v/>
      </c>
      <c r="CI402" s="1318" t="str">
        <f t="shared" si="1166"/>
        <v/>
      </c>
      <c r="CJ402" s="1317" t="str">
        <f t="shared" si="1166"/>
        <v/>
      </c>
      <c r="CK402" s="1317" t="str">
        <f t="shared" si="1166"/>
        <v/>
      </c>
      <c r="CL402" s="1317" t="str">
        <f t="shared" si="1166"/>
        <v/>
      </c>
      <c r="CM402" s="1316" t="str">
        <f t="shared" si="1166"/>
        <v/>
      </c>
      <c r="CN402" s="538" t="str">
        <f t="shared" si="1130"/>
        <v/>
      </c>
      <c r="CO402" s="539" t="str">
        <f t="shared" si="1131"/>
        <v/>
      </c>
      <c r="CP402" s="539" t="str">
        <f t="shared" si="1132"/>
        <v/>
      </c>
      <c r="CQ402" s="539" t="str">
        <f t="shared" si="1133"/>
        <v/>
      </c>
      <c r="CR402" s="539" t="str">
        <f t="shared" si="1134"/>
        <v/>
      </c>
      <c r="CS402" s="539" t="str">
        <f t="shared" si="1135"/>
        <v/>
      </c>
      <c r="CT402" s="540" t="str">
        <f t="shared" si="1136"/>
        <v/>
      </c>
      <c r="CU402" s="540" t="str">
        <f t="shared" si="1137"/>
        <v/>
      </c>
      <c r="CV402" s="540" t="str">
        <f t="shared" si="1138"/>
        <v/>
      </c>
      <c r="CW402" s="539" t="str">
        <f t="shared" si="1139"/>
        <v/>
      </c>
      <c r="CX402" s="539" t="str">
        <f t="shared" si="1140"/>
        <v/>
      </c>
      <c r="CY402" s="539" t="str">
        <f t="shared" si="1141"/>
        <v/>
      </c>
      <c r="CZ402" s="539" t="str">
        <f t="shared" si="1142"/>
        <v/>
      </c>
      <c r="DA402" s="539" t="str">
        <f t="shared" si="1143"/>
        <v/>
      </c>
      <c r="DB402" s="538" t="str">
        <f t="shared" si="1144"/>
        <v/>
      </c>
      <c r="DC402" s="537" t="str">
        <f t="shared" si="1145"/>
        <v/>
      </c>
      <c r="DD402" s="641">
        <f t="shared" si="1146"/>
        <v>0</v>
      </c>
      <c r="DE402" s="95">
        <f t="shared" si="1147"/>
        <v>0</v>
      </c>
      <c r="DF402" s="95">
        <f t="shared" si="1148"/>
        <v>0</v>
      </c>
      <c r="DG402" s="95">
        <f t="shared" si="1149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183</v>
      </c>
      <c r="B403" s="618" t="str">
        <f t="shared" ref="B403:K403" si="1179">IF(B401="","",B401*B402)</f>
        <v/>
      </c>
      <c r="C403" s="618" t="str">
        <f t="shared" si="1179"/>
        <v/>
      </c>
      <c r="D403" s="618" t="str">
        <f t="shared" si="1179"/>
        <v/>
      </c>
      <c r="E403" s="618" t="str">
        <f t="shared" si="1179"/>
        <v/>
      </c>
      <c r="F403" s="618" t="str">
        <f t="shared" si="1179"/>
        <v/>
      </c>
      <c r="G403" s="618" t="str">
        <f t="shared" si="1179"/>
        <v/>
      </c>
      <c r="H403" s="618" t="str">
        <f t="shared" si="1179"/>
        <v/>
      </c>
      <c r="I403" s="618" t="str">
        <f t="shared" si="1179"/>
        <v/>
      </c>
      <c r="J403" s="618" t="str">
        <f t="shared" si="1179"/>
        <v/>
      </c>
      <c r="K403" s="618" t="str">
        <f t="shared" si="1179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80">IF(T401="","",T401*T402)</f>
        <v/>
      </c>
      <c r="U403" s="618" t="str">
        <f t="shared" si="1180"/>
        <v/>
      </c>
      <c r="V403" s="618" t="str">
        <f t="shared" si="1180"/>
        <v/>
      </c>
      <c r="W403" s="618" t="str">
        <f t="shared" si="1180"/>
        <v/>
      </c>
      <c r="X403" s="618" t="str">
        <f t="shared" si="1180"/>
        <v/>
      </c>
      <c r="Y403" s="618" t="str">
        <f t="shared" si="1180"/>
        <v/>
      </c>
      <c r="Z403" s="618" t="str">
        <f t="shared" si="1180"/>
        <v/>
      </c>
      <c r="AA403" s="618" t="str">
        <f t="shared" si="1180"/>
        <v/>
      </c>
      <c r="AB403" s="618" t="str">
        <f t="shared" si="1180"/>
        <v/>
      </c>
      <c r="AC403" s="618" t="str">
        <f t="shared" si="1180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81">IF(AL401="","",AL401*AL402)</f>
        <v/>
      </c>
      <c r="AM403" s="618" t="str">
        <f t="shared" si="1181"/>
        <v/>
      </c>
      <c r="AN403" s="618" t="str">
        <f t="shared" si="1181"/>
        <v/>
      </c>
      <c r="AO403" s="618" t="str">
        <f t="shared" si="1181"/>
        <v/>
      </c>
      <c r="AP403" s="618" t="str">
        <f t="shared" si="1181"/>
        <v/>
      </c>
      <c r="AQ403" s="618" t="str">
        <f t="shared" si="1181"/>
        <v/>
      </c>
      <c r="AR403" s="618" t="str">
        <f t="shared" si="1181"/>
        <v/>
      </c>
      <c r="AS403" s="618" t="str">
        <f t="shared" si="1181"/>
        <v/>
      </c>
      <c r="AT403" s="618" t="str">
        <f t="shared" si="1181"/>
        <v/>
      </c>
      <c r="AU403" s="618" t="str">
        <f t="shared" si="1181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2">IF(BD401="","",BD401*BD402)</f>
        <v/>
      </c>
      <c r="BE403" s="618" t="str">
        <f t="shared" si="1182"/>
        <v/>
      </c>
      <c r="BF403" s="618" t="str">
        <f t="shared" si="1182"/>
        <v/>
      </c>
      <c r="BG403" s="618" t="str">
        <f t="shared" si="1182"/>
        <v/>
      </c>
      <c r="BH403" s="618" t="str">
        <f t="shared" si="1182"/>
        <v/>
      </c>
      <c r="BI403" s="618" t="str">
        <f t="shared" si="1182"/>
        <v/>
      </c>
      <c r="BJ403" s="618" t="str">
        <f t="shared" si="1182"/>
        <v/>
      </c>
      <c r="BK403" s="618" t="str">
        <f t="shared" si="1182"/>
        <v/>
      </c>
      <c r="BL403" s="618" t="str">
        <f t="shared" si="1182"/>
        <v/>
      </c>
      <c r="BM403" s="618" t="str">
        <f t="shared" si="1182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5"/>
        <v/>
      </c>
      <c r="CA403" s="586" t="str">
        <f t="shared" si="1126"/>
        <v/>
      </c>
      <c r="CB403" s="586" t="str">
        <f t="shared" si="1127"/>
        <v/>
      </c>
      <c r="CC403" s="676" t="str">
        <f t="shared" si="1128"/>
        <v/>
      </c>
      <c r="CD403" s="1316" t="str">
        <f t="shared" si="1163"/>
        <v/>
      </c>
      <c r="CE403" s="1317" t="str">
        <f t="shared" si="1166"/>
        <v/>
      </c>
      <c r="CF403" s="1317" t="str">
        <f t="shared" si="1166"/>
        <v/>
      </c>
      <c r="CG403" s="1317" t="str">
        <f t="shared" si="1166"/>
        <v/>
      </c>
      <c r="CH403" s="1318" t="str">
        <f t="shared" si="1166"/>
        <v/>
      </c>
      <c r="CI403" s="1318" t="str">
        <f t="shared" si="1166"/>
        <v/>
      </c>
      <c r="CJ403" s="1317" t="str">
        <f t="shared" si="1166"/>
        <v/>
      </c>
      <c r="CK403" s="1317" t="str">
        <f t="shared" si="1166"/>
        <v/>
      </c>
      <c r="CL403" s="1317" t="str">
        <f t="shared" si="1166"/>
        <v/>
      </c>
      <c r="CM403" s="1316" t="str">
        <f t="shared" si="1166"/>
        <v/>
      </c>
      <c r="CN403" s="538" t="str">
        <f t="shared" si="1130"/>
        <v/>
      </c>
      <c r="CO403" s="539" t="str">
        <f t="shared" si="1131"/>
        <v/>
      </c>
      <c r="CP403" s="539" t="str">
        <f t="shared" si="1132"/>
        <v/>
      </c>
      <c r="CQ403" s="539" t="str">
        <f t="shared" si="1133"/>
        <v/>
      </c>
      <c r="CR403" s="539" t="str">
        <f t="shared" si="1134"/>
        <v/>
      </c>
      <c r="CS403" s="539" t="str">
        <f t="shared" si="1135"/>
        <v/>
      </c>
      <c r="CT403" s="540" t="str">
        <f t="shared" si="1136"/>
        <v/>
      </c>
      <c r="CU403" s="540" t="str">
        <f t="shared" si="1137"/>
        <v/>
      </c>
      <c r="CV403" s="540" t="str">
        <f t="shared" si="1138"/>
        <v/>
      </c>
      <c r="CW403" s="539" t="str">
        <f t="shared" si="1139"/>
        <v/>
      </c>
      <c r="CX403" s="539" t="str">
        <f t="shared" si="1140"/>
        <v/>
      </c>
      <c r="CY403" s="539" t="str">
        <f t="shared" si="1141"/>
        <v/>
      </c>
      <c r="CZ403" s="539" t="str">
        <f t="shared" si="1142"/>
        <v/>
      </c>
      <c r="DA403" s="539" t="str">
        <f t="shared" si="1143"/>
        <v/>
      </c>
      <c r="DB403" s="538" t="str">
        <f t="shared" si="1144"/>
        <v/>
      </c>
      <c r="DC403" s="537" t="str">
        <f t="shared" si="1145"/>
        <v/>
      </c>
      <c r="DD403" s="641">
        <f t="shared" si="1146"/>
        <v>0</v>
      </c>
      <c r="DE403" s="95">
        <f t="shared" si="1147"/>
        <v>0</v>
      </c>
      <c r="DF403" s="95">
        <f t="shared" si="1148"/>
        <v>0</v>
      </c>
      <c r="DG403" s="95">
        <f t="shared" si="1149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931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5"/>
        <v/>
      </c>
      <c r="CA404" s="586" t="str">
        <f t="shared" si="1126"/>
        <v/>
      </c>
      <c r="CB404" s="586" t="str">
        <f t="shared" si="1127"/>
        <v/>
      </c>
      <c r="CC404" s="676">
        <f t="shared" si="1128"/>
        <v>100</v>
      </c>
      <c r="CD404" s="1316" t="str">
        <f t="shared" si="1163"/>
        <v/>
      </c>
      <c r="CE404" s="1317" t="str">
        <f t="shared" si="1166"/>
        <v/>
      </c>
      <c r="CF404" s="1317" t="str">
        <f t="shared" si="1166"/>
        <v/>
      </c>
      <c r="CG404" s="1317" t="str">
        <f t="shared" si="1166"/>
        <v/>
      </c>
      <c r="CH404" s="1318">
        <f t="shared" si="1166"/>
        <v>5</v>
      </c>
      <c r="CI404" s="1318" t="str">
        <f t="shared" si="1166"/>
        <v/>
      </c>
      <c r="CJ404" s="1317" t="str">
        <f t="shared" si="1166"/>
        <v/>
      </c>
      <c r="CK404" s="1317" t="str">
        <f t="shared" si="1166"/>
        <v/>
      </c>
      <c r="CL404" s="1317" t="str">
        <f t="shared" si="1166"/>
        <v/>
      </c>
      <c r="CM404" s="1316" t="str">
        <f t="shared" si="1166"/>
        <v/>
      </c>
      <c r="CN404" s="538" t="str">
        <f t="shared" si="1130"/>
        <v/>
      </c>
      <c r="CO404" s="539" t="str">
        <f t="shared" si="1131"/>
        <v/>
      </c>
      <c r="CP404" s="539" t="str">
        <f t="shared" si="1132"/>
        <v/>
      </c>
      <c r="CQ404" s="539" t="str">
        <f t="shared" si="1133"/>
        <v/>
      </c>
      <c r="CR404" s="539" t="str">
        <f t="shared" si="1134"/>
        <v/>
      </c>
      <c r="CS404" s="539" t="str">
        <f t="shared" si="1135"/>
        <v/>
      </c>
      <c r="CT404" s="540">
        <f t="shared" si="1136"/>
        <v>45</v>
      </c>
      <c r="CU404" s="540">
        <f t="shared" si="1137"/>
        <v>100</v>
      </c>
      <c r="CV404" s="540">
        <f t="shared" si="1138"/>
        <v>100</v>
      </c>
      <c r="CW404" s="539" t="str">
        <f t="shared" si="1139"/>
        <v/>
      </c>
      <c r="CX404" s="539" t="str">
        <f t="shared" si="1140"/>
        <v/>
      </c>
      <c r="CY404" s="539" t="str">
        <f t="shared" si="1141"/>
        <v/>
      </c>
      <c r="CZ404" s="539" t="str">
        <f t="shared" si="1142"/>
        <v/>
      </c>
      <c r="DA404" s="539" t="str">
        <f t="shared" si="1143"/>
        <v/>
      </c>
      <c r="DB404" s="538" t="str">
        <f t="shared" si="1144"/>
        <v/>
      </c>
      <c r="DC404" s="537" t="str">
        <f t="shared" si="1145"/>
        <v/>
      </c>
      <c r="DD404" s="641">
        <f t="shared" si="1146"/>
        <v>0</v>
      </c>
      <c r="DE404" s="95">
        <f t="shared" si="1147"/>
        <v>2</v>
      </c>
      <c r="DF404" s="95">
        <f t="shared" si="1148"/>
        <v>1</v>
      </c>
      <c r="DG404" s="95">
        <f t="shared" si="1149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181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5"/>
        <v/>
      </c>
      <c r="CA405" s="586" t="str">
        <f t="shared" si="1126"/>
        <v/>
      </c>
      <c r="CB405" s="586" t="str">
        <f t="shared" si="1127"/>
        <v/>
      </c>
      <c r="CC405" s="676">
        <f t="shared" si="1128"/>
        <v>5</v>
      </c>
      <c r="CD405" s="1316" t="str">
        <f t="shared" si="1163"/>
        <v/>
      </c>
      <c r="CE405" s="1317" t="str">
        <f t="shared" si="1166"/>
        <v/>
      </c>
      <c r="CF405" s="1317" t="str">
        <f t="shared" si="1166"/>
        <v/>
      </c>
      <c r="CG405" s="1317" t="str">
        <f t="shared" si="1166"/>
        <v/>
      </c>
      <c r="CH405" s="1318">
        <f t="shared" si="1166"/>
        <v>2</v>
      </c>
      <c r="CI405" s="1318" t="str">
        <f t="shared" si="1166"/>
        <v/>
      </c>
      <c r="CJ405" s="1317" t="str">
        <f t="shared" si="1166"/>
        <v/>
      </c>
      <c r="CK405" s="1317" t="str">
        <f t="shared" si="1166"/>
        <v/>
      </c>
      <c r="CL405" s="1317" t="str">
        <f t="shared" si="1166"/>
        <v/>
      </c>
      <c r="CM405" s="1316" t="str">
        <f t="shared" si="1166"/>
        <v/>
      </c>
      <c r="CN405" s="538" t="str">
        <f t="shared" si="1130"/>
        <v/>
      </c>
      <c r="CO405" s="539" t="str">
        <f t="shared" si="1131"/>
        <v/>
      </c>
      <c r="CP405" s="539" t="str">
        <f t="shared" si="1132"/>
        <v/>
      </c>
      <c r="CQ405" s="539" t="str">
        <f t="shared" si="1133"/>
        <v/>
      </c>
      <c r="CR405" s="539" t="str">
        <f t="shared" si="1134"/>
        <v/>
      </c>
      <c r="CS405" s="539" t="str">
        <f t="shared" si="1135"/>
        <v/>
      </c>
      <c r="CT405" s="540">
        <f t="shared" si="1136"/>
        <v>3.5</v>
      </c>
      <c r="CU405" s="540">
        <f t="shared" si="1137"/>
        <v>5</v>
      </c>
      <c r="CV405" s="540">
        <f t="shared" si="1138"/>
        <v>5</v>
      </c>
      <c r="CW405" s="539" t="str">
        <f t="shared" si="1139"/>
        <v/>
      </c>
      <c r="CX405" s="539" t="str">
        <f t="shared" si="1140"/>
        <v/>
      </c>
      <c r="CY405" s="539" t="str">
        <f t="shared" si="1141"/>
        <v/>
      </c>
      <c r="CZ405" s="539" t="str">
        <f t="shared" si="1142"/>
        <v/>
      </c>
      <c r="DA405" s="539" t="str">
        <f t="shared" si="1143"/>
        <v/>
      </c>
      <c r="DB405" s="538" t="str">
        <f t="shared" si="1144"/>
        <v/>
      </c>
      <c r="DC405" s="537" t="str">
        <f t="shared" si="1145"/>
        <v/>
      </c>
      <c r="DD405" s="641">
        <f t="shared" si="1146"/>
        <v>0</v>
      </c>
      <c r="DE405" s="95">
        <f t="shared" si="1147"/>
        <v>2</v>
      </c>
      <c r="DF405" s="95">
        <f t="shared" si="1148"/>
        <v>1</v>
      </c>
      <c r="DG405" s="95">
        <f t="shared" si="1149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183</v>
      </c>
      <c r="B406" s="618" t="str">
        <f t="shared" ref="B406:K406" si="1183">IF(B404="","",B404*B405)</f>
        <v/>
      </c>
      <c r="C406" s="618" t="str">
        <f t="shared" si="1183"/>
        <v/>
      </c>
      <c r="D406" s="618" t="str">
        <f t="shared" si="1183"/>
        <v/>
      </c>
      <c r="E406" s="618" t="str">
        <f t="shared" si="1183"/>
        <v/>
      </c>
      <c r="F406" s="618" t="str">
        <f t="shared" si="1183"/>
        <v/>
      </c>
      <c r="G406" s="618" t="str">
        <f t="shared" si="1183"/>
        <v/>
      </c>
      <c r="H406" s="618" t="str">
        <f t="shared" si="1183"/>
        <v/>
      </c>
      <c r="I406" s="618" t="str">
        <f t="shared" si="1183"/>
        <v/>
      </c>
      <c r="J406" s="618" t="str">
        <f t="shared" si="1183"/>
        <v/>
      </c>
      <c r="K406" s="618" t="str">
        <f t="shared" si="1183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4">IF(T404="","",T404*T405)</f>
        <v>50</v>
      </c>
      <c r="U406" s="618" t="str">
        <f t="shared" si="1184"/>
        <v/>
      </c>
      <c r="V406" s="618" t="str">
        <f t="shared" si="1184"/>
        <v/>
      </c>
      <c r="W406" s="618" t="str">
        <f t="shared" si="1184"/>
        <v/>
      </c>
      <c r="X406" s="618" t="str">
        <f t="shared" si="1184"/>
        <v/>
      </c>
      <c r="Y406" s="618" t="str">
        <f t="shared" si="1184"/>
        <v/>
      </c>
      <c r="Z406" s="618" t="str">
        <f t="shared" si="1184"/>
        <v/>
      </c>
      <c r="AA406" s="618" t="str">
        <f t="shared" si="1184"/>
        <v/>
      </c>
      <c r="AB406" s="618" t="str">
        <f t="shared" si="1184"/>
        <v/>
      </c>
      <c r="AC406" s="618">
        <f t="shared" si="1184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5">IF(AL404="","",AL404*AL405)</f>
        <v/>
      </c>
      <c r="AM406" s="618" t="str">
        <f t="shared" si="1185"/>
        <v/>
      </c>
      <c r="AN406" s="618" t="str">
        <f t="shared" si="1185"/>
        <v/>
      </c>
      <c r="AO406" s="618" t="str">
        <f t="shared" si="1185"/>
        <v/>
      </c>
      <c r="AP406" s="618" t="str">
        <f t="shared" si="1185"/>
        <v/>
      </c>
      <c r="AQ406" s="618" t="str">
        <f t="shared" si="1185"/>
        <v/>
      </c>
      <c r="AR406" s="618" t="str">
        <f t="shared" si="1185"/>
        <v/>
      </c>
      <c r="AS406" s="618" t="str">
        <f t="shared" si="1185"/>
        <v/>
      </c>
      <c r="AT406" s="618">
        <f t="shared" si="1185"/>
        <v>10</v>
      </c>
      <c r="AU406" s="618" t="str">
        <f t="shared" si="1185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6">IF(BD404="","",BD404*BD405)</f>
        <v/>
      </c>
      <c r="BE406" s="618" t="str">
        <f t="shared" si="1186"/>
        <v/>
      </c>
      <c r="BF406" s="618" t="str">
        <f t="shared" si="1186"/>
        <v/>
      </c>
      <c r="BG406" s="618">
        <f t="shared" si="1186"/>
        <v>500</v>
      </c>
      <c r="BH406" s="618">
        <f t="shared" si="1186"/>
        <v>500</v>
      </c>
      <c r="BI406" s="618" t="str">
        <f t="shared" si="1186"/>
        <v/>
      </c>
      <c r="BJ406" s="618" t="str">
        <f t="shared" si="1186"/>
        <v/>
      </c>
      <c r="BK406" s="618" t="str">
        <f t="shared" si="1186"/>
        <v/>
      </c>
      <c r="BL406" s="618" t="str">
        <f t="shared" si="1186"/>
        <v/>
      </c>
      <c r="BM406" s="618">
        <f t="shared" si="1186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5"/>
        <v/>
      </c>
      <c r="CA406" s="586" t="str">
        <f t="shared" si="1126"/>
        <v/>
      </c>
      <c r="CB406" s="586" t="str">
        <f t="shared" si="1127"/>
        <v/>
      </c>
      <c r="CC406" s="676">
        <f t="shared" si="1128"/>
        <v>500</v>
      </c>
      <c r="CD406" s="1316" t="str">
        <f t="shared" si="1163"/>
        <v/>
      </c>
      <c r="CE406" s="1317" t="str">
        <f t="shared" si="1166"/>
        <v/>
      </c>
      <c r="CF406" s="1317" t="str">
        <f t="shared" si="1166"/>
        <v/>
      </c>
      <c r="CG406" s="1317" t="str">
        <f t="shared" si="1166"/>
        <v/>
      </c>
      <c r="CH406" s="1318">
        <f t="shared" si="1166"/>
        <v>10</v>
      </c>
      <c r="CI406" s="1318" t="str">
        <f t="shared" si="1166"/>
        <v/>
      </c>
      <c r="CJ406" s="1317" t="str">
        <f t="shared" si="1166"/>
        <v/>
      </c>
      <c r="CK406" s="1317" t="str">
        <f t="shared" si="1166"/>
        <v/>
      </c>
      <c r="CL406" s="1317" t="str">
        <f t="shared" si="1166"/>
        <v/>
      </c>
      <c r="CM406" s="1316" t="str">
        <f t="shared" si="1166"/>
        <v/>
      </c>
      <c r="CN406" s="538" t="str">
        <f t="shared" si="1130"/>
        <v/>
      </c>
      <c r="CO406" s="539" t="str">
        <f t="shared" si="1131"/>
        <v/>
      </c>
      <c r="CP406" s="539" t="str">
        <f t="shared" si="1132"/>
        <v/>
      </c>
      <c r="CQ406" s="539" t="str">
        <f t="shared" si="1133"/>
        <v/>
      </c>
      <c r="CR406" s="539" t="str">
        <f t="shared" si="1134"/>
        <v/>
      </c>
      <c r="CS406" s="539" t="str">
        <f t="shared" si="1135"/>
        <v/>
      </c>
      <c r="CT406" s="540">
        <f t="shared" si="1136"/>
        <v>157.5</v>
      </c>
      <c r="CU406" s="540">
        <f t="shared" si="1137"/>
        <v>500</v>
      </c>
      <c r="CV406" s="540">
        <f t="shared" si="1138"/>
        <v>500</v>
      </c>
      <c r="CW406" s="539" t="str">
        <f t="shared" si="1139"/>
        <v/>
      </c>
      <c r="CX406" s="539" t="str">
        <f t="shared" si="1140"/>
        <v/>
      </c>
      <c r="CY406" s="539" t="str">
        <f t="shared" si="1141"/>
        <v/>
      </c>
      <c r="CZ406" s="539" t="str">
        <f t="shared" si="1142"/>
        <v/>
      </c>
      <c r="DA406" s="539" t="str">
        <f t="shared" si="1143"/>
        <v/>
      </c>
      <c r="DB406" s="538" t="str">
        <f t="shared" si="1144"/>
        <v/>
      </c>
      <c r="DC406" s="537" t="str">
        <f t="shared" si="1145"/>
        <v/>
      </c>
      <c r="DD406" s="641">
        <f t="shared" si="1146"/>
        <v>0</v>
      </c>
      <c r="DE406" s="95">
        <f t="shared" si="1147"/>
        <v>2</v>
      </c>
      <c r="DF406" s="95">
        <f t="shared" si="1148"/>
        <v>1</v>
      </c>
      <c r="DG406" s="95">
        <f t="shared" si="1149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932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5"/>
        <v/>
      </c>
      <c r="CA407" s="586" t="str">
        <f t="shared" si="1126"/>
        <v/>
      </c>
      <c r="CB407" s="586" t="str">
        <f t="shared" si="1127"/>
        <v/>
      </c>
      <c r="CC407" s="676">
        <f t="shared" si="1128"/>
        <v>67.5</v>
      </c>
      <c r="CD407" s="1316" t="str">
        <f t="shared" si="1163"/>
        <v/>
      </c>
      <c r="CE407" s="1317" t="str">
        <f t="shared" si="1166"/>
        <v/>
      </c>
      <c r="CF407" s="1317" t="str">
        <f t="shared" si="1166"/>
        <v/>
      </c>
      <c r="CG407" s="1317" t="str">
        <f t="shared" si="1166"/>
        <v/>
      </c>
      <c r="CH407" s="1318">
        <f t="shared" si="1166"/>
        <v>10</v>
      </c>
      <c r="CI407" s="1318">
        <f t="shared" si="1166"/>
        <v>10</v>
      </c>
      <c r="CJ407" s="1317" t="str">
        <f t="shared" si="1166"/>
        <v/>
      </c>
      <c r="CK407" s="1317" t="str">
        <f t="shared" si="1166"/>
        <v/>
      </c>
      <c r="CL407" s="1317" t="str">
        <f t="shared" si="1166"/>
        <v/>
      </c>
      <c r="CM407" s="1316" t="str">
        <f t="shared" si="1166"/>
        <v/>
      </c>
      <c r="CN407" s="538" t="str">
        <f t="shared" si="1130"/>
        <v/>
      </c>
      <c r="CO407" s="539" t="str">
        <f t="shared" si="1131"/>
        <v/>
      </c>
      <c r="CP407" s="539" t="str">
        <f t="shared" si="1132"/>
        <v/>
      </c>
      <c r="CQ407" s="539" t="str">
        <f t="shared" si="1133"/>
        <v/>
      </c>
      <c r="CR407" s="539" t="str">
        <f t="shared" si="1134"/>
        <v/>
      </c>
      <c r="CS407" s="539" t="str">
        <f t="shared" si="1135"/>
        <v/>
      </c>
      <c r="CT407" s="540">
        <f t="shared" si="1136"/>
        <v>28</v>
      </c>
      <c r="CU407" s="540">
        <f t="shared" si="1137"/>
        <v>60</v>
      </c>
      <c r="CV407" s="540">
        <f t="shared" si="1138"/>
        <v>75</v>
      </c>
      <c r="CW407" s="539">
        <f t="shared" si="1139"/>
        <v>100</v>
      </c>
      <c r="CX407" s="539" t="str">
        <f t="shared" si="1140"/>
        <v/>
      </c>
      <c r="CY407" s="539" t="str">
        <f t="shared" si="1141"/>
        <v/>
      </c>
      <c r="CZ407" s="539" t="str">
        <f t="shared" si="1142"/>
        <v/>
      </c>
      <c r="DA407" s="539" t="str">
        <f t="shared" si="1143"/>
        <v/>
      </c>
      <c r="DB407" s="538" t="str">
        <f t="shared" si="1144"/>
        <v/>
      </c>
      <c r="DC407" s="537" t="str">
        <f t="shared" si="1145"/>
        <v/>
      </c>
      <c r="DD407" s="641">
        <f t="shared" si="1146"/>
        <v>0</v>
      </c>
      <c r="DE407" s="95">
        <f t="shared" si="1147"/>
        <v>1</v>
      </c>
      <c r="DF407" s="95">
        <f t="shared" si="1148"/>
        <v>2</v>
      </c>
      <c r="DG407" s="95">
        <f t="shared" si="1149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5"/>
        <v/>
      </c>
      <c r="CA408" s="586" t="str">
        <f t="shared" si="1126"/>
        <v/>
      </c>
      <c r="CB408" s="586" t="str">
        <f t="shared" si="1127"/>
        <v/>
      </c>
      <c r="CC408" s="676">
        <f t="shared" si="1128"/>
        <v>5</v>
      </c>
      <c r="CD408" s="1316" t="str">
        <f t="shared" si="1163"/>
        <v/>
      </c>
      <c r="CE408" s="1317" t="str">
        <f t="shared" si="1166"/>
        <v/>
      </c>
      <c r="CF408" s="1317" t="str">
        <f t="shared" si="1166"/>
        <v/>
      </c>
      <c r="CG408" s="1317" t="str">
        <f t="shared" si="1166"/>
        <v/>
      </c>
      <c r="CH408" s="1318">
        <f t="shared" si="1166"/>
        <v>5</v>
      </c>
      <c r="CI408" s="1318">
        <f t="shared" si="1166"/>
        <v>7.5</v>
      </c>
      <c r="CJ408" s="1317" t="str">
        <f t="shared" si="1166"/>
        <v/>
      </c>
      <c r="CK408" s="1317" t="str">
        <f t="shared" si="1166"/>
        <v/>
      </c>
      <c r="CL408" s="1317" t="str">
        <f t="shared" si="1166"/>
        <v/>
      </c>
      <c r="CM408" s="1316" t="str">
        <f t="shared" si="1166"/>
        <v/>
      </c>
      <c r="CN408" s="538" t="str">
        <f t="shared" si="1130"/>
        <v/>
      </c>
      <c r="CO408" s="539" t="str">
        <f t="shared" si="1131"/>
        <v/>
      </c>
      <c r="CP408" s="539" t="str">
        <f t="shared" si="1132"/>
        <v/>
      </c>
      <c r="CQ408" s="539" t="str">
        <f t="shared" si="1133"/>
        <v/>
      </c>
      <c r="CR408" s="539" t="str">
        <f t="shared" si="1134"/>
        <v/>
      </c>
      <c r="CS408" s="539" t="str">
        <f t="shared" si="1135"/>
        <v/>
      </c>
      <c r="CT408" s="540">
        <f t="shared" si="1136"/>
        <v>3.5</v>
      </c>
      <c r="CU408" s="540">
        <f t="shared" si="1137"/>
        <v>5</v>
      </c>
      <c r="CV408" s="540">
        <f t="shared" si="1138"/>
        <v>5</v>
      </c>
      <c r="CW408" s="539">
        <f t="shared" si="1139"/>
        <v>8</v>
      </c>
      <c r="CX408" s="539" t="str">
        <f t="shared" si="1140"/>
        <v/>
      </c>
      <c r="CY408" s="539" t="str">
        <f t="shared" si="1141"/>
        <v/>
      </c>
      <c r="CZ408" s="539" t="str">
        <f t="shared" si="1142"/>
        <v/>
      </c>
      <c r="DA408" s="539" t="str">
        <f t="shared" si="1143"/>
        <v/>
      </c>
      <c r="DB408" s="538" t="str">
        <f t="shared" si="1144"/>
        <v/>
      </c>
      <c r="DC408" s="537" t="str">
        <f t="shared" si="1145"/>
        <v/>
      </c>
      <c r="DD408" s="641">
        <f t="shared" si="1146"/>
        <v>0</v>
      </c>
      <c r="DE408" s="95">
        <f t="shared" si="1147"/>
        <v>1</v>
      </c>
      <c r="DF408" s="95">
        <f t="shared" si="1148"/>
        <v>2</v>
      </c>
      <c r="DG408" s="95">
        <f t="shared" si="1149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183</v>
      </c>
      <c r="B409" s="618" t="str">
        <f t="shared" ref="B409:K409" si="1187">IF(B407="","",B407*B408)</f>
        <v/>
      </c>
      <c r="C409" s="618" t="str">
        <f t="shared" si="1187"/>
        <v/>
      </c>
      <c r="D409" s="618" t="str">
        <f t="shared" si="1187"/>
        <v/>
      </c>
      <c r="E409" s="618" t="str">
        <f t="shared" si="1187"/>
        <v/>
      </c>
      <c r="F409" s="618" t="str">
        <f t="shared" si="1187"/>
        <v/>
      </c>
      <c r="G409" s="618" t="str">
        <f t="shared" si="1187"/>
        <v/>
      </c>
      <c r="H409" s="618" t="str">
        <f t="shared" si="1187"/>
        <v/>
      </c>
      <c r="I409" s="618" t="str">
        <f t="shared" si="1187"/>
        <v/>
      </c>
      <c r="J409" s="618" t="str">
        <f t="shared" si="1187"/>
        <v/>
      </c>
      <c r="K409" s="618" t="str">
        <f t="shared" si="1187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8">IF(T407="","",T407*T408)</f>
        <v>50</v>
      </c>
      <c r="U409" s="618" t="str">
        <f t="shared" si="1188"/>
        <v/>
      </c>
      <c r="V409" s="618" t="str">
        <f t="shared" si="1188"/>
        <v/>
      </c>
      <c r="W409" s="618" t="str">
        <f t="shared" si="1188"/>
        <v/>
      </c>
      <c r="X409" s="618" t="str">
        <f t="shared" si="1188"/>
        <v/>
      </c>
      <c r="Y409" s="618" t="str">
        <f t="shared" si="1188"/>
        <v/>
      </c>
      <c r="Z409" s="618" t="str">
        <f t="shared" si="1188"/>
        <v/>
      </c>
      <c r="AA409" s="618" t="str">
        <f t="shared" si="1188"/>
        <v/>
      </c>
      <c r="AB409" s="618" t="str">
        <f t="shared" si="1188"/>
        <v/>
      </c>
      <c r="AC409" s="618" t="str">
        <f t="shared" si="1188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9">IF(AL407="","",AL407*AL408)</f>
        <v/>
      </c>
      <c r="AM409" s="618" t="str">
        <f t="shared" si="1189"/>
        <v/>
      </c>
      <c r="AN409" s="618" t="str">
        <f t="shared" si="1189"/>
        <v/>
      </c>
      <c r="AO409" s="618" t="str">
        <f t="shared" si="1189"/>
        <v/>
      </c>
      <c r="AP409" s="618" t="str">
        <f t="shared" si="1189"/>
        <v/>
      </c>
      <c r="AQ409" s="618" t="str">
        <f t="shared" si="1189"/>
        <v/>
      </c>
      <c r="AR409" s="618">
        <f t="shared" si="1189"/>
        <v>75</v>
      </c>
      <c r="AS409" s="618" t="str">
        <f t="shared" si="1189"/>
        <v/>
      </c>
      <c r="AT409" s="618">
        <f t="shared" si="1189"/>
        <v>50</v>
      </c>
      <c r="AU409" s="618" t="str">
        <f t="shared" si="1189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90">IF(BD407="","",BD407*BD408)</f>
        <v/>
      </c>
      <c r="BE409" s="618" t="str">
        <f t="shared" si="1190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90"/>
        <v>800</v>
      </c>
      <c r="BI409" s="618">
        <f t="shared" si="1190"/>
        <v>300</v>
      </c>
      <c r="BJ409" s="618" t="str">
        <f t="shared" si="1190"/>
        <v/>
      </c>
      <c r="BK409" s="618" t="str">
        <f t="shared" si="1190"/>
        <v/>
      </c>
      <c r="BL409" s="618" t="str">
        <f t="shared" si="1190"/>
        <v/>
      </c>
      <c r="BM409" s="618">
        <f t="shared" si="1190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5"/>
        <v/>
      </c>
      <c r="CA409" s="586" t="str">
        <f t="shared" si="1126"/>
        <v/>
      </c>
      <c r="CB409" s="586" t="str">
        <f t="shared" si="1127"/>
        <v/>
      </c>
      <c r="CC409" s="676">
        <f t="shared" si="1128"/>
        <v>281.25</v>
      </c>
      <c r="CD409" s="1316" t="str">
        <f t="shared" si="1163"/>
        <v/>
      </c>
      <c r="CE409" s="1317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7" t="str">
        <f t="shared" si="1191"/>
        <v/>
      </c>
      <c r="CG409" s="1317" t="str">
        <f t="shared" si="1191"/>
        <v/>
      </c>
      <c r="CH409" s="1318">
        <f t="shared" si="1191"/>
        <v>50</v>
      </c>
      <c r="CI409" s="1318">
        <f t="shared" si="1191"/>
        <v>75</v>
      </c>
      <c r="CJ409" s="1317" t="str">
        <f t="shared" si="1191"/>
        <v/>
      </c>
      <c r="CK409" s="1317" t="str">
        <f t="shared" si="1191"/>
        <v/>
      </c>
      <c r="CL409" s="1317" t="str">
        <f t="shared" si="1191"/>
        <v/>
      </c>
      <c r="CM409" s="1316" t="str">
        <f t="shared" si="1191"/>
        <v/>
      </c>
      <c r="CN409" s="538" t="str">
        <f t="shared" si="1130"/>
        <v/>
      </c>
      <c r="CO409" s="539" t="str">
        <f t="shared" si="1131"/>
        <v/>
      </c>
      <c r="CP409" s="539" t="str">
        <f t="shared" si="1132"/>
        <v/>
      </c>
      <c r="CQ409" s="539" t="str">
        <f t="shared" si="1133"/>
        <v/>
      </c>
      <c r="CR409" s="539" t="str">
        <f t="shared" si="1134"/>
        <v/>
      </c>
      <c r="CS409" s="539" t="str">
        <f t="shared" si="1135"/>
        <v/>
      </c>
      <c r="CT409" s="540">
        <f t="shared" si="1136"/>
        <v>140</v>
      </c>
      <c r="CU409" s="540">
        <f t="shared" si="1137"/>
        <v>262.5</v>
      </c>
      <c r="CV409" s="540">
        <f t="shared" si="1138"/>
        <v>300</v>
      </c>
      <c r="CW409" s="539">
        <f t="shared" si="1139"/>
        <v>800</v>
      </c>
      <c r="CX409" s="539" t="str">
        <f t="shared" si="1140"/>
        <v/>
      </c>
      <c r="CY409" s="539" t="str">
        <f t="shared" si="1141"/>
        <v/>
      </c>
      <c r="CZ409" s="539" t="str">
        <f t="shared" si="1142"/>
        <v/>
      </c>
      <c r="DA409" s="539" t="str">
        <f t="shared" si="1143"/>
        <v/>
      </c>
      <c r="DB409" s="538" t="str">
        <f t="shared" si="1144"/>
        <v/>
      </c>
      <c r="DC409" s="537" t="str">
        <f t="shared" si="1145"/>
        <v/>
      </c>
      <c r="DD409" s="641">
        <f t="shared" si="1146"/>
        <v>0</v>
      </c>
      <c r="DE409" s="95">
        <f t="shared" si="1147"/>
        <v>1</v>
      </c>
      <c r="DF409" s="95">
        <f t="shared" si="1148"/>
        <v>2</v>
      </c>
      <c r="DG409" s="95">
        <f t="shared" si="1149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933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5"/>
        <v/>
      </c>
      <c r="CA410" s="586" t="str">
        <f t="shared" si="1126"/>
        <v/>
      </c>
      <c r="CB410" s="586" t="str">
        <f t="shared" si="1127"/>
        <v/>
      </c>
      <c r="CC410" s="676" t="str">
        <f t="shared" si="1128"/>
        <v/>
      </c>
      <c r="CD410" s="1316" t="str">
        <f t="shared" si="1163"/>
        <v/>
      </c>
      <c r="CE410" s="1317" t="str">
        <f t="shared" si="1191"/>
        <v/>
      </c>
      <c r="CF410" s="1317" t="str">
        <f t="shared" si="1191"/>
        <v/>
      </c>
      <c r="CG410" s="1317" t="str">
        <f t="shared" si="1191"/>
        <v/>
      </c>
      <c r="CH410" s="1318" t="str">
        <f t="shared" si="1191"/>
        <v/>
      </c>
      <c r="CI410" s="1318" t="str">
        <f t="shared" si="1191"/>
        <v/>
      </c>
      <c r="CJ410" s="1317" t="str">
        <f t="shared" si="1191"/>
        <v/>
      </c>
      <c r="CK410" s="1317" t="str">
        <f t="shared" si="1191"/>
        <v/>
      </c>
      <c r="CL410" s="1317" t="str">
        <f t="shared" si="1191"/>
        <v/>
      </c>
      <c r="CM410" s="1316" t="str">
        <f t="shared" si="1191"/>
        <v/>
      </c>
      <c r="CN410" s="538" t="str">
        <f t="shared" si="1130"/>
        <v/>
      </c>
      <c r="CO410" s="539" t="str">
        <f t="shared" si="1131"/>
        <v/>
      </c>
      <c r="CP410" s="539" t="str">
        <f t="shared" si="1132"/>
        <v/>
      </c>
      <c r="CQ410" s="539" t="str">
        <f t="shared" si="1133"/>
        <v/>
      </c>
      <c r="CR410" s="539" t="str">
        <f t="shared" si="1134"/>
        <v/>
      </c>
      <c r="CS410" s="539" t="str">
        <f t="shared" si="1135"/>
        <v/>
      </c>
      <c r="CT410" s="540" t="str">
        <f t="shared" si="1136"/>
        <v/>
      </c>
      <c r="CU410" s="540">
        <f t="shared" si="1137"/>
        <v>40</v>
      </c>
      <c r="CV410" s="540" t="str">
        <f t="shared" si="1138"/>
        <v/>
      </c>
      <c r="CW410" s="539" t="str">
        <f t="shared" si="1139"/>
        <v/>
      </c>
      <c r="CX410" s="539" t="str">
        <f t="shared" si="1140"/>
        <v/>
      </c>
      <c r="CY410" s="539" t="str">
        <f t="shared" si="1141"/>
        <v/>
      </c>
      <c r="CZ410" s="539" t="str">
        <f t="shared" si="1142"/>
        <v/>
      </c>
      <c r="DA410" s="539" t="str">
        <f t="shared" si="1143"/>
        <v/>
      </c>
      <c r="DB410" s="538" t="str">
        <f t="shared" si="1144"/>
        <v/>
      </c>
      <c r="DC410" s="537" t="str">
        <f t="shared" si="1145"/>
        <v/>
      </c>
      <c r="DD410" s="641">
        <f t="shared" si="1146"/>
        <v>0</v>
      </c>
      <c r="DE410" s="95">
        <f t="shared" si="1147"/>
        <v>2</v>
      </c>
      <c r="DF410" s="95">
        <f t="shared" si="1148"/>
        <v>0</v>
      </c>
      <c r="DG410" s="95">
        <f t="shared" si="1149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5"/>
        <v/>
      </c>
      <c r="CA411" s="586" t="str">
        <f t="shared" si="1126"/>
        <v/>
      </c>
      <c r="CB411" s="586" t="str">
        <f t="shared" si="1127"/>
        <v/>
      </c>
      <c r="CC411" s="676" t="str">
        <f t="shared" si="1128"/>
        <v/>
      </c>
      <c r="CD411" s="1316" t="str">
        <f t="shared" si="1163"/>
        <v/>
      </c>
      <c r="CE411" s="1317" t="str">
        <f t="shared" si="1191"/>
        <v/>
      </c>
      <c r="CF411" s="1317" t="str">
        <f t="shared" si="1191"/>
        <v/>
      </c>
      <c r="CG411" s="1317" t="str">
        <f t="shared" si="1191"/>
        <v/>
      </c>
      <c r="CH411" s="1318" t="str">
        <f t="shared" si="1191"/>
        <v/>
      </c>
      <c r="CI411" s="1318" t="str">
        <f t="shared" si="1191"/>
        <v/>
      </c>
      <c r="CJ411" s="1317" t="str">
        <f t="shared" si="1191"/>
        <v/>
      </c>
      <c r="CK411" s="1317" t="str">
        <f t="shared" si="1191"/>
        <v/>
      </c>
      <c r="CL411" s="1317" t="str">
        <f t="shared" si="1191"/>
        <v/>
      </c>
      <c r="CM411" s="1316" t="str">
        <f t="shared" si="1191"/>
        <v/>
      </c>
      <c r="CN411" s="538" t="str">
        <f t="shared" si="1130"/>
        <v/>
      </c>
      <c r="CO411" s="539" t="str">
        <f t="shared" si="1131"/>
        <v/>
      </c>
      <c r="CP411" s="539" t="str">
        <f t="shared" si="1132"/>
        <v/>
      </c>
      <c r="CQ411" s="539" t="str">
        <f t="shared" si="1133"/>
        <v/>
      </c>
      <c r="CR411" s="539" t="str">
        <f t="shared" si="1134"/>
        <v/>
      </c>
      <c r="CS411" s="539" t="str">
        <f t="shared" si="1135"/>
        <v/>
      </c>
      <c r="CT411" s="540" t="str">
        <f t="shared" si="1136"/>
        <v/>
      </c>
      <c r="CU411" s="540">
        <f t="shared" si="1137"/>
        <v>7</v>
      </c>
      <c r="CV411" s="540" t="str">
        <f t="shared" si="1138"/>
        <v/>
      </c>
      <c r="CW411" s="539" t="str">
        <f t="shared" si="1139"/>
        <v/>
      </c>
      <c r="CX411" s="539" t="str">
        <f t="shared" si="1140"/>
        <v/>
      </c>
      <c r="CY411" s="539" t="str">
        <f t="shared" si="1141"/>
        <v/>
      </c>
      <c r="CZ411" s="539" t="str">
        <f t="shared" si="1142"/>
        <v/>
      </c>
      <c r="DA411" s="539" t="str">
        <f t="shared" si="1143"/>
        <v/>
      </c>
      <c r="DB411" s="538" t="str">
        <f t="shared" si="1144"/>
        <v/>
      </c>
      <c r="DC411" s="537" t="str">
        <f t="shared" si="1145"/>
        <v/>
      </c>
      <c r="DD411" s="641">
        <f t="shared" si="1146"/>
        <v>0</v>
      </c>
      <c r="DE411" s="95">
        <f t="shared" si="1147"/>
        <v>2</v>
      </c>
      <c r="DF411" s="95">
        <f t="shared" si="1148"/>
        <v>0</v>
      </c>
      <c r="DG411" s="95">
        <f t="shared" si="1149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183</v>
      </c>
      <c r="B412" s="618" t="str">
        <f t="shared" ref="B412:K412" si="1192">IF(B410="","",B410*B411)</f>
        <v/>
      </c>
      <c r="C412" s="618" t="str">
        <f t="shared" si="1192"/>
        <v/>
      </c>
      <c r="D412" s="618" t="str">
        <f t="shared" si="1192"/>
        <v/>
      </c>
      <c r="E412" s="618" t="str">
        <f t="shared" si="1192"/>
        <v/>
      </c>
      <c r="F412" s="618" t="str">
        <f t="shared" si="1192"/>
        <v/>
      </c>
      <c r="G412" s="618" t="str">
        <f t="shared" si="1192"/>
        <v/>
      </c>
      <c r="H412" s="618" t="str">
        <f t="shared" si="1192"/>
        <v/>
      </c>
      <c r="I412" s="618" t="str">
        <f t="shared" si="1192"/>
        <v/>
      </c>
      <c r="J412" s="618" t="str">
        <f t="shared" si="1192"/>
        <v/>
      </c>
      <c r="K412" s="618" t="str">
        <f t="shared" si="1192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3">IF(T410="","",T410*T411)</f>
        <v>50</v>
      </c>
      <c r="U412" s="618" t="str">
        <f t="shared" si="1193"/>
        <v/>
      </c>
      <c r="V412" s="618" t="str">
        <f t="shared" si="1193"/>
        <v/>
      </c>
      <c r="W412" s="618" t="str">
        <f t="shared" si="1193"/>
        <v/>
      </c>
      <c r="X412" s="618" t="str">
        <f t="shared" si="1193"/>
        <v/>
      </c>
      <c r="Y412" s="618" t="str">
        <f t="shared" si="1193"/>
        <v/>
      </c>
      <c r="Z412" s="618">
        <f t="shared" si="1193"/>
        <v>49.879999999999995</v>
      </c>
      <c r="AA412" s="618" t="str">
        <f t="shared" si="1193"/>
        <v/>
      </c>
      <c r="AB412" s="618" t="str">
        <f t="shared" si="1193"/>
        <v/>
      </c>
      <c r="AC412" s="618" t="str">
        <f t="shared" si="1193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4">IF(AL410="","",AL410*AL411)</f>
        <v/>
      </c>
      <c r="AM412" s="618" t="str">
        <f t="shared" si="1194"/>
        <v/>
      </c>
      <c r="AN412" s="618" t="str">
        <f t="shared" si="1194"/>
        <v/>
      </c>
      <c r="AO412" s="618" t="str">
        <f t="shared" si="1194"/>
        <v/>
      </c>
      <c r="AP412" s="618" t="str">
        <f t="shared" si="1194"/>
        <v/>
      </c>
      <c r="AQ412" s="618" t="str">
        <f t="shared" si="1194"/>
        <v/>
      </c>
      <c r="AR412" s="618" t="str">
        <f t="shared" si="1194"/>
        <v/>
      </c>
      <c r="AS412" s="618" t="str">
        <f t="shared" si="1194"/>
        <v/>
      </c>
      <c r="AT412" s="618" t="str">
        <f t="shared" si="1194"/>
        <v/>
      </c>
      <c r="AU412" s="618" t="str">
        <f t="shared" si="1194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5">IF(BD410="","",BD410*BD411)</f>
        <v/>
      </c>
      <c r="BE412" s="618" t="str">
        <f t="shared" si="1195"/>
        <v/>
      </c>
      <c r="BF412" s="618" t="str">
        <f t="shared" si="1195"/>
        <v/>
      </c>
      <c r="BG412" s="618" t="str">
        <f t="shared" si="1195"/>
        <v/>
      </c>
      <c r="BH412" s="618" t="str">
        <f t="shared" si="1195"/>
        <v/>
      </c>
      <c r="BI412" s="618" t="str">
        <f t="shared" si="1195"/>
        <v/>
      </c>
      <c r="BJ412" s="618" t="str">
        <f t="shared" si="1195"/>
        <v/>
      </c>
      <c r="BK412" s="618" t="str">
        <f t="shared" si="1195"/>
        <v/>
      </c>
      <c r="BL412" s="618" t="str">
        <f t="shared" si="1195"/>
        <v/>
      </c>
      <c r="BM412" s="618">
        <f t="shared" si="1195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5"/>
        <v/>
      </c>
      <c r="CA412" s="586" t="str">
        <f t="shared" si="1126"/>
        <v/>
      </c>
      <c r="CB412" s="586" t="str">
        <f t="shared" si="1127"/>
        <v/>
      </c>
      <c r="CC412" s="676" t="str">
        <f t="shared" si="1128"/>
        <v/>
      </c>
      <c r="CD412" s="1316" t="str">
        <f t="shared" si="1163"/>
        <v/>
      </c>
      <c r="CE412" s="1317" t="str">
        <f t="shared" si="1191"/>
        <v/>
      </c>
      <c r="CF412" s="1317" t="str">
        <f t="shared" si="1191"/>
        <v/>
      </c>
      <c r="CG412" s="1317" t="str">
        <f t="shared" si="1191"/>
        <v/>
      </c>
      <c r="CH412" s="1318" t="str">
        <f t="shared" si="1191"/>
        <v/>
      </c>
      <c r="CI412" s="1318" t="str">
        <f t="shared" si="1191"/>
        <v/>
      </c>
      <c r="CJ412" s="1317" t="str">
        <f t="shared" si="1191"/>
        <v/>
      </c>
      <c r="CK412" s="1317" t="str">
        <f t="shared" si="1191"/>
        <v/>
      </c>
      <c r="CL412" s="1317" t="str">
        <f t="shared" si="1191"/>
        <v/>
      </c>
      <c r="CM412" s="1316" t="str">
        <f t="shared" si="1191"/>
        <v/>
      </c>
      <c r="CN412" s="538" t="str">
        <f t="shared" si="1130"/>
        <v/>
      </c>
      <c r="CO412" s="539" t="str">
        <f t="shared" si="1131"/>
        <v/>
      </c>
      <c r="CP412" s="539" t="str">
        <f t="shared" si="1132"/>
        <v/>
      </c>
      <c r="CQ412" s="539" t="str">
        <f t="shared" si="1133"/>
        <v/>
      </c>
      <c r="CR412" s="539" t="str">
        <f t="shared" si="1134"/>
        <v/>
      </c>
      <c r="CS412" s="539" t="str">
        <f t="shared" si="1135"/>
        <v/>
      </c>
      <c r="CT412" s="540" t="str">
        <f t="shared" si="1136"/>
        <v/>
      </c>
      <c r="CU412" s="540">
        <f t="shared" si="1137"/>
        <v>280</v>
      </c>
      <c r="CV412" s="540" t="str">
        <f t="shared" si="1138"/>
        <v/>
      </c>
      <c r="CW412" s="539" t="str">
        <f t="shared" si="1139"/>
        <v/>
      </c>
      <c r="CX412" s="539" t="str">
        <f t="shared" si="1140"/>
        <v/>
      </c>
      <c r="CY412" s="539" t="str">
        <f t="shared" si="1141"/>
        <v/>
      </c>
      <c r="CZ412" s="539" t="str">
        <f t="shared" si="1142"/>
        <v/>
      </c>
      <c r="DA412" s="539" t="str">
        <f t="shared" si="1143"/>
        <v/>
      </c>
      <c r="DB412" s="538" t="str">
        <f t="shared" si="1144"/>
        <v/>
      </c>
      <c r="DC412" s="537" t="str">
        <f t="shared" si="1145"/>
        <v/>
      </c>
      <c r="DD412" s="641">
        <f t="shared" si="1146"/>
        <v>0</v>
      </c>
      <c r="DE412" s="95">
        <f t="shared" si="1147"/>
        <v>2</v>
      </c>
      <c r="DF412" s="95">
        <f t="shared" si="1148"/>
        <v>0</v>
      </c>
      <c r="DG412" s="95">
        <f t="shared" si="1149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273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5"/>
        <v/>
      </c>
      <c r="CA413" s="586" t="str">
        <f t="shared" si="1126"/>
        <v/>
      </c>
      <c r="CB413" s="586" t="str">
        <f t="shared" si="1127"/>
        <v/>
      </c>
      <c r="CC413" s="676" t="str">
        <f t="shared" si="1128"/>
        <v/>
      </c>
      <c r="CD413" s="1316" t="str">
        <f t="shared" si="1163"/>
        <v/>
      </c>
      <c r="CE413" s="1317" t="str">
        <f t="shared" si="1191"/>
        <v/>
      </c>
      <c r="CF413" s="1317" t="str">
        <f t="shared" si="1191"/>
        <v/>
      </c>
      <c r="CG413" s="1317" t="str">
        <f t="shared" si="1191"/>
        <v/>
      </c>
      <c r="CH413" s="1318" t="str">
        <f t="shared" si="1191"/>
        <v/>
      </c>
      <c r="CI413" s="1318" t="str">
        <f t="shared" si="1191"/>
        <v/>
      </c>
      <c r="CJ413" s="1317" t="str">
        <f t="shared" si="1191"/>
        <v/>
      </c>
      <c r="CK413" s="1317" t="str">
        <f t="shared" si="1191"/>
        <v/>
      </c>
      <c r="CL413" s="1317" t="str">
        <f t="shared" si="1191"/>
        <v/>
      </c>
      <c r="CM413" s="1316" t="str">
        <f t="shared" si="1191"/>
        <v/>
      </c>
      <c r="CN413" s="538" t="str">
        <f t="shared" si="1130"/>
        <v/>
      </c>
      <c r="CO413" s="539" t="str">
        <f t="shared" si="1131"/>
        <v/>
      </c>
      <c r="CP413" s="539" t="str">
        <f t="shared" si="1132"/>
        <v/>
      </c>
      <c r="CQ413" s="539" t="str">
        <f t="shared" si="1133"/>
        <v/>
      </c>
      <c r="CR413" s="539" t="str">
        <f t="shared" si="1134"/>
        <v/>
      </c>
      <c r="CS413" s="539" t="str">
        <f t="shared" si="1135"/>
        <v/>
      </c>
      <c r="CT413" s="540" t="str">
        <f t="shared" si="1136"/>
        <v/>
      </c>
      <c r="CU413" s="540" t="str">
        <f t="shared" si="1137"/>
        <v/>
      </c>
      <c r="CV413" s="540" t="str">
        <f t="shared" si="1138"/>
        <v/>
      </c>
      <c r="CW413" s="539" t="str">
        <f t="shared" si="1139"/>
        <v/>
      </c>
      <c r="CX413" s="539" t="str">
        <f t="shared" si="1140"/>
        <v/>
      </c>
      <c r="CY413" s="539" t="str">
        <f t="shared" si="1141"/>
        <v/>
      </c>
      <c r="CZ413" s="539" t="str">
        <f t="shared" si="1142"/>
        <v/>
      </c>
      <c r="DA413" s="539" t="str">
        <f t="shared" si="1143"/>
        <v/>
      </c>
      <c r="DB413" s="538" t="str">
        <f t="shared" si="1144"/>
        <v/>
      </c>
      <c r="DC413" s="537" t="str">
        <f t="shared" si="1145"/>
        <v/>
      </c>
      <c r="DD413" s="641">
        <f t="shared" si="1146"/>
        <v>0</v>
      </c>
      <c r="DE413" s="95">
        <f t="shared" si="1147"/>
        <v>0</v>
      </c>
      <c r="DF413" s="95">
        <f t="shared" si="1148"/>
        <v>0</v>
      </c>
      <c r="DG413" s="95">
        <f t="shared" si="1149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5"/>
        <v/>
      </c>
      <c r="CA414" s="586" t="str">
        <f t="shared" si="1126"/>
        <v/>
      </c>
      <c r="CB414" s="586" t="str">
        <f t="shared" si="1127"/>
        <v/>
      </c>
      <c r="CC414" s="676" t="str">
        <f t="shared" si="1128"/>
        <v/>
      </c>
      <c r="CD414" s="1316" t="str">
        <f t="shared" si="1163"/>
        <v/>
      </c>
      <c r="CE414" s="1317" t="str">
        <f t="shared" si="1191"/>
        <v/>
      </c>
      <c r="CF414" s="1317" t="str">
        <f t="shared" si="1191"/>
        <v/>
      </c>
      <c r="CG414" s="1317" t="str">
        <f t="shared" si="1191"/>
        <v/>
      </c>
      <c r="CH414" s="1318" t="str">
        <f t="shared" si="1191"/>
        <v/>
      </c>
      <c r="CI414" s="1318" t="str">
        <f t="shared" si="1191"/>
        <v/>
      </c>
      <c r="CJ414" s="1317" t="str">
        <f t="shared" si="1191"/>
        <v/>
      </c>
      <c r="CK414" s="1317" t="str">
        <f t="shared" si="1191"/>
        <v/>
      </c>
      <c r="CL414" s="1317" t="str">
        <f t="shared" si="1191"/>
        <v/>
      </c>
      <c r="CM414" s="1316" t="str">
        <f t="shared" si="1191"/>
        <v/>
      </c>
      <c r="CN414" s="538" t="str">
        <f t="shared" si="1130"/>
        <v/>
      </c>
      <c r="CO414" s="539" t="str">
        <f t="shared" si="1131"/>
        <v/>
      </c>
      <c r="CP414" s="539" t="str">
        <f t="shared" si="1132"/>
        <v/>
      </c>
      <c r="CQ414" s="539" t="str">
        <f t="shared" si="1133"/>
        <v/>
      </c>
      <c r="CR414" s="539" t="str">
        <f t="shared" si="1134"/>
        <v/>
      </c>
      <c r="CS414" s="539" t="str">
        <f t="shared" si="1135"/>
        <v/>
      </c>
      <c r="CT414" s="540" t="str">
        <f t="shared" si="1136"/>
        <v/>
      </c>
      <c r="CU414" s="540" t="str">
        <f t="shared" si="1137"/>
        <v/>
      </c>
      <c r="CV414" s="540" t="str">
        <f t="shared" si="1138"/>
        <v/>
      </c>
      <c r="CW414" s="539" t="str">
        <f t="shared" si="1139"/>
        <v/>
      </c>
      <c r="CX414" s="539" t="str">
        <f t="shared" si="1140"/>
        <v/>
      </c>
      <c r="CY414" s="539" t="str">
        <f t="shared" si="1141"/>
        <v/>
      </c>
      <c r="CZ414" s="539" t="str">
        <f t="shared" si="1142"/>
        <v/>
      </c>
      <c r="DA414" s="539" t="str">
        <f t="shared" si="1143"/>
        <v/>
      </c>
      <c r="DB414" s="538" t="str">
        <f t="shared" si="1144"/>
        <v/>
      </c>
      <c r="DC414" s="537" t="str">
        <f t="shared" si="1145"/>
        <v/>
      </c>
      <c r="DD414" s="641">
        <f t="shared" si="1146"/>
        <v>0</v>
      </c>
      <c r="DE414" s="95">
        <f t="shared" si="1147"/>
        <v>0</v>
      </c>
      <c r="DF414" s="95">
        <f t="shared" si="1148"/>
        <v>0</v>
      </c>
      <c r="DG414" s="95">
        <f t="shared" si="1149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183</v>
      </c>
      <c r="B415" s="618" t="str">
        <f t="shared" ref="B415:K415" si="1196">IF(B413="","",B413*B414)</f>
        <v/>
      </c>
      <c r="C415" s="618" t="str">
        <f t="shared" si="1196"/>
        <v/>
      </c>
      <c r="D415" s="618" t="str">
        <f t="shared" si="1196"/>
        <v/>
      </c>
      <c r="E415" s="618" t="str">
        <f t="shared" si="1196"/>
        <v/>
      </c>
      <c r="F415" s="618" t="str">
        <f t="shared" si="1196"/>
        <v/>
      </c>
      <c r="G415" s="618" t="str">
        <f t="shared" si="1196"/>
        <v/>
      </c>
      <c r="H415" s="618" t="str">
        <f t="shared" si="1196"/>
        <v/>
      </c>
      <c r="I415" s="618" t="str">
        <f t="shared" si="1196"/>
        <v/>
      </c>
      <c r="J415" s="618" t="str">
        <f t="shared" si="1196"/>
        <v/>
      </c>
      <c r="K415" s="618" t="str">
        <f t="shared" si="1196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7">IF(T413="","",T413*T414)</f>
        <v/>
      </c>
      <c r="U415" s="618" t="str">
        <f t="shared" si="1197"/>
        <v/>
      </c>
      <c r="V415" s="618" t="str">
        <f t="shared" si="1197"/>
        <v/>
      </c>
      <c r="W415" s="618" t="str">
        <f t="shared" si="1197"/>
        <v/>
      </c>
      <c r="X415" s="618" t="str">
        <f t="shared" si="1197"/>
        <v/>
      </c>
      <c r="Y415" s="618" t="str">
        <f t="shared" si="1197"/>
        <v/>
      </c>
      <c r="Z415" s="618" t="str">
        <f t="shared" si="1197"/>
        <v/>
      </c>
      <c r="AA415" s="618" t="str">
        <f t="shared" si="1197"/>
        <v/>
      </c>
      <c r="AB415" s="618" t="str">
        <f t="shared" si="1197"/>
        <v/>
      </c>
      <c r="AC415" s="618" t="str">
        <f t="shared" si="1197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8">IF(AL413="","",AL413*AL414)</f>
        <v/>
      </c>
      <c r="AM415" s="618" t="str">
        <f t="shared" si="1198"/>
        <v/>
      </c>
      <c r="AN415" s="618" t="str">
        <f t="shared" si="1198"/>
        <v/>
      </c>
      <c r="AO415" s="618" t="str">
        <f t="shared" si="1198"/>
        <v/>
      </c>
      <c r="AP415" s="618" t="str">
        <f t="shared" si="1198"/>
        <v/>
      </c>
      <c r="AQ415" s="618" t="str">
        <f t="shared" si="1198"/>
        <v/>
      </c>
      <c r="AR415" s="618" t="str">
        <f t="shared" si="1198"/>
        <v/>
      </c>
      <c r="AS415" s="618" t="str">
        <f t="shared" si="1198"/>
        <v/>
      </c>
      <c r="AT415" s="618" t="str">
        <f t="shared" si="1198"/>
        <v/>
      </c>
      <c r="AU415" s="618" t="str">
        <f t="shared" si="1198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9">IF(BD413="","",BD413*BD414)</f>
        <v/>
      </c>
      <c r="BE415" s="618" t="str">
        <f t="shared" si="1199"/>
        <v/>
      </c>
      <c r="BF415" s="618" t="str">
        <f t="shared" si="1199"/>
        <v/>
      </c>
      <c r="BG415" s="618" t="str">
        <f t="shared" si="1199"/>
        <v/>
      </c>
      <c r="BH415" s="618" t="str">
        <f t="shared" si="1199"/>
        <v/>
      </c>
      <c r="BI415" s="618" t="str">
        <f t="shared" si="1199"/>
        <v/>
      </c>
      <c r="BJ415" s="618" t="str">
        <f t="shared" si="1199"/>
        <v/>
      </c>
      <c r="BK415" s="618" t="str">
        <f t="shared" si="1199"/>
        <v/>
      </c>
      <c r="BL415" s="618" t="str">
        <f t="shared" si="1199"/>
        <v/>
      </c>
      <c r="BM415" s="618" t="str">
        <f t="shared" si="1199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5"/>
        <v/>
      </c>
      <c r="CA415" s="586" t="str">
        <f t="shared" si="1126"/>
        <v/>
      </c>
      <c r="CB415" s="586" t="str">
        <f t="shared" si="1127"/>
        <v/>
      </c>
      <c r="CC415" s="676" t="str">
        <f t="shared" si="1128"/>
        <v/>
      </c>
      <c r="CD415" s="1316" t="str">
        <f t="shared" si="1163"/>
        <v/>
      </c>
      <c r="CE415" s="1317" t="str">
        <f t="shared" si="1191"/>
        <v/>
      </c>
      <c r="CF415" s="1317" t="str">
        <f t="shared" si="1191"/>
        <v/>
      </c>
      <c r="CG415" s="1317" t="str">
        <f t="shared" si="1191"/>
        <v/>
      </c>
      <c r="CH415" s="1318" t="str">
        <f t="shared" si="1191"/>
        <v/>
      </c>
      <c r="CI415" s="1318" t="str">
        <f t="shared" si="1191"/>
        <v/>
      </c>
      <c r="CJ415" s="1317" t="str">
        <f t="shared" si="1191"/>
        <v/>
      </c>
      <c r="CK415" s="1317" t="str">
        <f t="shared" si="1191"/>
        <v/>
      </c>
      <c r="CL415" s="1317" t="str">
        <f t="shared" si="1191"/>
        <v/>
      </c>
      <c r="CM415" s="1316" t="str">
        <f t="shared" si="1191"/>
        <v/>
      </c>
      <c r="CN415" s="538" t="str">
        <f t="shared" si="1130"/>
        <v/>
      </c>
      <c r="CO415" s="539" t="str">
        <f t="shared" si="1131"/>
        <v/>
      </c>
      <c r="CP415" s="539" t="str">
        <f t="shared" si="1132"/>
        <v/>
      </c>
      <c r="CQ415" s="539" t="str">
        <f t="shared" si="1133"/>
        <v/>
      </c>
      <c r="CR415" s="539" t="str">
        <f t="shared" si="1134"/>
        <v/>
      </c>
      <c r="CS415" s="539" t="str">
        <f t="shared" si="1135"/>
        <v/>
      </c>
      <c r="CT415" s="540" t="str">
        <f t="shared" si="1136"/>
        <v/>
      </c>
      <c r="CU415" s="540" t="str">
        <f t="shared" si="1137"/>
        <v/>
      </c>
      <c r="CV415" s="540" t="str">
        <f t="shared" si="1138"/>
        <v/>
      </c>
      <c r="CW415" s="539" t="str">
        <f t="shared" si="1139"/>
        <v/>
      </c>
      <c r="CX415" s="539" t="str">
        <f t="shared" si="1140"/>
        <v/>
      </c>
      <c r="CY415" s="539" t="str">
        <f t="shared" si="1141"/>
        <v/>
      </c>
      <c r="CZ415" s="539" t="str">
        <f t="shared" si="1142"/>
        <v/>
      </c>
      <c r="DA415" s="539" t="str">
        <f t="shared" si="1143"/>
        <v/>
      </c>
      <c r="DB415" s="538" t="str">
        <f t="shared" si="1144"/>
        <v/>
      </c>
      <c r="DC415" s="537" t="str">
        <f t="shared" si="1145"/>
        <v/>
      </c>
      <c r="DD415" s="641">
        <f t="shared" si="1146"/>
        <v>0</v>
      </c>
      <c r="DE415" s="95">
        <f t="shared" si="1147"/>
        <v>0</v>
      </c>
      <c r="DF415" s="95">
        <f t="shared" si="1148"/>
        <v>0</v>
      </c>
      <c r="DG415" s="95">
        <f t="shared" si="1149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274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5"/>
        <v/>
      </c>
      <c r="CA416" s="586" t="str">
        <f t="shared" si="1126"/>
        <v/>
      </c>
      <c r="CB416" s="586" t="str">
        <f t="shared" si="1127"/>
        <v/>
      </c>
      <c r="CC416" s="676" t="str">
        <f t="shared" si="1128"/>
        <v/>
      </c>
      <c r="CD416" s="1316" t="str">
        <f t="shared" si="1163"/>
        <v/>
      </c>
      <c r="CE416" s="1317" t="str">
        <f t="shared" si="1191"/>
        <v/>
      </c>
      <c r="CF416" s="1317" t="str">
        <f t="shared" si="1191"/>
        <v/>
      </c>
      <c r="CG416" s="1317" t="str">
        <f t="shared" si="1191"/>
        <v/>
      </c>
      <c r="CH416" s="1318" t="str">
        <f t="shared" si="1191"/>
        <v/>
      </c>
      <c r="CI416" s="1318" t="str">
        <f t="shared" si="1191"/>
        <v/>
      </c>
      <c r="CJ416" s="1317" t="str">
        <f t="shared" si="1191"/>
        <v/>
      </c>
      <c r="CK416" s="1317" t="str">
        <f t="shared" si="1191"/>
        <v/>
      </c>
      <c r="CL416" s="1317" t="str">
        <f t="shared" si="1191"/>
        <v/>
      </c>
      <c r="CM416" s="1316" t="str">
        <f t="shared" si="1191"/>
        <v/>
      </c>
      <c r="CN416" s="538" t="str">
        <f t="shared" si="1130"/>
        <v/>
      </c>
      <c r="CO416" s="539" t="str">
        <f t="shared" si="1131"/>
        <v/>
      </c>
      <c r="CP416" s="539" t="str">
        <f t="shared" si="1132"/>
        <v/>
      </c>
      <c r="CQ416" s="539" t="str">
        <f t="shared" si="1133"/>
        <v/>
      </c>
      <c r="CR416" s="539" t="str">
        <f t="shared" si="1134"/>
        <v/>
      </c>
      <c r="CS416" s="539" t="str">
        <f t="shared" si="1135"/>
        <v/>
      </c>
      <c r="CT416" s="540" t="str">
        <f t="shared" si="1136"/>
        <v/>
      </c>
      <c r="CU416" s="540" t="str">
        <f t="shared" si="1137"/>
        <v/>
      </c>
      <c r="CV416" s="540" t="str">
        <f t="shared" si="1138"/>
        <v/>
      </c>
      <c r="CW416" s="539" t="str">
        <f t="shared" si="1139"/>
        <v/>
      </c>
      <c r="CX416" s="539" t="str">
        <f t="shared" si="1140"/>
        <v/>
      </c>
      <c r="CY416" s="539" t="str">
        <f t="shared" si="1141"/>
        <v/>
      </c>
      <c r="CZ416" s="539" t="str">
        <f t="shared" si="1142"/>
        <v/>
      </c>
      <c r="DA416" s="539" t="str">
        <f t="shared" si="1143"/>
        <v/>
      </c>
      <c r="DB416" s="538" t="str">
        <f t="shared" si="1144"/>
        <v/>
      </c>
      <c r="DC416" s="537" t="str">
        <f t="shared" si="1145"/>
        <v/>
      </c>
      <c r="DD416" s="641">
        <f t="shared" si="1146"/>
        <v>0</v>
      </c>
      <c r="DE416" s="95">
        <f t="shared" si="1147"/>
        <v>0</v>
      </c>
      <c r="DF416" s="95">
        <f t="shared" si="1148"/>
        <v>0</v>
      </c>
      <c r="DG416" s="95">
        <f t="shared" si="1149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5"/>
        <v/>
      </c>
      <c r="CA417" s="586" t="str">
        <f t="shared" si="1126"/>
        <v/>
      </c>
      <c r="CB417" s="586" t="str">
        <f t="shared" si="1127"/>
        <v/>
      </c>
      <c r="CC417" s="676" t="str">
        <f t="shared" si="1128"/>
        <v/>
      </c>
      <c r="CD417" s="1316" t="str">
        <f t="shared" si="1163"/>
        <v/>
      </c>
      <c r="CE417" s="1317" t="str">
        <f t="shared" si="1191"/>
        <v/>
      </c>
      <c r="CF417" s="1317" t="str">
        <f t="shared" si="1191"/>
        <v/>
      </c>
      <c r="CG417" s="1317" t="str">
        <f t="shared" si="1191"/>
        <v/>
      </c>
      <c r="CH417" s="1318" t="str">
        <f t="shared" si="1191"/>
        <v/>
      </c>
      <c r="CI417" s="1318" t="str">
        <f t="shared" si="1191"/>
        <v/>
      </c>
      <c r="CJ417" s="1317" t="str">
        <f t="shared" si="1191"/>
        <v/>
      </c>
      <c r="CK417" s="1317" t="str">
        <f t="shared" si="1191"/>
        <v/>
      </c>
      <c r="CL417" s="1317" t="str">
        <f t="shared" si="1191"/>
        <v/>
      </c>
      <c r="CM417" s="1316" t="str">
        <f t="shared" si="1191"/>
        <v/>
      </c>
      <c r="CN417" s="538" t="str">
        <f t="shared" si="1130"/>
        <v/>
      </c>
      <c r="CO417" s="539" t="str">
        <f t="shared" si="1131"/>
        <v/>
      </c>
      <c r="CP417" s="539" t="str">
        <f t="shared" si="1132"/>
        <v/>
      </c>
      <c r="CQ417" s="539" t="str">
        <f t="shared" si="1133"/>
        <v/>
      </c>
      <c r="CR417" s="539" t="str">
        <f t="shared" si="1134"/>
        <v/>
      </c>
      <c r="CS417" s="539" t="str">
        <f t="shared" si="1135"/>
        <v/>
      </c>
      <c r="CT417" s="540" t="str">
        <f t="shared" si="1136"/>
        <v/>
      </c>
      <c r="CU417" s="540" t="str">
        <f t="shared" si="1137"/>
        <v/>
      </c>
      <c r="CV417" s="540" t="str">
        <f t="shared" si="1138"/>
        <v/>
      </c>
      <c r="CW417" s="539" t="str">
        <f t="shared" si="1139"/>
        <v/>
      </c>
      <c r="CX417" s="539" t="str">
        <f t="shared" si="1140"/>
        <v/>
      </c>
      <c r="CY417" s="539" t="str">
        <f t="shared" si="1141"/>
        <v/>
      </c>
      <c r="CZ417" s="539" t="str">
        <f t="shared" si="1142"/>
        <v/>
      </c>
      <c r="DA417" s="539" t="str">
        <f t="shared" si="1143"/>
        <v/>
      </c>
      <c r="DB417" s="538" t="str">
        <f t="shared" si="1144"/>
        <v/>
      </c>
      <c r="DC417" s="537" t="str">
        <f t="shared" si="1145"/>
        <v/>
      </c>
      <c r="DD417" s="641">
        <f t="shared" si="1146"/>
        <v>0</v>
      </c>
      <c r="DE417" s="95">
        <f t="shared" si="1147"/>
        <v>0</v>
      </c>
      <c r="DF417" s="95">
        <f t="shared" si="1148"/>
        <v>0</v>
      </c>
      <c r="DG417" s="95">
        <f t="shared" si="1149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183</v>
      </c>
      <c r="B418" s="618" t="str">
        <f t="shared" ref="B418:K418" si="1200">IF(B416="","",B416*B417)</f>
        <v/>
      </c>
      <c r="C418" s="618" t="str">
        <f t="shared" si="1200"/>
        <v/>
      </c>
      <c r="D418" s="618" t="str">
        <f t="shared" si="1200"/>
        <v/>
      </c>
      <c r="E418" s="618" t="str">
        <f t="shared" si="1200"/>
        <v/>
      </c>
      <c r="F418" s="618" t="str">
        <f t="shared" si="1200"/>
        <v/>
      </c>
      <c r="G418" s="618" t="str">
        <f t="shared" si="1200"/>
        <v/>
      </c>
      <c r="H418" s="618" t="str">
        <f t="shared" si="1200"/>
        <v/>
      </c>
      <c r="I418" s="618" t="str">
        <f t="shared" si="1200"/>
        <v/>
      </c>
      <c r="J418" s="618" t="str">
        <f t="shared" si="1200"/>
        <v/>
      </c>
      <c r="K418" s="618" t="str">
        <f t="shared" si="1200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201">IF(T416="","",T416*T417)</f>
        <v/>
      </c>
      <c r="U418" s="618" t="str">
        <f t="shared" si="1201"/>
        <v/>
      </c>
      <c r="V418" s="618" t="str">
        <f t="shared" si="1201"/>
        <v/>
      </c>
      <c r="W418" s="618" t="str">
        <f t="shared" si="1201"/>
        <v/>
      </c>
      <c r="X418" s="618" t="str">
        <f t="shared" si="1201"/>
        <v/>
      </c>
      <c r="Y418" s="618" t="str">
        <f t="shared" si="1201"/>
        <v/>
      </c>
      <c r="Z418" s="618" t="str">
        <f t="shared" si="1201"/>
        <v/>
      </c>
      <c r="AA418" s="618" t="str">
        <f t="shared" si="1201"/>
        <v/>
      </c>
      <c r="AB418" s="618" t="str">
        <f t="shared" si="1201"/>
        <v/>
      </c>
      <c r="AC418" s="618" t="str">
        <f t="shared" si="1201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2">IF(AL416="","",AL416*AL417)</f>
        <v/>
      </c>
      <c r="AM418" s="618" t="str">
        <f t="shared" si="1202"/>
        <v/>
      </c>
      <c r="AN418" s="618" t="str">
        <f t="shared" si="1202"/>
        <v/>
      </c>
      <c r="AO418" s="618" t="str">
        <f t="shared" si="1202"/>
        <v/>
      </c>
      <c r="AP418" s="618" t="str">
        <f t="shared" si="1202"/>
        <v/>
      </c>
      <c r="AQ418" s="618" t="str">
        <f t="shared" si="1202"/>
        <v/>
      </c>
      <c r="AR418" s="618" t="str">
        <f t="shared" si="1202"/>
        <v/>
      </c>
      <c r="AS418" s="618" t="str">
        <f t="shared" si="1202"/>
        <v/>
      </c>
      <c r="AT418" s="618" t="str">
        <f t="shared" si="1202"/>
        <v/>
      </c>
      <c r="AU418" s="618" t="str">
        <f t="shared" si="1202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3">IF(BD416="","",BD416*BD417)</f>
        <v/>
      </c>
      <c r="BE418" s="618" t="str">
        <f t="shared" si="1203"/>
        <v/>
      </c>
      <c r="BF418" s="618" t="str">
        <f t="shared" si="1203"/>
        <v/>
      </c>
      <c r="BG418" s="618" t="str">
        <f t="shared" si="1203"/>
        <v/>
      </c>
      <c r="BH418" s="618" t="str">
        <f t="shared" si="1203"/>
        <v/>
      </c>
      <c r="BI418" s="618" t="str">
        <f t="shared" si="1203"/>
        <v/>
      </c>
      <c r="BJ418" s="618" t="str">
        <f t="shared" si="1203"/>
        <v/>
      </c>
      <c r="BK418" s="618" t="str">
        <f t="shared" si="1203"/>
        <v/>
      </c>
      <c r="BL418" s="618" t="str">
        <f t="shared" si="1203"/>
        <v/>
      </c>
      <c r="BM418" s="618" t="str">
        <f t="shared" si="1203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5"/>
        <v/>
      </c>
      <c r="CA418" s="586" t="str">
        <f t="shared" si="1126"/>
        <v/>
      </c>
      <c r="CB418" s="586" t="str">
        <f t="shared" si="1127"/>
        <v/>
      </c>
      <c r="CC418" s="676" t="str">
        <f t="shared" si="1128"/>
        <v/>
      </c>
      <c r="CD418" s="1316" t="str">
        <f t="shared" si="1163"/>
        <v/>
      </c>
      <c r="CE418" s="1317" t="str">
        <f t="shared" si="1191"/>
        <v/>
      </c>
      <c r="CF418" s="1317" t="str">
        <f t="shared" si="1191"/>
        <v/>
      </c>
      <c r="CG418" s="1317" t="str">
        <f t="shared" si="1191"/>
        <v/>
      </c>
      <c r="CH418" s="1318" t="str">
        <f t="shared" si="1191"/>
        <v/>
      </c>
      <c r="CI418" s="1318" t="str">
        <f t="shared" si="1191"/>
        <v/>
      </c>
      <c r="CJ418" s="1317" t="str">
        <f t="shared" si="1191"/>
        <v/>
      </c>
      <c r="CK418" s="1317" t="str">
        <f t="shared" si="1191"/>
        <v/>
      </c>
      <c r="CL418" s="1317" t="str">
        <f t="shared" si="1191"/>
        <v/>
      </c>
      <c r="CM418" s="1316" t="str">
        <f t="shared" si="1191"/>
        <v/>
      </c>
      <c r="CN418" s="538" t="str">
        <f t="shared" si="1130"/>
        <v/>
      </c>
      <c r="CO418" s="539" t="str">
        <f t="shared" si="1131"/>
        <v/>
      </c>
      <c r="CP418" s="539" t="str">
        <f t="shared" si="1132"/>
        <v/>
      </c>
      <c r="CQ418" s="539" t="str">
        <f t="shared" si="1133"/>
        <v/>
      </c>
      <c r="CR418" s="539" t="str">
        <f t="shared" si="1134"/>
        <v/>
      </c>
      <c r="CS418" s="539" t="str">
        <f t="shared" si="1135"/>
        <v/>
      </c>
      <c r="CT418" s="540" t="str">
        <f t="shared" si="1136"/>
        <v/>
      </c>
      <c r="CU418" s="540" t="str">
        <f t="shared" si="1137"/>
        <v/>
      </c>
      <c r="CV418" s="540" t="str">
        <f t="shared" si="1138"/>
        <v/>
      </c>
      <c r="CW418" s="539" t="str">
        <f t="shared" si="1139"/>
        <v/>
      </c>
      <c r="CX418" s="539" t="str">
        <f t="shared" si="1140"/>
        <v/>
      </c>
      <c r="CY418" s="539" t="str">
        <f t="shared" si="1141"/>
        <v/>
      </c>
      <c r="CZ418" s="539" t="str">
        <f t="shared" si="1142"/>
        <v/>
      </c>
      <c r="DA418" s="539" t="str">
        <f t="shared" si="1143"/>
        <v/>
      </c>
      <c r="DB418" s="538" t="str">
        <f t="shared" si="1144"/>
        <v/>
      </c>
      <c r="DC418" s="537" t="str">
        <f t="shared" si="1145"/>
        <v/>
      </c>
      <c r="DD418" s="641">
        <f t="shared" si="1146"/>
        <v>0</v>
      </c>
      <c r="DE418" s="95">
        <f t="shared" si="1147"/>
        <v>0</v>
      </c>
      <c r="DF418" s="95">
        <f t="shared" si="1148"/>
        <v>0</v>
      </c>
      <c r="DG418" s="95">
        <f t="shared" si="1149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934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38"/>
      <c r="CE419" s="1338"/>
      <c r="CF419" s="1338"/>
      <c r="CG419" s="1338"/>
      <c r="CH419" s="1338"/>
      <c r="CI419" s="1338"/>
      <c r="CJ419" s="1338"/>
      <c r="CK419" s="1338"/>
      <c r="CL419" s="1338"/>
      <c r="CM419" s="1338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276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16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7" t="str">
        <f t="shared" si="1204"/>
        <v/>
      </c>
      <c r="CF420" s="1317" t="str">
        <f t="shared" si="1204"/>
        <v/>
      </c>
      <c r="CG420" s="1317" t="str">
        <f t="shared" si="1204"/>
        <v/>
      </c>
      <c r="CH420" s="1318" t="str">
        <f t="shared" si="1204"/>
        <v/>
      </c>
      <c r="CI420" s="1318" t="str">
        <f t="shared" si="1204"/>
        <v/>
      </c>
      <c r="CJ420" s="1317" t="str">
        <f t="shared" si="1204"/>
        <v/>
      </c>
      <c r="CK420" s="1317" t="str">
        <f t="shared" si="1204"/>
        <v/>
      </c>
      <c r="CL420" s="1317" t="str">
        <f t="shared" si="1204"/>
        <v/>
      </c>
      <c r="CM420" s="1316" t="str">
        <f t="shared" si="1204"/>
        <v/>
      </c>
      <c r="CN420" s="538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5"/>
        <v/>
      </c>
      <c r="CP420" s="539" t="str">
        <f t="shared" si="1205"/>
        <v/>
      </c>
      <c r="CQ420" s="539" t="str">
        <f t="shared" si="1205"/>
        <v/>
      </c>
      <c r="CR420" s="539" t="str">
        <f t="shared" si="1205"/>
        <v/>
      </c>
      <c r="CS420" s="539" t="str">
        <f t="shared" si="1205"/>
        <v/>
      </c>
      <c r="CT420" s="540" t="str">
        <f t="shared" si="1205"/>
        <v/>
      </c>
      <c r="CU420" s="540">
        <f t="shared" si="1205"/>
        <v>30</v>
      </c>
      <c r="CV420" s="540" t="str">
        <f t="shared" si="1205"/>
        <v/>
      </c>
      <c r="CW420" s="539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6"/>
        <v/>
      </c>
      <c r="CY420" s="539" t="str">
        <f t="shared" si="1206"/>
        <v/>
      </c>
      <c r="CZ420" s="539" t="str">
        <f t="shared" si="1206"/>
        <v/>
      </c>
      <c r="DA420" s="539" t="str">
        <f t="shared" si="1206"/>
        <v/>
      </c>
      <c r="DB420" s="538" t="str">
        <f t="shared" si="1206"/>
        <v/>
      </c>
      <c r="DC420" s="537" t="str">
        <f t="shared" si="1206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181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1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7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7" t="str">
        <f t="shared" si="1207"/>
        <v/>
      </c>
      <c r="CG421" s="1317" t="str">
        <f t="shared" si="1207"/>
        <v/>
      </c>
      <c r="CH421" s="1318" t="str">
        <f t="shared" si="1207"/>
        <v/>
      </c>
      <c r="CI421" s="1318" t="str">
        <f t="shared" si="1207"/>
        <v/>
      </c>
      <c r="CJ421" s="1317" t="str">
        <f t="shared" si="1207"/>
        <v/>
      </c>
      <c r="CK421" s="1317" t="str">
        <f t="shared" si="1207"/>
        <v/>
      </c>
      <c r="CL421" s="1317" t="str">
        <f t="shared" si="1207"/>
        <v/>
      </c>
      <c r="CM421" s="1316" t="str">
        <f t="shared" si="1207"/>
        <v/>
      </c>
      <c r="CN421" s="538" t="str">
        <f t="shared" si="1205"/>
        <v/>
      </c>
      <c r="CO421" s="539" t="str">
        <f t="shared" si="1205"/>
        <v/>
      </c>
      <c r="CP421" s="539" t="str">
        <f t="shared" si="1205"/>
        <v/>
      </c>
      <c r="CQ421" s="539" t="str">
        <f t="shared" si="1205"/>
        <v/>
      </c>
      <c r="CR421" s="539" t="str">
        <f t="shared" si="1205"/>
        <v/>
      </c>
      <c r="CS421" s="539" t="str">
        <f t="shared" si="1205"/>
        <v/>
      </c>
      <c r="CT421" s="540" t="str">
        <f t="shared" si="1205"/>
        <v/>
      </c>
      <c r="CU421" s="540">
        <f t="shared" si="1205"/>
        <v>5</v>
      </c>
      <c r="CV421" s="540" t="str">
        <f t="shared" si="1205"/>
        <v/>
      </c>
      <c r="CW421" s="539" t="str">
        <f t="shared" si="1206"/>
        <v/>
      </c>
      <c r="CX421" s="539" t="str">
        <f t="shared" si="1206"/>
        <v/>
      </c>
      <c r="CY421" s="539" t="str">
        <f t="shared" si="1206"/>
        <v/>
      </c>
      <c r="CZ421" s="539" t="str">
        <f t="shared" si="1206"/>
        <v/>
      </c>
      <c r="DA421" s="539" t="str">
        <f t="shared" si="1206"/>
        <v/>
      </c>
      <c r="DB421" s="538" t="str">
        <f t="shared" si="1206"/>
        <v/>
      </c>
      <c r="DC421" s="537" t="str">
        <f t="shared" si="1206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183</v>
      </c>
      <c r="B422" s="618" t="str">
        <f t="shared" ref="B422:K422" si="1208">IF(B420="","",B420*B421)</f>
        <v/>
      </c>
      <c r="C422" s="618" t="str">
        <f t="shared" si="1208"/>
        <v/>
      </c>
      <c r="D422" s="618" t="str">
        <f t="shared" si="1208"/>
        <v/>
      </c>
      <c r="E422" s="618" t="str">
        <f t="shared" si="1208"/>
        <v/>
      </c>
      <c r="F422" s="618" t="str">
        <f t="shared" si="1208"/>
        <v/>
      </c>
      <c r="G422" s="618" t="str">
        <f t="shared" si="1208"/>
        <v/>
      </c>
      <c r="H422" s="618" t="str">
        <f t="shared" si="1208"/>
        <v/>
      </c>
      <c r="I422" s="618" t="str">
        <f t="shared" si="1208"/>
        <v/>
      </c>
      <c r="J422" s="618" t="str">
        <f t="shared" si="1208"/>
        <v/>
      </c>
      <c r="K422" s="618" t="str">
        <f t="shared" si="1208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9">IF(T420="","",T420*T421)</f>
        <v/>
      </c>
      <c r="U422" s="618" t="str">
        <f t="shared" si="1209"/>
        <v/>
      </c>
      <c r="V422" s="618" t="str">
        <f t="shared" si="1209"/>
        <v/>
      </c>
      <c r="W422" s="618" t="str">
        <f t="shared" si="1209"/>
        <v/>
      </c>
      <c r="X422" s="618" t="str">
        <f t="shared" si="1209"/>
        <v/>
      </c>
      <c r="Y422" s="618" t="str">
        <f t="shared" si="1209"/>
        <v/>
      </c>
      <c r="Z422" s="618">
        <f t="shared" si="1209"/>
        <v>50.150000000000006</v>
      </c>
      <c r="AA422" s="618" t="str">
        <f t="shared" si="1209"/>
        <v/>
      </c>
      <c r="AB422" s="618" t="str">
        <f t="shared" si="1209"/>
        <v/>
      </c>
      <c r="AC422" s="618" t="str">
        <f t="shared" si="1209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10">IF(AL420="","",AL420*AL421)</f>
        <v/>
      </c>
      <c r="AM422" s="618" t="str">
        <f t="shared" si="1210"/>
        <v/>
      </c>
      <c r="AN422" s="618" t="str">
        <f t="shared" si="1210"/>
        <v/>
      </c>
      <c r="AO422" s="618" t="str">
        <f t="shared" si="1210"/>
        <v/>
      </c>
      <c r="AP422" s="618" t="str">
        <f t="shared" si="1210"/>
        <v/>
      </c>
      <c r="AQ422" s="618" t="str">
        <f t="shared" si="1210"/>
        <v/>
      </c>
      <c r="AR422" s="618" t="str">
        <f t="shared" si="1210"/>
        <v/>
      </c>
      <c r="AS422" s="618" t="str">
        <f t="shared" si="1210"/>
        <v/>
      </c>
      <c r="AT422" s="618" t="str">
        <f t="shared" si="1210"/>
        <v/>
      </c>
      <c r="AU422" s="618" t="str">
        <f t="shared" si="1210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11">IF(BD420="","",BD420*BD421)</f>
        <v/>
      </c>
      <c r="BE422" s="618" t="str">
        <f t="shared" si="1211"/>
        <v/>
      </c>
      <c r="BF422" s="618">
        <f t="shared" si="1211"/>
        <v>150</v>
      </c>
      <c r="BG422" s="618" t="str">
        <f t="shared" si="1211"/>
        <v/>
      </c>
      <c r="BH422" s="618" t="str">
        <f t="shared" si="1211"/>
        <v/>
      </c>
      <c r="BI422" s="618" t="str">
        <f t="shared" si="1211"/>
        <v/>
      </c>
      <c r="BJ422" s="618" t="str">
        <f t="shared" si="1211"/>
        <v/>
      </c>
      <c r="BK422" s="618" t="str">
        <f t="shared" si="1211"/>
        <v/>
      </c>
      <c r="BL422" s="618" t="str">
        <f t="shared" si="1211"/>
        <v/>
      </c>
      <c r="BM422" s="618" t="str">
        <f t="shared" si="1211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1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7" t="str">
        <f t="shared" si="1207"/>
        <v/>
      </c>
      <c r="CF422" s="1317" t="str">
        <f t="shared" si="1207"/>
        <v/>
      </c>
      <c r="CG422" s="1317" t="str">
        <f t="shared" si="1207"/>
        <v/>
      </c>
      <c r="CH422" s="1318" t="str">
        <f t="shared" si="1207"/>
        <v/>
      </c>
      <c r="CI422" s="1318" t="str">
        <f t="shared" si="1207"/>
        <v/>
      </c>
      <c r="CJ422" s="1317" t="str">
        <f t="shared" si="1207"/>
        <v/>
      </c>
      <c r="CK422" s="1317" t="str">
        <f t="shared" si="1207"/>
        <v/>
      </c>
      <c r="CL422" s="1317" t="str">
        <f t="shared" si="1207"/>
        <v/>
      </c>
      <c r="CM422" s="1316" t="str">
        <f t="shared" si="1207"/>
        <v/>
      </c>
      <c r="CN422" s="538" t="str">
        <f t="shared" si="1205"/>
        <v/>
      </c>
      <c r="CO422" s="539" t="str">
        <f t="shared" si="1205"/>
        <v/>
      </c>
      <c r="CP422" s="539" t="str">
        <f t="shared" si="1205"/>
        <v/>
      </c>
      <c r="CQ422" s="539" t="str">
        <f t="shared" si="1205"/>
        <v/>
      </c>
      <c r="CR422" s="539" t="str">
        <f t="shared" si="1205"/>
        <v/>
      </c>
      <c r="CS422" s="539" t="str">
        <f t="shared" si="1205"/>
        <v/>
      </c>
      <c r="CT422" s="540" t="str">
        <f t="shared" si="1205"/>
        <v/>
      </c>
      <c r="CU422" s="540">
        <f t="shared" si="1205"/>
        <v>150</v>
      </c>
      <c r="CV422" s="540" t="str">
        <f t="shared" si="1205"/>
        <v/>
      </c>
      <c r="CW422" s="539" t="str">
        <f t="shared" si="1206"/>
        <v/>
      </c>
      <c r="CX422" s="539" t="str">
        <f t="shared" si="1206"/>
        <v/>
      </c>
      <c r="CY422" s="539" t="str">
        <f t="shared" si="1206"/>
        <v/>
      </c>
      <c r="CZ422" s="539" t="str">
        <f t="shared" si="1206"/>
        <v/>
      </c>
      <c r="DA422" s="539" t="str">
        <f t="shared" si="1206"/>
        <v/>
      </c>
      <c r="DB422" s="538" t="str">
        <f t="shared" si="1206"/>
        <v/>
      </c>
      <c r="DC422" s="537" t="str">
        <f t="shared" si="1206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275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38"/>
      <c r="CE423" s="1338"/>
      <c r="CF423" s="1338"/>
      <c r="CG423" s="1338"/>
      <c r="CH423" s="1338"/>
      <c r="CI423" s="1338"/>
      <c r="CJ423" s="1338"/>
      <c r="CK423" s="1338"/>
      <c r="CL423" s="1338"/>
      <c r="CM423" s="1338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276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1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7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7" t="str">
        <f t="shared" si="1212"/>
        <v/>
      </c>
      <c r="CG424" s="1317" t="str">
        <f t="shared" si="1212"/>
        <v/>
      </c>
      <c r="CH424" s="1318" t="str">
        <f t="shared" si="1212"/>
        <v/>
      </c>
      <c r="CI424" s="1318" t="str">
        <f t="shared" si="1212"/>
        <v/>
      </c>
      <c r="CJ424" s="1317" t="str">
        <f t="shared" si="1212"/>
        <v/>
      </c>
      <c r="CK424" s="1317" t="str">
        <f t="shared" si="1212"/>
        <v/>
      </c>
      <c r="CL424" s="1317" t="str">
        <f t="shared" si="1212"/>
        <v/>
      </c>
      <c r="CM424" s="1316" t="str">
        <f t="shared" si="1212"/>
        <v/>
      </c>
      <c r="CN424" s="538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3"/>
        <v/>
      </c>
      <c r="CP424" s="539" t="str">
        <f t="shared" si="1213"/>
        <v/>
      </c>
      <c r="CQ424" s="539" t="str">
        <f t="shared" si="1213"/>
        <v/>
      </c>
      <c r="CR424" s="539" t="str">
        <f t="shared" si="1213"/>
        <v/>
      </c>
      <c r="CS424" s="539" t="str">
        <f t="shared" si="1213"/>
        <v/>
      </c>
      <c r="CT424" s="540" t="str">
        <f t="shared" si="1213"/>
        <v/>
      </c>
      <c r="CU424" s="540" t="str">
        <f t="shared" si="1213"/>
        <v/>
      </c>
      <c r="CV424" s="540" t="str">
        <f t="shared" si="1213"/>
        <v/>
      </c>
      <c r="CW424" s="539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4"/>
        <v/>
      </c>
      <c r="CY424" s="539" t="str">
        <f t="shared" si="1214"/>
        <v/>
      </c>
      <c r="CZ424" s="539" t="str">
        <f t="shared" si="1214"/>
        <v/>
      </c>
      <c r="DA424" s="539" t="str">
        <f t="shared" si="1214"/>
        <v/>
      </c>
      <c r="DB424" s="538" t="str">
        <f t="shared" si="1214"/>
        <v/>
      </c>
      <c r="DC424" s="537" t="str">
        <f t="shared" si="1214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181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1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7" t="str">
        <f t="shared" si="1212"/>
        <v/>
      </c>
      <c r="CF425" s="1317" t="str">
        <f t="shared" si="1212"/>
        <v/>
      </c>
      <c r="CG425" s="1317" t="str">
        <f t="shared" si="1212"/>
        <v/>
      </c>
      <c r="CH425" s="1318" t="str">
        <f t="shared" si="1212"/>
        <v/>
      </c>
      <c r="CI425" s="1318" t="str">
        <f t="shared" si="1212"/>
        <v/>
      </c>
      <c r="CJ425" s="1317" t="str">
        <f t="shared" si="1212"/>
        <v/>
      </c>
      <c r="CK425" s="1317" t="str">
        <f t="shared" si="1212"/>
        <v/>
      </c>
      <c r="CL425" s="1317" t="str">
        <f t="shared" si="1212"/>
        <v/>
      </c>
      <c r="CM425" s="1316" t="str">
        <f t="shared" si="1212"/>
        <v/>
      </c>
      <c r="CN425" s="538" t="str">
        <f t="shared" si="1213"/>
        <v/>
      </c>
      <c r="CO425" s="539" t="str">
        <f t="shared" si="1213"/>
        <v/>
      </c>
      <c r="CP425" s="539" t="str">
        <f t="shared" si="1213"/>
        <v/>
      </c>
      <c r="CQ425" s="539" t="str">
        <f t="shared" si="1213"/>
        <v/>
      </c>
      <c r="CR425" s="539" t="str">
        <f t="shared" si="1213"/>
        <v/>
      </c>
      <c r="CS425" s="539" t="str">
        <f t="shared" si="1213"/>
        <v/>
      </c>
      <c r="CT425" s="540" t="str">
        <f t="shared" si="1213"/>
        <v/>
      </c>
      <c r="CU425" s="540" t="str">
        <f t="shared" si="1213"/>
        <v/>
      </c>
      <c r="CV425" s="540" t="str">
        <f t="shared" si="1213"/>
        <v/>
      </c>
      <c r="CW425" s="539" t="str">
        <f t="shared" si="1214"/>
        <v/>
      </c>
      <c r="CX425" s="539" t="str">
        <f t="shared" si="1214"/>
        <v/>
      </c>
      <c r="CY425" s="539" t="str">
        <f t="shared" si="1214"/>
        <v/>
      </c>
      <c r="CZ425" s="539" t="str">
        <f t="shared" si="1214"/>
        <v/>
      </c>
      <c r="DA425" s="539" t="str">
        <f t="shared" si="1214"/>
        <v/>
      </c>
      <c r="DB425" s="538" t="str">
        <f t="shared" si="1214"/>
        <v/>
      </c>
      <c r="DC425" s="537" t="str">
        <f t="shared" si="1214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183</v>
      </c>
      <c r="B426" s="618" t="str">
        <f t="shared" ref="B426:K426" si="1215">IF(B424="","",B424*B425)</f>
        <v/>
      </c>
      <c r="C426" s="618" t="str">
        <f t="shared" si="1215"/>
        <v/>
      </c>
      <c r="D426" s="618" t="str">
        <f t="shared" si="1215"/>
        <v/>
      </c>
      <c r="E426" s="618" t="str">
        <f t="shared" si="1215"/>
        <v/>
      </c>
      <c r="F426" s="618" t="str">
        <f t="shared" si="1215"/>
        <v/>
      </c>
      <c r="G426" s="618" t="str">
        <f t="shared" si="1215"/>
        <v/>
      </c>
      <c r="H426" s="618" t="str">
        <f t="shared" si="1215"/>
        <v/>
      </c>
      <c r="I426" s="618" t="str">
        <f t="shared" si="1215"/>
        <v/>
      </c>
      <c r="J426" s="618" t="str">
        <f t="shared" si="1215"/>
        <v/>
      </c>
      <c r="K426" s="618" t="str">
        <f t="shared" si="1215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6">IF(T424="","",T424*T425)</f>
        <v/>
      </c>
      <c r="U426" s="618" t="str">
        <f t="shared" si="1216"/>
        <v/>
      </c>
      <c r="V426" s="618" t="str">
        <f t="shared" si="1216"/>
        <v/>
      </c>
      <c r="W426" s="618" t="str">
        <f t="shared" si="1216"/>
        <v/>
      </c>
      <c r="X426" s="618" t="str">
        <f t="shared" si="1216"/>
        <v/>
      </c>
      <c r="Y426" s="618" t="str">
        <f t="shared" si="1216"/>
        <v/>
      </c>
      <c r="Z426" s="618" t="str">
        <f t="shared" si="1216"/>
        <v/>
      </c>
      <c r="AA426" s="618" t="str">
        <f t="shared" si="1216"/>
        <v/>
      </c>
      <c r="AB426" s="618" t="str">
        <f t="shared" si="1216"/>
        <v/>
      </c>
      <c r="AC426" s="618" t="str">
        <f t="shared" si="1216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7">IF(AL424="","",AL424*AL425)</f>
        <v/>
      </c>
      <c r="AM426" s="618" t="str">
        <f t="shared" si="1217"/>
        <v/>
      </c>
      <c r="AN426" s="618" t="str">
        <f t="shared" si="1217"/>
        <v/>
      </c>
      <c r="AO426" s="618" t="str">
        <f t="shared" si="1217"/>
        <v/>
      </c>
      <c r="AP426" s="618" t="str">
        <f t="shared" si="1217"/>
        <v/>
      </c>
      <c r="AQ426" s="618" t="str">
        <f t="shared" si="1217"/>
        <v/>
      </c>
      <c r="AR426" s="618" t="str">
        <f t="shared" si="1217"/>
        <v/>
      </c>
      <c r="AS426" s="618" t="str">
        <f t="shared" si="1217"/>
        <v/>
      </c>
      <c r="AT426" s="618" t="str">
        <f t="shared" si="1217"/>
        <v/>
      </c>
      <c r="AU426" s="618" t="str">
        <f t="shared" si="1217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8">IF(BD424="","",BD424*BD425)</f>
        <v/>
      </c>
      <c r="BE426" s="618" t="str">
        <f t="shared" si="1218"/>
        <v/>
      </c>
      <c r="BF426" s="618" t="str">
        <f t="shared" si="1218"/>
        <v/>
      </c>
      <c r="BG426" s="618" t="str">
        <f t="shared" si="1218"/>
        <v/>
      </c>
      <c r="BH426" s="618" t="str">
        <f t="shared" si="1218"/>
        <v/>
      </c>
      <c r="BI426" s="618" t="str">
        <f t="shared" si="1218"/>
        <v/>
      </c>
      <c r="BJ426" s="618" t="str">
        <f t="shared" si="1218"/>
        <v/>
      </c>
      <c r="BK426" s="618" t="str">
        <f t="shared" si="1218"/>
        <v/>
      </c>
      <c r="BL426" s="618" t="str">
        <f t="shared" si="1218"/>
        <v/>
      </c>
      <c r="BM426" s="618" t="str">
        <f t="shared" si="1218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1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7" t="str">
        <f t="shared" si="1212"/>
        <v/>
      </c>
      <c r="CF426" s="1317" t="str">
        <f t="shared" si="1212"/>
        <v/>
      </c>
      <c r="CG426" s="1317" t="str">
        <f t="shared" si="1212"/>
        <v/>
      </c>
      <c r="CH426" s="1318" t="str">
        <f t="shared" si="1212"/>
        <v/>
      </c>
      <c r="CI426" s="1318" t="str">
        <f t="shared" si="1212"/>
        <v/>
      </c>
      <c r="CJ426" s="1317" t="str">
        <f t="shared" si="1212"/>
        <v/>
      </c>
      <c r="CK426" s="1317" t="str">
        <f t="shared" si="1212"/>
        <v/>
      </c>
      <c r="CL426" s="1317" t="str">
        <f t="shared" si="1212"/>
        <v/>
      </c>
      <c r="CM426" s="1316" t="str">
        <f t="shared" si="1212"/>
        <v/>
      </c>
      <c r="CN426" s="538" t="str">
        <f t="shared" si="1213"/>
        <v/>
      </c>
      <c r="CO426" s="539" t="str">
        <f t="shared" si="1213"/>
        <v/>
      </c>
      <c r="CP426" s="539" t="str">
        <f t="shared" si="1213"/>
        <v/>
      </c>
      <c r="CQ426" s="539" t="str">
        <f t="shared" si="1213"/>
        <v/>
      </c>
      <c r="CR426" s="539" t="str">
        <f t="shared" si="1213"/>
        <v/>
      </c>
      <c r="CS426" s="539" t="str">
        <f t="shared" si="1213"/>
        <v/>
      </c>
      <c r="CT426" s="540" t="str">
        <f t="shared" si="1213"/>
        <v/>
      </c>
      <c r="CU426" s="540" t="str">
        <f t="shared" si="1213"/>
        <v/>
      </c>
      <c r="CV426" s="540" t="str">
        <f t="shared" si="1213"/>
        <v/>
      </c>
      <c r="CW426" s="539" t="str">
        <f t="shared" si="1214"/>
        <v/>
      </c>
      <c r="CX426" s="539" t="str">
        <f t="shared" si="1214"/>
        <v/>
      </c>
      <c r="CY426" s="539" t="str">
        <f t="shared" si="1214"/>
        <v/>
      </c>
      <c r="CZ426" s="539" t="str">
        <f t="shared" si="1214"/>
        <v/>
      </c>
      <c r="DA426" s="539" t="str">
        <f t="shared" si="1214"/>
        <v/>
      </c>
      <c r="DB426" s="538" t="str">
        <f t="shared" si="1214"/>
        <v/>
      </c>
      <c r="DC426" s="537" t="str">
        <f t="shared" si="1214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277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28"/>
      <c r="CE427" s="1328"/>
      <c r="CF427" s="1328"/>
      <c r="CG427" s="1328"/>
      <c r="CH427" s="1328"/>
      <c r="CI427" s="1328"/>
      <c r="CJ427" s="1328"/>
      <c r="CK427" s="1328"/>
      <c r="CL427" s="1328"/>
      <c r="CM427" s="1328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278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39"/>
      <c r="CE428" s="1339"/>
      <c r="CF428" s="1339"/>
      <c r="CG428" s="1339"/>
      <c r="CH428" s="1339"/>
      <c r="CI428" s="1339"/>
      <c r="CJ428" s="1339"/>
      <c r="CK428" s="1339"/>
      <c r="CL428" s="1339"/>
      <c r="CM428" s="1339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28"/>
      <c r="CE429" s="1328"/>
      <c r="CF429" s="1328"/>
      <c r="CG429" s="1328"/>
      <c r="CH429" s="1328"/>
      <c r="CI429" s="1328"/>
      <c r="CJ429" s="1328"/>
      <c r="CK429" s="1328"/>
      <c r="CL429" s="1328"/>
      <c r="CM429" s="1328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9">IF(DD430&lt;3,"",(SUM(B430:R430)-MIN(B430:R430)-MAX(B430:R430))/(DD430-2))</f>
        <v/>
      </c>
      <c r="CA430" s="586" t="str">
        <f t="shared" ref="CA430:CA438" si="1220">IF(DE430&lt;3,"",(SUM(T430:AJ430)-MIN(T430:AJ430)-MAX(T430:AJ430))/(DE430-2))</f>
        <v/>
      </c>
      <c r="CB430" s="586" t="str">
        <f t="shared" ref="CB430:CB438" si="1221">IF(DF430&lt;3,"",(SUM(AL430:BB430)-MIN(AL430:BB430)-MAX(AL430:BB430))/(DF430-2))</f>
        <v/>
      </c>
      <c r="CC430" s="676" t="str">
        <f t="shared" ref="CC430:CC438" si="1222">IF(DG430&lt;3,"",(SUM(BD430:BT430)-MIN(BD430:BT430)-MAX(BD430:BT430))/(DG430-2))</f>
        <v/>
      </c>
      <c r="CD430" s="1316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7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7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7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8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8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7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7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7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6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271</v>
      </c>
      <c r="B431" s="618" t="str">
        <f t="shared" ref="B431:K431" si="1249">IF(B428="","",B428*B430)</f>
        <v/>
      </c>
      <c r="C431" s="618" t="str">
        <f t="shared" si="1249"/>
        <v/>
      </c>
      <c r="D431" s="618" t="str">
        <f t="shared" si="1249"/>
        <v/>
      </c>
      <c r="E431" s="618" t="str">
        <f t="shared" si="1249"/>
        <v/>
      </c>
      <c r="F431" s="618" t="str">
        <f t="shared" si="1249"/>
        <v/>
      </c>
      <c r="G431" s="618" t="str">
        <f t="shared" si="1249"/>
        <v/>
      </c>
      <c r="H431" s="618" t="str">
        <f t="shared" si="1249"/>
        <v/>
      </c>
      <c r="I431" s="618" t="str">
        <f t="shared" si="1249"/>
        <v/>
      </c>
      <c r="J431" s="618" t="str">
        <f t="shared" si="1249"/>
        <v/>
      </c>
      <c r="K431" s="618" t="str">
        <f t="shared" si="1249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50">IF(T428="","",T428*T430)</f>
        <v/>
      </c>
      <c r="U431" s="618" t="str">
        <f t="shared" si="1250"/>
        <v/>
      </c>
      <c r="V431" s="618" t="str">
        <f t="shared" si="1250"/>
        <v/>
      </c>
      <c r="W431" s="618" t="str">
        <f t="shared" si="1250"/>
        <v/>
      </c>
      <c r="X431" s="618" t="str">
        <f t="shared" si="1250"/>
        <v/>
      </c>
      <c r="Y431" s="618" t="str">
        <f t="shared" si="1250"/>
        <v/>
      </c>
      <c r="Z431" s="618" t="str">
        <f t="shared" si="1250"/>
        <v/>
      </c>
      <c r="AA431" s="618" t="str">
        <f t="shared" si="1250"/>
        <v/>
      </c>
      <c r="AB431" s="618" t="str">
        <f t="shared" si="1250"/>
        <v/>
      </c>
      <c r="AC431" s="618" t="str">
        <f t="shared" si="1250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51">IF(AL428="","",AL428*AL430)</f>
        <v/>
      </c>
      <c r="AM431" s="618" t="str">
        <f t="shared" si="1251"/>
        <v/>
      </c>
      <c r="AN431" s="618" t="str">
        <f t="shared" si="1251"/>
        <v/>
      </c>
      <c r="AO431" s="618" t="str">
        <f t="shared" si="1251"/>
        <v/>
      </c>
      <c r="AP431" s="618" t="str">
        <f t="shared" si="1251"/>
        <v/>
      </c>
      <c r="AQ431" s="618" t="str">
        <f t="shared" si="1251"/>
        <v/>
      </c>
      <c r="AR431" s="618" t="str">
        <f t="shared" si="1251"/>
        <v/>
      </c>
      <c r="AS431" s="618" t="str">
        <f t="shared" si="1251"/>
        <v/>
      </c>
      <c r="AT431" s="618" t="str">
        <f t="shared" si="1251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9"/>
        <v/>
      </c>
      <c r="CA431" s="586" t="str">
        <f t="shared" si="1220"/>
        <v/>
      </c>
      <c r="CB431" s="586" t="str">
        <f t="shared" si="1221"/>
        <v/>
      </c>
      <c r="CC431" s="676" t="str">
        <f t="shared" si="1222"/>
        <v/>
      </c>
      <c r="CD431" s="1316" t="str">
        <f t="shared" si="1223"/>
        <v/>
      </c>
      <c r="CE431" s="1317" t="str">
        <f t="shared" si="1224"/>
        <v/>
      </c>
      <c r="CF431" s="1317" t="str">
        <f t="shared" si="1225"/>
        <v/>
      </c>
      <c r="CG431" s="1317" t="str">
        <f t="shared" si="1226"/>
        <v/>
      </c>
      <c r="CH431" s="1318" t="str">
        <f t="shared" si="1227"/>
        <v/>
      </c>
      <c r="CI431" s="1318" t="str">
        <f t="shared" si="1228"/>
        <v/>
      </c>
      <c r="CJ431" s="1317" t="str">
        <f t="shared" si="1229"/>
        <v/>
      </c>
      <c r="CK431" s="1317" t="str">
        <f t="shared" si="1230"/>
        <v/>
      </c>
      <c r="CL431" s="1317" t="str">
        <f t="shared" si="1231"/>
        <v/>
      </c>
      <c r="CM431" s="1316" t="str">
        <f t="shared" si="1232"/>
        <v/>
      </c>
      <c r="CN431" s="538" t="str">
        <f t="shared" si="1233"/>
        <v/>
      </c>
      <c r="CO431" s="539" t="str">
        <f t="shared" si="1234"/>
        <v/>
      </c>
      <c r="CP431" s="539" t="str">
        <f t="shared" si="1235"/>
        <v/>
      </c>
      <c r="CQ431" s="539" t="str">
        <f t="shared" si="1236"/>
        <v/>
      </c>
      <c r="CR431" s="539" t="str">
        <f t="shared" si="1237"/>
        <v/>
      </c>
      <c r="CS431" s="539" t="str">
        <f t="shared" si="1238"/>
        <v/>
      </c>
      <c r="CT431" s="540" t="str">
        <f t="shared" si="1239"/>
        <v/>
      </c>
      <c r="CU431" s="540" t="str">
        <f t="shared" si="1240"/>
        <v/>
      </c>
      <c r="CV431" s="540" t="str">
        <f t="shared" si="1241"/>
        <v/>
      </c>
      <c r="CW431" s="539" t="str">
        <f t="shared" si="1242"/>
        <v/>
      </c>
      <c r="CX431" s="539" t="str">
        <f t="shared" si="1243"/>
        <v/>
      </c>
      <c r="CY431" s="539" t="str">
        <f t="shared" si="1244"/>
        <v/>
      </c>
      <c r="CZ431" s="539" t="str">
        <f t="shared" si="1245"/>
        <v/>
      </c>
      <c r="DA431" s="539" t="str">
        <f t="shared" si="1246"/>
        <v/>
      </c>
      <c r="DB431" s="538" t="str">
        <f t="shared" si="1247"/>
        <v/>
      </c>
      <c r="DC431" s="537" t="str">
        <f t="shared" si="1248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260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9"/>
        <v/>
      </c>
      <c r="CA432" s="586" t="str">
        <f t="shared" si="1220"/>
        <v/>
      </c>
      <c r="CB432" s="586" t="str">
        <f t="shared" si="1221"/>
        <v/>
      </c>
      <c r="CC432" s="676" t="str">
        <f t="shared" si="1222"/>
        <v/>
      </c>
      <c r="CD432" s="1316" t="str">
        <f t="shared" si="1223"/>
        <v/>
      </c>
      <c r="CE432" s="1317" t="str">
        <f t="shared" si="1224"/>
        <v/>
      </c>
      <c r="CF432" s="1317" t="str">
        <f t="shared" si="1225"/>
        <v/>
      </c>
      <c r="CG432" s="1317" t="str">
        <f t="shared" si="1226"/>
        <v/>
      </c>
      <c r="CH432" s="1318" t="str">
        <f t="shared" si="1227"/>
        <v/>
      </c>
      <c r="CI432" s="1318" t="str">
        <f t="shared" si="1228"/>
        <v/>
      </c>
      <c r="CJ432" s="1317" t="str">
        <f t="shared" si="1229"/>
        <v/>
      </c>
      <c r="CK432" s="1317" t="str">
        <f t="shared" si="1230"/>
        <v/>
      </c>
      <c r="CL432" s="1317" t="str">
        <f t="shared" si="1231"/>
        <v/>
      </c>
      <c r="CM432" s="1316" t="str">
        <f t="shared" si="1232"/>
        <v/>
      </c>
      <c r="CN432" s="538" t="str">
        <f t="shared" si="1233"/>
        <v/>
      </c>
      <c r="CO432" s="539" t="str">
        <f t="shared" si="1234"/>
        <v/>
      </c>
      <c r="CP432" s="539" t="str">
        <f t="shared" si="1235"/>
        <v/>
      </c>
      <c r="CQ432" s="539" t="str">
        <f t="shared" si="1236"/>
        <v/>
      </c>
      <c r="CR432" s="539" t="str">
        <f t="shared" si="1237"/>
        <v/>
      </c>
      <c r="CS432" s="539" t="str">
        <f t="shared" si="1238"/>
        <v/>
      </c>
      <c r="CT432" s="540" t="str">
        <f t="shared" si="1239"/>
        <v/>
      </c>
      <c r="CU432" s="540" t="str">
        <f t="shared" si="1240"/>
        <v/>
      </c>
      <c r="CV432" s="540" t="str">
        <f t="shared" si="1241"/>
        <v/>
      </c>
      <c r="CW432" s="539" t="str">
        <f t="shared" si="1242"/>
        <v/>
      </c>
      <c r="CX432" s="539" t="str">
        <f t="shared" si="1243"/>
        <v/>
      </c>
      <c r="CY432" s="539" t="str">
        <f t="shared" si="1244"/>
        <v/>
      </c>
      <c r="CZ432" s="539" t="str">
        <f t="shared" si="1245"/>
        <v/>
      </c>
      <c r="DA432" s="539" t="str">
        <f t="shared" si="1246"/>
        <v/>
      </c>
      <c r="DB432" s="538" t="str">
        <f t="shared" si="1247"/>
        <v/>
      </c>
      <c r="DC432" s="537" t="str">
        <f t="shared" si="1248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257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9"/>
        <v/>
      </c>
      <c r="CA433" s="586" t="str">
        <f t="shared" si="1220"/>
        <v/>
      </c>
      <c r="CB433" s="586" t="str">
        <f t="shared" si="1221"/>
        <v/>
      </c>
      <c r="CC433" s="676" t="str">
        <f t="shared" si="1222"/>
        <v/>
      </c>
      <c r="CD433" s="1316" t="str">
        <f t="shared" si="1223"/>
        <v/>
      </c>
      <c r="CE433" s="1317" t="str">
        <f t="shared" si="1224"/>
        <v/>
      </c>
      <c r="CF433" s="1317" t="str">
        <f t="shared" si="1225"/>
        <v/>
      </c>
      <c r="CG433" s="1317" t="str">
        <f t="shared" si="1226"/>
        <v/>
      </c>
      <c r="CH433" s="1318" t="str">
        <f t="shared" si="1227"/>
        <v/>
      </c>
      <c r="CI433" s="1318" t="str">
        <f t="shared" si="1228"/>
        <v/>
      </c>
      <c r="CJ433" s="1317" t="str">
        <f t="shared" si="1229"/>
        <v/>
      </c>
      <c r="CK433" s="1317" t="str">
        <f t="shared" si="1230"/>
        <v/>
      </c>
      <c r="CL433" s="1317" t="str">
        <f t="shared" si="1231"/>
        <v/>
      </c>
      <c r="CM433" s="1316" t="str">
        <f t="shared" si="1232"/>
        <v/>
      </c>
      <c r="CN433" s="538" t="str">
        <f t="shared" si="1233"/>
        <v/>
      </c>
      <c r="CO433" s="539" t="str">
        <f t="shared" si="1234"/>
        <v/>
      </c>
      <c r="CP433" s="539" t="str">
        <f t="shared" si="1235"/>
        <v/>
      </c>
      <c r="CQ433" s="539" t="str">
        <f t="shared" si="1236"/>
        <v/>
      </c>
      <c r="CR433" s="539" t="str">
        <f t="shared" si="1237"/>
        <v/>
      </c>
      <c r="CS433" s="539" t="str">
        <f t="shared" si="1238"/>
        <v/>
      </c>
      <c r="CT433" s="540" t="str">
        <f t="shared" si="1239"/>
        <v/>
      </c>
      <c r="CU433" s="540" t="str">
        <f t="shared" si="1240"/>
        <v/>
      </c>
      <c r="CV433" s="540" t="str">
        <f t="shared" si="1241"/>
        <v/>
      </c>
      <c r="CW433" s="539" t="str">
        <f t="shared" si="1242"/>
        <v/>
      </c>
      <c r="CX433" s="539" t="str">
        <f t="shared" si="1243"/>
        <v/>
      </c>
      <c r="CY433" s="539" t="str">
        <f t="shared" si="1244"/>
        <v/>
      </c>
      <c r="CZ433" s="539" t="str">
        <f t="shared" si="1245"/>
        <v/>
      </c>
      <c r="DA433" s="539" t="str">
        <f t="shared" si="1246"/>
        <v/>
      </c>
      <c r="DB433" s="538" t="str">
        <f t="shared" si="1247"/>
        <v/>
      </c>
      <c r="DC433" s="537" t="str">
        <f t="shared" si="1248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9"/>
        <v/>
      </c>
      <c r="CA434" s="586" t="str">
        <f t="shared" si="1220"/>
        <v/>
      </c>
      <c r="CB434" s="586" t="str">
        <f t="shared" si="1221"/>
        <v/>
      </c>
      <c r="CC434" s="676" t="str">
        <f t="shared" si="1222"/>
        <v/>
      </c>
      <c r="CD434" s="1316" t="str">
        <f t="shared" si="1223"/>
        <v/>
      </c>
      <c r="CE434" s="1317" t="str">
        <f t="shared" si="1224"/>
        <v/>
      </c>
      <c r="CF434" s="1317" t="str">
        <f t="shared" si="1225"/>
        <v/>
      </c>
      <c r="CG434" s="1317" t="str">
        <f t="shared" si="1226"/>
        <v/>
      </c>
      <c r="CH434" s="1318" t="str">
        <f t="shared" si="1227"/>
        <v/>
      </c>
      <c r="CI434" s="1318" t="str">
        <f t="shared" si="1228"/>
        <v/>
      </c>
      <c r="CJ434" s="1317" t="str">
        <f t="shared" si="1229"/>
        <v/>
      </c>
      <c r="CK434" s="1317" t="str">
        <f t="shared" si="1230"/>
        <v/>
      </c>
      <c r="CL434" s="1317" t="str">
        <f t="shared" si="1231"/>
        <v/>
      </c>
      <c r="CM434" s="1316" t="str">
        <f t="shared" si="1232"/>
        <v/>
      </c>
      <c r="CN434" s="538" t="str">
        <f t="shared" si="1233"/>
        <v/>
      </c>
      <c r="CO434" s="539" t="str">
        <f t="shared" si="1234"/>
        <v/>
      </c>
      <c r="CP434" s="539" t="str">
        <f t="shared" si="1235"/>
        <v/>
      </c>
      <c r="CQ434" s="539" t="str">
        <f t="shared" si="1236"/>
        <v/>
      </c>
      <c r="CR434" s="539" t="str">
        <f t="shared" si="1237"/>
        <v/>
      </c>
      <c r="CS434" s="539" t="str">
        <f t="shared" si="1238"/>
        <v/>
      </c>
      <c r="CT434" s="540" t="str">
        <f t="shared" si="1239"/>
        <v/>
      </c>
      <c r="CU434" s="540" t="str">
        <f t="shared" si="1240"/>
        <v/>
      </c>
      <c r="CV434" s="540" t="str">
        <f t="shared" si="1241"/>
        <v/>
      </c>
      <c r="CW434" s="539" t="str">
        <f t="shared" si="1242"/>
        <v/>
      </c>
      <c r="CX434" s="539" t="str">
        <f t="shared" si="1243"/>
        <v/>
      </c>
      <c r="CY434" s="539" t="str">
        <f t="shared" si="1244"/>
        <v/>
      </c>
      <c r="CZ434" s="539" t="str">
        <f t="shared" si="1245"/>
        <v/>
      </c>
      <c r="DA434" s="539" t="str">
        <f t="shared" si="1246"/>
        <v/>
      </c>
      <c r="DB434" s="538" t="str">
        <f t="shared" si="1247"/>
        <v/>
      </c>
      <c r="DC434" s="537" t="str">
        <f t="shared" si="1248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9"/>
        <v>0</v>
      </c>
      <c r="CA435" s="586">
        <f t="shared" si="1220"/>
        <v>0</v>
      </c>
      <c r="CB435" s="586">
        <f t="shared" si="1221"/>
        <v>0</v>
      </c>
      <c r="CC435" s="676">
        <f t="shared" si="1222"/>
        <v>12.65625</v>
      </c>
      <c r="CD435" s="131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7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7">
        <f t="shared" si="1252"/>
        <v>0</v>
      </c>
      <c r="CG435" s="1317">
        <f t="shared" si="1252"/>
        <v>0</v>
      </c>
      <c r="CH435" s="1318">
        <f t="shared" si="1252"/>
        <v>0</v>
      </c>
      <c r="CI435" s="1318">
        <f t="shared" si="1252"/>
        <v>0</v>
      </c>
      <c r="CJ435" s="1317">
        <f t="shared" si="1252"/>
        <v>0</v>
      </c>
      <c r="CK435" s="1317">
        <f t="shared" si="1252"/>
        <v>0</v>
      </c>
      <c r="CL435" s="1317">
        <f t="shared" si="1252"/>
        <v>0</v>
      </c>
      <c r="CM435" s="1316">
        <f t="shared" si="1252"/>
        <v>0</v>
      </c>
      <c r="CN435" s="538" t="str">
        <f t="shared" si="1233"/>
        <v/>
      </c>
      <c r="CO435" s="539" t="str">
        <f t="shared" si="1234"/>
        <v/>
      </c>
      <c r="CP435" s="539" t="str">
        <f t="shared" si="1235"/>
        <v/>
      </c>
      <c r="CQ435" s="539">
        <f t="shared" si="1236"/>
        <v>0</v>
      </c>
      <c r="CR435" s="539">
        <f t="shared" si="1237"/>
        <v>0</v>
      </c>
      <c r="CS435" s="539">
        <f t="shared" si="1238"/>
        <v>0</v>
      </c>
      <c r="CT435" s="540">
        <f t="shared" si="1239"/>
        <v>0</v>
      </c>
      <c r="CU435" s="540">
        <f t="shared" si="1240"/>
        <v>0</v>
      </c>
      <c r="CV435" s="540">
        <f t="shared" si="1241"/>
        <v>0</v>
      </c>
      <c r="CW435" s="539">
        <f t="shared" si="1242"/>
        <v>0</v>
      </c>
      <c r="CX435" s="539">
        <f t="shared" si="1243"/>
        <v>0</v>
      </c>
      <c r="CY435" s="539">
        <f t="shared" si="1244"/>
        <v>101.25</v>
      </c>
      <c r="CZ435" s="539">
        <f t="shared" si="1245"/>
        <v>2000</v>
      </c>
      <c r="DA435" s="539" t="str">
        <f t="shared" si="1246"/>
        <v/>
      </c>
      <c r="DB435" s="538" t="str">
        <f t="shared" si="1247"/>
        <v/>
      </c>
      <c r="DC435" s="537" t="str">
        <f t="shared" si="1248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258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9"/>
        <v/>
      </c>
      <c r="CA436" s="586" t="str">
        <f t="shared" si="1220"/>
        <v/>
      </c>
      <c r="CB436" s="586" t="str">
        <f t="shared" si="1221"/>
        <v/>
      </c>
      <c r="CC436" s="676" t="str">
        <f t="shared" si="1222"/>
        <v/>
      </c>
      <c r="CD436" s="1316" t="str">
        <f t="shared" si="1223"/>
        <v/>
      </c>
      <c r="CE436" s="1317" t="str">
        <f t="shared" si="1224"/>
        <v/>
      </c>
      <c r="CF436" s="1317" t="str">
        <f t="shared" si="1225"/>
        <v/>
      </c>
      <c r="CG436" s="1317" t="str">
        <f t="shared" si="1226"/>
        <v/>
      </c>
      <c r="CH436" s="1318" t="str">
        <f t="shared" si="1227"/>
        <v/>
      </c>
      <c r="CI436" s="1318" t="str">
        <f t="shared" si="1228"/>
        <v/>
      </c>
      <c r="CJ436" s="1317" t="str">
        <f t="shared" si="1229"/>
        <v/>
      </c>
      <c r="CK436" s="1317" t="str">
        <f t="shared" si="1230"/>
        <v/>
      </c>
      <c r="CL436" s="1317" t="str">
        <f t="shared" si="1231"/>
        <v/>
      </c>
      <c r="CM436" s="1316" t="str">
        <f t="shared" si="1232"/>
        <v/>
      </c>
      <c r="CN436" s="538" t="str">
        <f t="shared" si="1233"/>
        <v/>
      </c>
      <c r="CO436" s="539" t="str">
        <f t="shared" si="1234"/>
        <v/>
      </c>
      <c r="CP436" s="539" t="str">
        <f t="shared" si="1235"/>
        <v/>
      </c>
      <c r="CQ436" s="539" t="str">
        <f t="shared" si="1236"/>
        <v/>
      </c>
      <c r="CR436" s="539" t="str">
        <f t="shared" si="1237"/>
        <v/>
      </c>
      <c r="CS436" s="539" t="str">
        <f t="shared" si="1238"/>
        <v/>
      </c>
      <c r="CT436" s="540" t="str">
        <f t="shared" si="1239"/>
        <v/>
      </c>
      <c r="CU436" s="540" t="str">
        <f t="shared" si="1240"/>
        <v/>
      </c>
      <c r="CV436" s="540" t="str">
        <f t="shared" si="1241"/>
        <v/>
      </c>
      <c r="CW436" s="539" t="str">
        <f t="shared" si="1242"/>
        <v/>
      </c>
      <c r="CX436" s="539" t="str">
        <f t="shared" si="1243"/>
        <v/>
      </c>
      <c r="CY436" s="539" t="str">
        <f t="shared" si="1244"/>
        <v/>
      </c>
      <c r="CZ436" s="539" t="str">
        <f t="shared" si="1245"/>
        <v/>
      </c>
      <c r="DA436" s="539" t="str">
        <f t="shared" si="1246"/>
        <v/>
      </c>
      <c r="DB436" s="538" t="str">
        <f t="shared" si="1247"/>
        <v/>
      </c>
      <c r="DC436" s="537" t="str">
        <f t="shared" si="1248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9"/>
        <v>0</v>
      </c>
      <c r="CA437" s="611">
        <f t="shared" si="1220"/>
        <v>2.1228215619996443E-3</v>
      </c>
      <c r="CB437" s="611">
        <f t="shared" si="1221"/>
        <v>0</v>
      </c>
      <c r="CC437" s="679">
        <f t="shared" si="1222"/>
        <v>6.7347316425013341E-3</v>
      </c>
      <c r="CD437" s="1319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0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0">
        <f t="shared" si="1253"/>
        <v>0</v>
      </c>
      <c r="CG437" s="1320">
        <f t="shared" si="1253"/>
        <v>0</v>
      </c>
      <c r="CH437" s="1321">
        <f t="shared" si="1253"/>
        <v>0</v>
      </c>
      <c r="CI437" s="1321">
        <f t="shared" si="1253"/>
        <v>0</v>
      </c>
      <c r="CJ437" s="1320">
        <f t="shared" si="1253"/>
        <v>0</v>
      </c>
      <c r="CK437" s="1320">
        <f t="shared" si="1253"/>
        <v>0</v>
      </c>
      <c r="CL437" s="1320">
        <f t="shared" si="1253"/>
        <v>0</v>
      </c>
      <c r="CM437" s="1319">
        <f t="shared" si="1253"/>
        <v>5.1124651307596514E-3</v>
      </c>
      <c r="CN437" s="526" t="str">
        <f t="shared" si="1233"/>
        <v/>
      </c>
      <c r="CO437" s="527" t="str">
        <f t="shared" si="1234"/>
        <v/>
      </c>
      <c r="CP437" s="527" t="str">
        <f t="shared" si="1235"/>
        <v/>
      </c>
      <c r="CQ437" s="527">
        <f t="shared" si="1236"/>
        <v>0</v>
      </c>
      <c r="CR437" s="527">
        <f t="shared" si="1237"/>
        <v>0</v>
      </c>
      <c r="CS437" s="527">
        <f t="shared" si="1238"/>
        <v>0</v>
      </c>
      <c r="CT437" s="528">
        <f t="shared" si="1239"/>
        <v>0</v>
      </c>
      <c r="CU437" s="528">
        <f t="shared" si="1240"/>
        <v>0</v>
      </c>
      <c r="CV437" s="528">
        <f t="shared" si="1241"/>
        <v>1.1288027041451697E-2</v>
      </c>
      <c r="CW437" s="527">
        <f t="shared" si="1242"/>
        <v>1.316936488169365E-2</v>
      </c>
      <c r="CX437" s="527">
        <f t="shared" si="1243"/>
        <v>1.3941553993951254E-2</v>
      </c>
      <c r="CY437" s="527">
        <f t="shared" si="1244"/>
        <v>1.5478907222914073E-2</v>
      </c>
      <c r="CZ437" s="527">
        <f t="shared" si="1245"/>
        <v>1.9155439827918033E-2</v>
      </c>
      <c r="DA437" s="527" t="str">
        <f t="shared" si="1246"/>
        <v/>
      </c>
      <c r="DB437" s="526" t="str">
        <f t="shared" si="1247"/>
        <v/>
      </c>
      <c r="DC437" s="525" t="str">
        <f t="shared" si="1248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279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9"/>
        <v/>
      </c>
      <c r="CA438" s="578" t="str">
        <f t="shared" si="1220"/>
        <v/>
      </c>
      <c r="CB438" s="578" t="str">
        <f t="shared" si="1221"/>
        <v/>
      </c>
      <c r="CC438" s="675" t="str">
        <f t="shared" si="1222"/>
        <v/>
      </c>
      <c r="CD438" s="1339"/>
      <c r="CE438" s="1339"/>
      <c r="CF438" s="1339"/>
      <c r="CG438" s="1339"/>
      <c r="CH438" s="1339"/>
      <c r="CI438" s="1339"/>
      <c r="CJ438" s="1339"/>
      <c r="CK438" s="1339"/>
      <c r="CL438" s="1339"/>
      <c r="CM438" s="1339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265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28"/>
      <c r="CE439" s="1328"/>
      <c r="CF439" s="1328"/>
      <c r="CG439" s="1328"/>
      <c r="CH439" s="1328"/>
      <c r="CI439" s="1328"/>
      <c r="CJ439" s="1328"/>
      <c r="CK439" s="1328"/>
      <c r="CL439" s="1328"/>
      <c r="CM439" s="1328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266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4">IF(DD440&lt;3,"",(SUM(B440:R440)-MIN(B440:R440)-MAX(B440:R440))/(DD440-2))</f>
        <v/>
      </c>
      <c r="CA440" s="586" t="str">
        <f t="shared" ref="CA440:CA471" si="1255">IF(DE440&lt;3,"",(SUM(T440:AJ440)-MIN(T440:AJ440)-MAX(T440:AJ440))/(DE440-2))</f>
        <v/>
      </c>
      <c r="CB440" s="586" t="str">
        <f t="shared" ref="CB440:CB471" si="1256">IF(DF440&lt;3,"",(SUM(AL440:BB440)-MIN(AL440:BB440)-MAX(AL440:BB440))/(DF440-2))</f>
        <v/>
      </c>
      <c r="CC440" s="676" t="str">
        <f t="shared" ref="CC440:CC471" si="1257">IF(DG440&lt;3,"",(SUM(BD440:BT440)-MIN(BD440:BT440)-MAX(BD440:BT440))/(DG440-2))</f>
        <v/>
      </c>
      <c r="CD440" s="1316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7" t="str">
        <f t="shared" si="1258"/>
        <v/>
      </c>
      <c r="CF440" s="1317" t="str">
        <f t="shared" si="1258"/>
        <v/>
      </c>
      <c r="CG440" s="1317" t="str">
        <f t="shared" si="1258"/>
        <v/>
      </c>
      <c r="CH440" s="1318" t="str">
        <f t="shared" si="1258"/>
        <v/>
      </c>
      <c r="CI440" s="1318" t="str">
        <f t="shared" si="1258"/>
        <v/>
      </c>
      <c r="CJ440" s="1317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17" t="str">
        <f t="shared" si="1259"/>
        <v/>
      </c>
      <c r="CL440" s="1317" t="str">
        <f t="shared" si="1259"/>
        <v/>
      </c>
      <c r="CM440" s="1316" t="str">
        <f t="shared" si="1259"/>
        <v/>
      </c>
      <c r="CN440" s="538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271</v>
      </c>
      <c r="B441" s="618" t="str">
        <f t="shared" ref="B441:K441" si="1276">IF(B438="","",B438*B440)</f>
        <v/>
      </c>
      <c r="C441" s="618" t="str">
        <f t="shared" si="1276"/>
        <v/>
      </c>
      <c r="D441" s="618" t="str">
        <f t="shared" si="1276"/>
        <v/>
      </c>
      <c r="E441" s="618" t="str">
        <f t="shared" si="1276"/>
        <v/>
      </c>
      <c r="F441" s="618" t="str">
        <f t="shared" si="1276"/>
        <v/>
      </c>
      <c r="G441" s="618" t="str">
        <f t="shared" si="1276"/>
        <v/>
      </c>
      <c r="H441" s="618" t="str">
        <f t="shared" si="1276"/>
        <v/>
      </c>
      <c r="I441" s="618" t="str">
        <f t="shared" si="1276"/>
        <v/>
      </c>
      <c r="J441" s="618" t="str">
        <f t="shared" si="1276"/>
        <v/>
      </c>
      <c r="K441" s="618" t="str">
        <f t="shared" si="1276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7">IF(T438="","",T438*T440)</f>
        <v/>
      </c>
      <c r="U441" s="618" t="str">
        <f t="shared" si="1277"/>
        <v/>
      </c>
      <c r="V441" s="618" t="str">
        <f t="shared" si="1277"/>
        <v/>
      </c>
      <c r="W441" s="618" t="str">
        <f t="shared" si="1277"/>
        <v/>
      </c>
      <c r="X441" s="618" t="str">
        <f t="shared" si="1277"/>
        <v/>
      </c>
      <c r="Y441" s="618" t="str">
        <f t="shared" si="1277"/>
        <v/>
      </c>
      <c r="Z441" s="618" t="str">
        <f t="shared" si="1277"/>
        <v/>
      </c>
      <c r="AA441" s="618" t="str">
        <f t="shared" si="1277"/>
        <v/>
      </c>
      <c r="AB441" s="618" t="str">
        <f t="shared" si="1277"/>
        <v/>
      </c>
      <c r="AC441" s="618" t="str">
        <f t="shared" si="1277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8">IF(AL438="","",AL438*AL440)</f>
        <v/>
      </c>
      <c r="AM441" s="618" t="str">
        <f t="shared" si="1278"/>
        <v/>
      </c>
      <c r="AN441" s="618" t="str">
        <f t="shared" si="1278"/>
        <v/>
      </c>
      <c r="AO441" s="618" t="str">
        <f t="shared" si="1278"/>
        <v/>
      </c>
      <c r="AP441" s="618" t="str">
        <f t="shared" si="1278"/>
        <v/>
      </c>
      <c r="AQ441" s="618" t="str">
        <f t="shared" si="1278"/>
        <v/>
      </c>
      <c r="AR441" s="618" t="str">
        <f t="shared" si="1278"/>
        <v/>
      </c>
      <c r="AS441" s="618" t="str">
        <f t="shared" si="1278"/>
        <v/>
      </c>
      <c r="AT441" s="618" t="str">
        <f t="shared" si="1278"/>
        <v/>
      </c>
      <c r="AU441" s="618" t="str">
        <f t="shared" si="1278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9">IF(BD438="","",BD438*BD440)</f>
        <v/>
      </c>
      <c r="BE441" s="618" t="str">
        <f t="shared" si="1279"/>
        <v/>
      </c>
      <c r="BF441" s="618" t="str">
        <f t="shared" si="1279"/>
        <v/>
      </c>
      <c r="BG441" s="618" t="str">
        <f t="shared" si="1279"/>
        <v/>
      </c>
      <c r="BH441" s="618" t="str">
        <f t="shared" si="1279"/>
        <v/>
      </c>
      <c r="BI441" s="618" t="str">
        <f t="shared" si="1279"/>
        <v/>
      </c>
      <c r="BJ441" s="618" t="str">
        <f t="shared" si="1279"/>
        <v/>
      </c>
      <c r="BK441" s="618" t="str">
        <f t="shared" si="1279"/>
        <v/>
      </c>
      <c r="BL441" s="618" t="str">
        <f t="shared" si="1279"/>
        <v/>
      </c>
      <c r="BM441" s="618" t="str">
        <f t="shared" si="1279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4"/>
        <v/>
      </c>
      <c r="CA441" s="586" t="str">
        <f t="shared" si="1255"/>
        <v/>
      </c>
      <c r="CB441" s="586" t="str">
        <f t="shared" si="1256"/>
        <v/>
      </c>
      <c r="CC441" s="676" t="str">
        <f t="shared" si="1257"/>
        <v/>
      </c>
      <c r="CD441" s="1316" t="str">
        <f t="shared" si="1258"/>
        <v/>
      </c>
      <c r="CE441" s="1317" t="str">
        <f t="shared" si="1258"/>
        <v/>
      </c>
      <c r="CF441" s="1317" t="str">
        <f t="shared" si="1258"/>
        <v/>
      </c>
      <c r="CG441" s="1317" t="str">
        <f t="shared" si="1258"/>
        <v/>
      </c>
      <c r="CH441" s="1318" t="str">
        <f t="shared" si="1258"/>
        <v/>
      </c>
      <c r="CI441" s="1318" t="str">
        <f t="shared" si="1258"/>
        <v/>
      </c>
      <c r="CJ441" s="1317" t="str">
        <f t="shared" si="1259"/>
        <v/>
      </c>
      <c r="CK441" s="1317" t="str">
        <f t="shared" si="1259"/>
        <v/>
      </c>
      <c r="CL441" s="1317" t="str">
        <f t="shared" si="1259"/>
        <v/>
      </c>
      <c r="CM441" s="1316" t="str">
        <f t="shared" si="1259"/>
        <v/>
      </c>
      <c r="CN441" s="538" t="str">
        <f t="shared" si="1260"/>
        <v/>
      </c>
      <c r="CO441" s="539" t="str">
        <f t="shared" si="1261"/>
        <v/>
      </c>
      <c r="CP441" s="539" t="str">
        <f t="shared" si="1262"/>
        <v/>
      </c>
      <c r="CQ441" s="539" t="str">
        <f t="shared" si="1263"/>
        <v/>
      </c>
      <c r="CR441" s="539" t="str">
        <f t="shared" si="1264"/>
        <v/>
      </c>
      <c r="CS441" s="539" t="str">
        <f t="shared" si="1265"/>
        <v/>
      </c>
      <c r="CT441" s="540" t="str">
        <f t="shared" si="1266"/>
        <v/>
      </c>
      <c r="CU441" s="540" t="str">
        <f t="shared" si="1267"/>
        <v/>
      </c>
      <c r="CV441" s="540" t="str">
        <f t="shared" si="1268"/>
        <v/>
      </c>
      <c r="CW441" s="539" t="str">
        <f t="shared" si="1269"/>
        <v/>
      </c>
      <c r="CX441" s="539" t="str">
        <f t="shared" si="1270"/>
        <v/>
      </c>
      <c r="CY441" s="539" t="str">
        <f t="shared" si="1271"/>
        <v/>
      </c>
      <c r="CZ441" s="539" t="str">
        <f t="shared" si="1272"/>
        <v/>
      </c>
      <c r="DA441" s="539" t="str">
        <f t="shared" si="1273"/>
        <v/>
      </c>
      <c r="DB441" s="538" t="str">
        <f t="shared" si="1274"/>
        <v/>
      </c>
      <c r="DC441" s="537" t="str">
        <f t="shared" si="1275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260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4"/>
        <v/>
      </c>
      <c r="CA442" s="586" t="str">
        <f t="shared" si="1255"/>
        <v/>
      </c>
      <c r="CB442" s="586" t="str">
        <f t="shared" si="1256"/>
        <v/>
      </c>
      <c r="CC442" s="676" t="str">
        <f t="shared" si="1257"/>
        <v/>
      </c>
      <c r="CD442" s="1316" t="str">
        <f t="shared" si="1258"/>
        <v/>
      </c>
      <c r="CE442" s="1317" t="str">
        <f t="shared" si="1258"/>
        <v/>
      </c>
      <c r="CF442" s="1317" t="str">
        <f t="shared" si="1258"/>
        <v/>
      </c>
      <c r="CG442" s="1317" t="str">
        <f t="shared" si="1258"/>
        <v/>
      </c>
      <c r="CH442" s="1318" t="str">
        <f t="shared" si="1258"/>
        <v/>
      </c>
      <c r="CI442" s="1318" t="str">
        <f t="shared" si="1258"/>
        <v/>
      </c>
      <c r="CJ442" s="1317" t="str">
        <f t="shared" si="1259"/>
        <v/>
      </c>
      <c r="CK442" s="1317" t="str">
        <f t="shared" si="1259"/>
        <v/>
      </c>
      <c r="CL442" s="1317" t="str">
        <f t="shared" si="1259"/>
        <v/>
      </c>
      <c r="CM442" s="1316" t="str">
        <f t="shared" si="1259"/>
        <v/>
      </c>
      <c r="CN442" s="538" t="str">
        <f t="shared" si="1260"/>
        <v/>
      </c>
      <c r="CO442" s="539" t="str">
        <f t="shared" si="1261"/>
        <v/>
      </c>
      <c r="CP442" s="539" t="str">
        <f t="shared" si="1262"/>
        <v/>
      </c>
      <c r="CQ442" s="539" t="str">
        <f t="shared" si="1263"/>
        <v/>
      </c>
      <c r="CR442" s="539" t="str">
        <f t="shared" si="1264"/>
        <v/>
      </c>
      <c r="CS442" s="539" t="str">
        <f t="shared" si="1265"/>
        <v/>
      </c>
      <c r="CT442" s="540" t="str">
        <f t="shared" si="1266"/>
        <v/>
      </c>
      <c r="CU442" s="540" t="str">
        <f t="shared" si="1267"/>
        <v/>
      </c>
      <c r="CV442" s="540" t="str">
        <f t="shared" si="1268"/>
        <v/>
      </c>
      <c r="CW442" s="539" t="str">
        <f t="shared" si="1269"/>
        <v/>
      </c>
      <c r="CX442" s="539" t="str">
        <f t="shared" si="1270"/>
        <v/>
      </c>
      <c r="CY442" s="539" t="str">
        <f t="shared" si="1271"/>
        <v/>
      </c>
      <c r="CZ442" s="539" t="str">
        <f t="shared" si="1272"/>
        <v/>
      </c>
      <c r="DA442" s="539" t="str">
        <f t="shared" si="1273"/>
        <v/>
      </c>
      <c r="DB442" s="538" t="str">
        <f t="shared" si="1274"/>
        <v/>
      </c>
      <c r="DC442" s="537" t="str">
        <f t="shared" si="1275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257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4"/>
        <v/>
      </c>
      <c r="CA443" s="586" t="str">
        <f t="shared" si="1255"/>
        <v/>
      </c>
      <c r="CB443" s="586" t="str">
        <f t="shared" si="1256"/>
        <v/>
      </c>
      <c r="CC443" s="676" t="str">
        <f t="shared" si="1257"/>
        <v/>
      </c>
      <c r="CD443" s="1316" t="str">
        <f t="shared" si="1258"/>
        <v/>
      </c>
      <c r="CE443" s="1317" t="str">
        <f t="shared" si="1258"/>
        <v/>
      </c>
      <c r="CF443" s="1317" t="str">
        <f t="shared" si="1258"/>
        <v/>
      </c>
      <c r="CG443" s="1317" t="str">
        <f t="shared" si="1258"/>
        <v/>
      </c>
      <c r="CH443" s="1318" t="str">
        <f t="shared" si="1258"/>
        <v/>
      </c>
      <c r="CI443" s="1318" t="str">
        <f t="shared" si="1258"/>
        <v/>
      </c>
      <c r="CJ443" s="1317" t="str">
        <f t="shared" si="1259"/>
        <v/>
      </c>
      <c r="CK443" s="1317" t="str">
        <f t="shared" si="1259"/>
        <v/>
      </c>
      <c r="CL443" s="1317" t="str">
        <f t="shared" si="1259"/>
        <v/>
      </c>
      <c r="CM443" s="1316" t="str">
        <f t="shared" si="1259"/>
        <v/>
      </c>
      <c r="CN443" s="538" t="str">
        <f t="shared" si="1260"/>
        <v/>
      </c>
      <c r="CO443" s="539" t="str">
        <f t="shared" si="1261"/>
        <v/>
      </c>
      <c r="CP443" s="539" t="str">
        <f t="shared" si="1262"/>
        <v/>
      </c>
      <c r="CQ443" s="539" t="str">
        <f t="shared" si="1263"/>
        <v/>
      </c>
      <c r="CR443" s="539" t="str">
        <f t="shared" si="1264"/>
        <v/>
      </c>
      <c r="CS443" s="539" t="str">
        <f t="shared" si="1265"/>
        <v/>
      </c>
      <c r="CT443" s="540" t="str">
        <f t="shared" si="1266"/>
        <v/>
      </c>
      <c r="CU443" s="540" t="str">
        <f t="shared" si="1267"/>
        <v/>
      </c>
      <c r="CV443" s="540" t="str">
        <f t="shared" si="1268"/>
        <v/>
      </c>
      <c r="CW443" s="539" t="str">
        <f t="shared" si="1269"/>
        <v/>
      </c>
      <c r="CX443" s="539" t="str">
        <f t="shared" si="1270"/>
        <v/>
      </c>
      <c r="CY443" s="539" t="str">
        <f t="shared" si="1271"/>
        <v/>
      </c>
      <c r="CZ443" s="539" t="str">
        <f t="shared" si="1272"/>
        <v/>
      </c>
      <c r="DA443" s="539" t="str">
        <f t="shared" si="1273"/>
        <v/>
      </c>
      <c r="DB443" s="538" t="str">
        <f t="shared" si="1274"/>
        <v/>
      </c>
      <c r="DC443" s="537" t="str">
        <f t="shared" si="1275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181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4"/>
        <v/>
      </c>
      <c r="CA444" s="586" t="str">
        <f t="shared" si="1255"/>
        <v/>
      </c>
      <c r="CB444" s="586" t="str">
        <f t="shared" si="1256"/>
        <v/>
      </c>
      <c r="CC444" s="676" t="str">
        <f t="shared" si="1257"/>
        <v/>
      </c>
      <c r="CD444" s="1316" t="str">
        <f t="shared" si="1258"/>
        <v/>
      </c>
      <c r="CE444" s="1317" t="str">
        <f t="shared" si="1258"/>
        <v/>
      </c>
      <c r="CF444" s="1317" t="str">
        <f t="shared" si="1258"/>
        <v/>
      </c>
      <c r="CG444" s="1317" t="str">
        <f t="shared" si="1258"/>
        <v/>
      </c>
      <c r="CH444" s="1318" t="str">
        <f t="shared" si="1258"/>
        <v/>
      </c>
      <c r="CI444" s="1318" t="str">
        <f t="shared" si="1258"/>
        <v/>
      </c>
      <c r="CJ444" s="1317" t="str">
        <f t="shared" si="1259"/>
        <v/>
      </c>
      <c r="CK444" s="1317" t="str">
        <f t="shared" si="1259"/>
        <v/>
      </c>
      <c r="CL444" s="1317" t="str">
        <f t="shared" si="1259"/>
        <v/>
      </c>
      <c r="CM444" s="1316" t="str">
        <f t="shared" si="1259"/>
        <v/>
      </c>
      <c r="CN444" s="538" t="str">
        <f t="shared" si="1260"/>
        <v/>
      </c>
      <c r="CO444" s="539" t="str">
        <f t="shared" si="1261"/>
        <v/>
      </c>
      <c r="CP444" s="539" t="str">
        <f t="shared" si="1262"/>
        <v/>
      </c>
      <c r="CQ444" s="539" t="str">
        <f t="shared" si="1263"/>
        <v/>
      </c>
      <c r="CR444" s="539" t="str">
        <f t="shared" si="1264"/>
        <v/>
      </c>
      <c r="CS444" s="539" t="str">
        <f t="shared" si="1265"/>
        <v/>
      </c>
      <c r="CT444" s="540" t="str">
        <f t="shared" si="1266"/>
        <v/>
      </c>
      <c r="CU444" s="540" t="str">
        <f t="shared" si="1267"/>
        <v/>
      </c>
      <c r="CV444" s="540" t="str">
        <f t="shared" si="1268"/>
        <v/>
      </c>
      <c r="CW444" s="539" t="str">
        <f t="shared" si="1269"/>
        <v/>
      </c>
      <c r="CX444" s="539" t="str">
        <f t="shared" si="1270"/>
        <v/>
      </c>
      <c r="CY444" s="539" t="str">
        <f t="shared" si="1271"/>
        <v/>
      </c>
      <c r="CZ444" s="539" t="str">
        <f t="shared" si="1272"/>
        <v/>
      </c>
      <c r="DA444" s="539" t="str">
        <f t="shared" si="1273"/>
        <v/>
      </c>
      <c r="DB444" s="538" t="str">
        <f t="shared" si="1274"/>
        <v/>
      </c>
      <c r="DC444" s="537" t="str">
        <f t="shared" si="1275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183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4"/>
        <v>0</v>
      </c>
      <c r="CA445" s="586">
        <f t="shared" si="1255"/>
        <v>0</v>
      </c>
      <c r="CB445" s="586">
        <f t="shared" si="1256"/>
        <v>0</v>
      </c>
      <c r="CC445" s="676">
        <f t="shared" si="1257"/>
        <v>0</v>
      </c>
      <c r="CD445" s="131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7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7">
        <f t="shared" si="1280"/>
        <v>0</v>
      </c>
      <c r="CG445" s="1317">
        <f t="shared" si="1280"/>
        <v>0</v>
      </c>
      <c r="CH445" s="1318">
        <f t="shared" si="1280"/>
        <v>0</v>
      </c>
      <c r="CI445" s="1318">
        <f t="shared" si="1280"/>
        <v>0</v>
      </c>
      <c r="CJ445" s="1317">
        <f t="shared" si="1280"/>
        <v>0</v>
      </c>
      <c r="CK445" s="1317">
        <f t="shared" si="1280"/>
        <v>0</v>
      </c>
      <c r="CL445" s="1317">
        <f t="shared" si="1280"/>
        <v>0</v>
      </c>
      <c r="CM445" s="1316">
        <f t="shared" si="1280"/>
        <v>0</v>
      </c>
      <c r="CN445" s="538" t="str">
        <f t="shared" si="1260"/>
        <v/>
      </c>
      <c r="CO445" s="539" t="str">
        <f t="shared" si="1261"/>
        <v/>
      </c>
      <c r="CP445" s="539" t="str">
        <f t="shared" si="1262"/>
        <v/>
      </c>
      <c r="CQ445" s="539">
        <f t="shared" si="1263"/>
        <v>0</v>
      </c>
      <c r="CR445" s="539">
        <f t="shared" si="1264"/>
        <v>0</v>
      </c>
      <c r="CS445" s="539">
        <f t="shared" si="1265"/>
        <v>0</v>
      </c>
      <c r="CT445" s="540">
        <f t="shared" si="1266"/>
        <v>0</v>
      </c>
      <c r="CU445" s="540">
        <f t="shared" si="1267"/>
        <v>0</v>
      </c>
      <c r="CV445" s="540">
        <f t="shared" si="1268"/>
        <v>0</v>
      </c>
      <c r="CW445" s="539">
        <f t="shared" si="1269"/>
        <v>0</v>
      </c>
      <c r="CX445" s="539">
        <f t="shared" si="1270"/>
        <v>0</v>
      </c>
      <c r="CY445" s="539">
        <f t="shared" si="1271"/>
        <v>0</v>
      </c>
      <c r="CZ445" s="539">
        <f t="shared" si="1272"/>
        <v>0</v>
      </c>
      <c r="DA445" s="539" t="str">
        <f t="shared" si="1273"/>
        <v/>
      </c>
      <c r="DB445" s="538" t="str">
        <f t="shared" si="1274"/>
        <v/>
      </c>
      <c r="DC445" s="537" t="str">
        <f t="shared" si="1275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258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4"/>
        <v/>
      </c>
      <c r="CA446" s="586" t="str">
        <f t="shared" si="1255"/>
        <v/>
      </c>
      <c r="CB446" s="586" t="str">
        <f t="shared" si="1256"/>
        <v/>
      </c>
      <c r="CC446" s="676" t="str">
        <f t="shared" si="1257"/>
        <v/>
      </c>
      <c r="CD446" s="1316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7" t="str">
        <f t="shared" si="1281"/>
        <v/>
      </c>
      <c r="CF446" s="1317" t="str">
        <f t="shared" si="1281"/>
        <v/>
      </c>
      <c r="CG446" s="1317" t="str">
        <f t="shared" si="1281"/>
        <v/>
      </c>
      <c r="CH446" s="1318" t="str">
        <f t="shared" si="1281"/>
        <v/>
      </c>
      <c r="CI446" s="1318" t="str">
        <f t="shared" si="1281"/>
        <v/>
      </c>
      <c r="CJ446" s="1317" t="str">
        <f t="shared" si="1281"/>
        <v/>
      </c>
      <c r="CK446" s="1317" t="str">
        <f t="shared" si="1281"/>
        <v/>
      </c>
      <c r="CL446" s="1317" t="str">
        <f t="shared" si="1281"/>
        <v/>
      </c>
      <c r="CM446" s="1316" t="str">
        <f t="shared" si="1281"/>
        <v/>
      </c>
      <c r="CN446" s="538" t="str">
        <f t="shared" si="1260"/>
        <v/>
      </c>
      <c r="CO446" s="539" t="str">
        <f t="shared" si="1261"/>
        <v/>
      </c>
      <c r="CP446" s="539" t="str">
        <f t="shared" si="1262"/>
        <v/>
      </c>
      <c r="CQ446" s="539" t="str">
        <f t="shared" si="1263"/>
        <v/>
      </c>
      <c r="CR446" s="539" t="str">
        <f t="shared" si="1264"/>
        <v/>
      </c>
      <c r="CS446" s="539" t="str">
        <f t="shared" si="1265"/>
        <v/>
      </c>
      <c r="CT446" s="540" t="str">
        <f t="shared" si="1266"/>
        <v/>
      </c>
      <c r="CU446" s="540" t="str">
        <f t="shared" si="1267"/>
        <v/>
      </c>
      <c r="CV446" s="540" t="str">
        <f t="shared" si="1268"/>
        <v/>
      </c>
      <c r="CW446" s="539" t="str">
        <f t="shared" si="1269"/>
        <v/>
      </c>
      <c r="CX446" s="539" t="str">
        <f t="shared" si="1270"/>
        <v/>
      </c>
      <c r="CY446" s="539" t="str">
        <f t="shared" si="1271"/>
        <v/>
      </c>
      <c r="CZ446" s="539" t="str">
        <f t="shared" si="1272"/>
        <v/>
      </c>
      <c r="DA446" s="539" t="str">
        <f t="shared" si="1273"/>
        <v/>
      </c>
      <c r="DB446" s="538" t="str">
        <f t="shared" si="1274"/>
        <v/>
      </c>
      <c r="DC446" s="537" t="str">
        <f t="shared" si="1275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227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4"/>
        <v>0</v>
      </c>
      <c r="CA447" s="611">
        <f t="shared" si="1255"/>
        <v>0</v>
      </c>
      <c r="CB447" s="611">
        <f t="shared" si="1256"/>
        <v>0</v>
      </c>
      <c r="CC447" s="679">
        <f t="shared" si="1257"/>
        <v>0</v>
      </c>
      <c r="CD447" s="1319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0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0">
        <f t="shared" si="1282"/>
        <v>0</v>
      </c>
      <c r="CG447" s="1320">
        <f t="shared" si="1282"/>
        <v>0</v>
      </c>
      <c r="CH447" s="1321">
        <f t="shared" si="1282"/>
        <v>0</v>
      </c>
      <c r="CI447" s="1321">
        <f t="shared" si="1282"/>
        <v>0</v>
      </c>
      <c r="CJ447" s="1320">
        <f t="shared" si="1282"/>
        <v>0</v>
      </c>
      <c r="CK447" s="1320">
        <f t="shared" si="1282"/>
        <v>0</v>
      </c>
      <c r="CL447" s="1320">
        <f t="shared" si="1282"/>
        <v>0</v>
      </c>
      <c r="CM447" s="1319">
        <f t="shared" si="1282"/>
        <v>0</v>
      </c>
      <c r="CN447" s="526" t="str">
        <f t="shared" si="1260"/>
        <v/>
      </c>
      <c r="CO447" s="527" t="str">
        <f t="shared" si="1261"/>
        <v/>
      </c>
      <c r="CP447" s="527" t="str">
        <f t="shared" si="1262"/>
        <v/>
      </c>
      <c r="CQ447" s="527">
        <f t="shared" si="1263"/>
        <v>0</v>
      </c>
      <c r="CR447" s="527">
        <f t="shared" si="1264"/>
        <v>0</v>
      </c>
      <c r="CS447" s="527">
        <f t="shared" si="1265"/>
        <v>0</v>
      </c>
      <c r="CT447" s="528">
        <f t="shared" si="1266"/>
        <v>0</v>
      </c>
      <c r="CU447" s="528">
        <f t="shared" si="1267"/>
        <v>0</v>
      </c>
      <c r="CV447" s="528">
        <f t="shared" si="1268"/>
        <v>0</v>
      </c>
      <c r="CW447" s="527">
        <f t="shared" si="1269"/>
        <v>0</v>
      </c>
      <c r="CX447" s="527">
        <f t="shared" si="1270"/>
        <v>0</v>
      </c>
      <c r="CY447" s="527">
        <f t="shared" si="1271"/>
        <v>0</v>
      </c>
      <c r="CZ447" s="527">
        <f t="shared" si="1272"/>
        <v>0</v>
      </c>
      <c r="DA447" s="527" t="str">
        <f t="shared" si="1273"/>
        <v/>
      </c>
      <c r="DB447" s="526" t="str">
        <f t="shared" si="1274"/>
        <v/>
      </c>
      <c r="DC447" s="525" t="str">
        <f t="shared" si="1275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280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4"/>
        <v/>
      </c>
      <c r="CA448" s="578" t="str">
        <f t="shared" si="1255"/>
        <v/>
      </c>
      <c r="CB448" s="578" t="str">
        <f t="shared" si="1256"/>
        <v/>
      </c>
      <c r="CC448" s="675" t="str">
        <f t="shared" si="1257"/>
        <v/>
      </c>
      <c r="CD448" s="1322"/>
      <c r="CE448" s="1322"/>
      <c r="CF448" s="1322"/>
      <c r="CG448" s="1322"/>
      <c r="CH448" s="1322"/>
      <c r="CI448" s="1322"/>
      <c r="CJ448" s="1322"/>
      <c r="CK448" s="1322"/>
      <c r="CL448" s="1322"/>
      <c r="CM448" s="1322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66" t="s">
        <v>695</v>
      </c>
      <c r="B449" s="629" t="s">
        <v>281</v>
      </c>
      <c r="C449" s="629" t="s">
        <v>281</v>
      </c>
      <c r="D449" s="629" t="s">
        <v>281</v>
      </c>
      <c r="E449" s="629" t="s">
        <v>281</v>
      </c>
      <c r="F449" s="629" t="s">
        <v>281</v>
      </c>
      <c r="G449" s="629" t="s">
        <v>281</v>
      </c>
      <c r="H449" s="629" t="s">
        <v>281</v>
      </c>
      <c r="I449" s="629" t="s">
        <v>281</v>
      </c>
      <c r="J449" s="629" t="s">
        <v>281</v>
      </c>
      <c r="K449" s="629" t="s">
        <v>281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281</v>
      </c>
      <c r="U449" s="629" t="s">
        <v>281</v>
      </c>
      <c r="V449" s="629" t="s">
        <v>281</v>
      </c>
      <c r="W449" s="629" t="s">
        <v>281</v>
      </c>
      <c r="X449" s="629" t="s">
        <v>281</v>
      </c>
      <c r="Y449" s="629" t="s">
        <v>281</v>
      </c>
      <c r="Z449" s="629" t="s">
        <v>281</v>
      </c>
      <c r="AA449" s="629" t="s">
        <v>281</v>
      </c>
      <c r="AB449" s="629" t="s">
        <v>281</v>
      </c>
      <c r="AC449" s="629" t="s">
        <v>281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281</v>
      </c>
      <c r="AM449" s="629" t="s">
        <v>281</v>
      </c>
      <c r="AN449" s="629" t="s">
        <v>281</v>
      </c>
      <c r="AO449" s="629" t="s">
        <v>281</v>
      </c>
      <c r="AP449" s="629" t="s">
        <v>281</v>
      </c>
      <c r="AQ449" s="629" t="s">
        <v>281</v>
      </c>
      <c r="AR449" s="629" t="s">
        <v>281</v>
      </c>
      <c r="AS449" s="629" t="s">
        <v>281</v>
      </c>
      <c r="AT449" s="629" t="s">
        <v>281</v>
      </c>
      <c r="AU449" s="629" t="s">
        <v>281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281</v>
      </c>
      <c r="BE449" s="629" t="s">
        <v>281</v>
      </c>
      <c r="BF449" s="629" t="s">
        <v>281</v>
      </c>
      <c r="BG449" s="629" t="s">
        <v>281</v>
      </c>
      <c r="BH449" s="629" t="s">
        <v>281</v>
      </c>
      <c r="BI449" s="629" t="s">
        <v>281</v>
      </c>
      <c r="BJ449" s="629" t="s">
        <v>281</v>
      </c>
      <c r="BK449" s="629" t="s">
        <v>281</v>
      </c>
      <c r="BL449" s="629" t="s">
        <v>281</v>
      </c>
      <c r="BM449" s="629" t="s">
        <v>281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281</v>
      </c>
      <c r="BW449" s="629" t="s">
        <v>281</v>
      </c>
      <c r="BX449" s="629" t="s">
        <v>281</v>
      </c>
      <c r="BY449" s="629" t="s">
        <v>281</v>
      </c>
      <c r="BZ449" s="578" t="str">
        <f t="shared" si="1254"/>
        <v/>
      </c>
      <c r="CA449" s="578" t="str">
        <f t="shared" si="1255"/>
        <v/>
      </c>
      <c r="CB449" s="578" t="str">
        <f t="shared" si="1256"/>
        <v/>
      </c>
      <c r="CC449" s="675" t="str">
        <f t="shared" si="1257"/>
        <v/>
      </c>
      <c r="CD449" s="1322"/>
      <c r="CE449" s="1322"/>
      <c r="CF449" s="1322"/>
      <c r="CG449" s="1322"/>
      <c r="CH449" s="1322"/>
      <c r="CI449" s="1322"/>
      <c r="CJ449" s="1322"/>
      <c r="CK449" s="1322"/>
      <c r="CL449" s="1322"/>
      <c r="CM449" s="1322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266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4"/>
        <v>50</v>
      </c>
      <c r="CA450" s="586">
        <f t="shared" si="1255"/>
        <v>50</v>
      </c>
      <c r="CB450" s="586">
        <f t="shared" si="1256"/>
        <v>50</v>
      </c>
      <c r="CC450" s="676">
        <f t="shared" si="1257"/>
        <v>50</v>
      </c>
      <c r="CD450" s="1316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17">
        <f t="shared" si="1283"/>
        <v>50</v>
      </c>
      <c r="CF450" s="1317">
        <f t="shared" si="1283"/>
        <v>50</v>
      </c>
      <c r="CG450" s="1317">
        <f t="shared" si="1283"/>
        <v>50</v>
      </c>
      <c r="CH450" s="1318">
        <f t="shared" si="1283"/>
        <v>50</v>
      </c>
      <c r="CI450" s="1318">
        <f t="shared" si="1283"/>
        <v>50</v>
      </c>
      <c r="CJ450" s="1317">
        <f t="shared" si="1283"/>
        <v>50</v>
      </c>
      <c r="CK450" s="1317">
        <f t="shared" si="1283"/>
        <v>50</v>
      </c>
      <c r="CL450" s="1317">
        <f t="shared" si="1283"/>
        <v>50</v>
      </c>
      <c r="CM450" s="1316">
        <f t="shared" si="1283"/>
        <v>50</v>
      </c>
      <c r="CN450" s="538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300">COUNT(B450:R450)</f>
        <v>10</v>
      </c>
      <c r="DE450" s="95">
        <f t="shared" ref="DE450:DE457" si="1301">COUNT(T450:AJ450)</f>
        <v>10</v>
      </c>
      <c r="DF450" s="95">
        <f t="shared" ref="DF450:DF457" si="1302">COUNT(AL450:BB450)</f>
        <v>10</v>
      </c>
      <c r="DG450" s="95">
        <f t="shared" ref="DG450:DG457" si="1303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282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4"/>
        <v>0.625</v>
      </c>
      <c r="CA451" s="586">
        <f t="shared" si="1255"/>
        <v>1</v>
      </c>
      <c r="CB451" s="586">
        <f t="shared" si="1256"/>
        <v>0.87500000000000022</v>
      </c>
      <c r="CC451" s="676">
        <f t="shared" si="1257"/>
        <v>0.90624999999999989</v>
      </c>
      <c r="CD451" s="1316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317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17">
        <f t="shared" si="1304"/>
        <v>0.5</v>
      </c>
      <c r="CG451" s="1317">
        <f t="shared" si="1304"/>
        <v>1</v>
      </c>
      <c r="CH451" s="1318">
        <f t="shared" si="1304"/>
        <v>1</v>
      </c>
      <c r="CI451" s="1318">
        <f t="shared" si="1304"/>
        <v>1</v>
      </c>
      <c r="CJ451" s="1317">
        <f t="shared" si="1304"/>
        <v>1</v>
      </c>
      <c r="CK451" s="1317">
        <f t="shared" si="1304"/>
        <v>1</v>
      </c>
      <c r="CL451" s="1317">
        <f t="shared" si="1304"/>
        <v>1</v>
      </c>
      <c r="CM451" s="1316">
        <f t="shared" si="1304"/>
        <v>1.6</v>
      </c>
      <c r="CN451" s="538" t="str">
        <f t="shared" si="1284"/>
        <v/>
      </c>
      <c r="CO451" s="539" t="str">
        <f t="shared" si="1285"/>
        <v/>
      </c>
      <c r="CP451" s="539" t="str">
        <f t="shared" si="1286"/>
        <v/>
      </c>
      <c r="CQ451" s="539">
        <f t="shared" si="1287"/>
        <v>0.5</v>
      </c>
      <c r="CR451" s="539">
        <f t="shared" si="1288"/>
        <v>0.5</v>
      </c>
      <c r="CS451" s="539">
        <f t="shared" si="1289"/>
        <v>0.75</v>
      </c>
      <c r="CT451" s="540">
        <f t="shared" si="1290"/>
        <v>1</v>
      </c>
      <c r="CU451" s="540">
        <f t="shared" si="1291"/>
        <v>1</v>
      </c>
      <c r="CV451" s="540">
        <f t="shared" si="1292"/>
        <v>1</v>
      </c>
      <c r="CW451" s="539">
        <f t="shared" si="1293"/>
        <v>1</v>
      </c>
      <c r="CX451" s="539">
        <f t="shared" si="1294"/>
        <v>1</v>
      </c>
      <c r="CY451" s="539">
        <f t="shared" si="1295"/>
        <v>1</v>
      </c>
      <c r="CZ451" s="539">
        <f t="shared" si="1296"/>
        <v>1.2</v>
      </c>
      <c r="DA451" s="539" t="str">
        <f t="shared" si="1297"/>
        <v/>
      </c>
      <c r="DB451" s="538" t="str">
        <f t="shared" si="1298"/>
        <v/>
      </c>
      <c r="DC451" s="537" t="str">
        <f t="shared" si="1299"/>
        <v/>
      </c>
      <c r="DD451" s="641">
        <f t="shared" si="1300"/>
        <v>10</v>
      </c>
      <c r="DE451" s="95">
        <f t="shared" si="1301"/>
        <v>10</v>
      </c>
      <c r="DF451" s="95">
        <f t="shared" si="1302"/>
        <v>10</v>
      </c>
      <c r="DG451" s="95">
        <f t="shared" si="1303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283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4"/>
        <v>12</v>
      </c>
      <c r="CA452" s="586">
        <f t="shared" si="1255"/>
        <v>12</v>
      </c>
      <c r="CB452" s="586">
        <f t="shared" si="1256"/>
        <v>12</v>
      </c>
      <c r="CC452" s="676">
        <f t="shared" si="1257"/>
        <v>12</v>
      </c>
      <c r="CD452" s="1316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17">
        <f t="shared" si="1304"/>
        <v>12</v>
      </c>
      <c r="CF452" s="1317">
        <f t="shared" si="1304"/>
        <v>12</v>
      </c>
      <c r="CG452" s="1317">
        <f t="shared" si="1304"/>
        <v>12</v>
      </c>
      <c r="CH452" s="1318">
        <f t="shared" si="1304"/>
        <v>12</v>
      </c>
      <c r="CI452" s="1318">
        <f t="shared" si="1304"/>
        <v>12</v>
      </c>
      <c r="CJ452" s="1317">
        <f t="shared" si="1304"/>
        <v>12</v>
      </c>
      <c r="CK452" s="1317">
        <f t="shared" si="1304"/>
        <v>12</v>
      </c>
      <c r="CL452" s="1317">
        <f t="shared" si="1304"/>
        <v>12</v>
      </c>
      <c r="CM452" s="1316">
        <f t="shared" si="1304"/>
        <v>12</v>
      </c>
      <c r="CN452" s="538" t="str">
        <f t="shared" si="1284"/>
        <v/>
      </c>
      <c r="CO452" s="539" t="str">
        <f t="shared" si="1285"/>
        <v/>
      </c>
      <c r="CP452" s="539" t="str">
        <f t="shared" si="1286"/>
        <v/>
      </c>
      <c r="CQ452" s="539">
        <f t="shared" si="1287"/>
        <v>10</v>
      </c>
      <c r="CR452" s="539">
        <f t="shared" si="1288"/>
        <v>12</v>
      </c>
      <c r="CS452" s="539">
        <f t="shared" si="1289"/>
        <v>12</v>
      </c>
      <c r="CT452" s="540">
        <f t="shared" si="1290"/>
        <v>12</v>
      </c>
      <c r="CU452" s="540">
        <f t="shared" si="1291"/>
        <v>12</v>
      </c>
      <c r="CV452" s="540">
        <f t="shared" si="1292"/>
        <v>12</v>
      </c>
      <c r="CW452" s="539">
        <f t="shared" si="1293"/>
        <v>12</v>
      </c>
      <c r="CX452" s="539">
        <f t="shared" si="1294"/>
        <v>12</v>
      </c>
      <c r="CY452" s="539">
        <f t="shared" si="1295"/>
        <v>12</v>
      </c>
      <c r="CZ452" s="539">
        <f t="shared" si="1296"/>
        <v>12</v>
      </c>
      <c r="DA452" s="539" t="str">
        <f t="shared" si="1297"/>
        <v/>
      </c>
      <c r="DB452" s="538" t="str">
        <f t="shared" si="1298"/>
        <v/>
      </c>
      <c r="DC452" s="537" t="str">
        <f t="shared" si="1299"/>
        <v/>
      </c>
      <c r="DD452" s="641">
        <f t="shared" si="1300"/>
        <v>10</v>
      </c>
      <c r="DE452" s="95">
        <f t="shared" si="1301"/>
        <v>10</v>
      </c>
      <c r="DF452" s="95">
        <f t="shared" si="1302"/>
        <v>10</v>
      </c>
      <c r="DG452" s="95">
        <f t="shared" si="1303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267</v>
      </c>
      <c r="B453" s="618">
        <f t="shared" ref="B453:K453" si="1305">IF(B451="","",B450*B451*B452)</f>
        <v>600</v>
      </c>
      <c r="C453" s="618">
        <f t="shared" si="1305"/>
        <v>300</v>
      </c>
      <c r="D453" s="618">
        <f t="shared" si="1305"/>
        <v>300</v>
      </c>
      <c r="E453" s="618">
        <f t="shared" si="1305"/>
        <v>960</v>
      </c>
      <c r="F453" s="618">
        <f t="shared" si="1305"/>
        <v>300</v>
      </c>
      <c r="G453" s="618">
        <f t="shared" si="1305"/>
        <v>300</v>
      </c>
      <c r="H453" s="618">
        <f t="shared" si="1305"/>
        <v>600</v>
      </c>
      <c r="I453" s="618">
        <f t="shared" si="1305"/>
        <v>120</v>
      </c>
      <c r="J453" s="618">
        <f t="shared" si="1305"/>
        <v>300</v>
      </c>
      <c r="K453" s="618">
        <f t="shared" si="1305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6">IF(T451="","",T450*T451*T452)</f>
        <v>600</v>
      </c>
      <c r="U453" s="618">
        <f t="shared" si="1306"/>
        <v>300</v>
      </c>
      <c r="V453" s="618">
        <f t="shared" si="1306"/>
        <v>600</v>
      </c>
      <c r="W453" s="618">
        <f t="shared" si="1306"/>
        <v>960</v>
      </c>
      <c r="X453" s="618">
        <f t="shared" si="1306"/>
        <v>600</v>
      </c>
      <c r="Y453" s="618">
        <f t="shared" si="1306"/>
        <v>600</v>
      </c>
      <c r="Z453" s="618">
        <f t="shared" si="1306"/>
        <v>600</v>
      </c>
      <c r="AA453" s="618">
        <f t="shared" si="1306"/>
        <v>600</v>
      </c>
      <c r="AB453" s="618">
        <f t="shared" si="1306"/>
        <v>600</v>
      </c>
      <c r="AC453" s="618">
        <f t="shared" si="1306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7">IF(AL451="","",AL450*AL451*AL452)</f>
        <v>600</v>
      </c>
      <c r="AM453" s="618">
        <f t="shared" si="1307"/>
        <v>600</v>
      </c>
      <c r="AN453" s="618">
        <f t="shared" si="1307"/>
        <v>300</v>
      </c>
      <c r="AO453" s="618">
        <f t="shared" si="1307"/>
        <v>960</v>
      </c>
      <c r="AP453" s="618">
        <f t="shared" si="1307"/>
        <v>600</v>
      </c>
      <c r="AQ453" s="618">
        <f t="shared" si="1307"/>
        <v>120</v>
      </c>
      <c r="AR453" s="618">
        <f t="shared" si="1307"/>
        <v>600</v>
      </c>
      <c r="AS453" s="618">
        <f t="shared" si="1307"/>
        <v>600</v>
      </c>
      <c r="AT453" s="618">
        <f t="shared" si="1307"/>
        <v>300</v>
      </c>
      <c r="AU453" s="618">
        <f t="shared" si="1307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8">IF(BD451="","",BD450*BD451*BD452)</f>
        <v>600</v>
      </c>
      <c r="BE453" s="618">
        <f t="shared" si="1308"/>
        <v>600</v>
      </c>
      <c r="BF453" s="618">
        <f t="shared" si="1308"/>
        <v>600</v>
      </c>
      <c r="BG453" s="618">
        <f t="shared" si="1308"/>
        <v>300</v>
      </c>
      <c r="BH453" s="618">
        <f t="shared" si="1308"/>
        <v>600</v>
      </c>
      <c r="BI453" s="618">
        <f t="shared" si="1308"/>
        <v>500</v>
      </c>
      <c r="BJ453" s="618">
        <f t="shared" si="1308"/>
        <v>600</v>
      </c>
      <c r="BK453" s="618">
        <f t="shared" si="1308"/>
        <v>300</v>
      </c>
      <c r="BL453" s="618">
        <f t="shared" si="1308"/>
        <v>720</v>
      </c>
      <c r="BM453" s="618">
        <f t="shared" si="1308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4"/>
        <v>375</v>
      </c>
      <c r="CA453" s="586">
        <f t="shared" si="1255"/>
        <v>600</v>
      </c>
      <c r="CB453" s="586">
        <f t="shared" si="1256"/>
        <v>525</v>
      </c>
      <c r="CC453" s="676">
        <f t="shared" si="1257"/>
        <v>531.25</v>
      </c>
      <c r="CD453" s="131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7">
        <f t="shared" si="1304"/>
        <v>300</v>
      </c>
      <c r="CF453" s="1317">
        <f t="shared" si="1304"/>
        <v>300</v>
      </c>
      <c r="CG453" s="1317">
        <f t="shared" si="1304"/>
        <v>600</v>
      </c>
      <c r="CH453" s="1318">
        <f t="shared" si="1304"/>
        <v>600</v>
      </c>
      <c r="CI453" s="1318">
        <f t="shared" si="1304"/>
        <v>600</v>
      </c>
      <c r="CJ453" s="1317">
        <f t="shared" si="1304"/>
        <v>600</v>
      </c>
      <c r="CK453" s="1317">
        <f t="shared" si="1304"/>
        <v>600</v>
      </c>
      <c r="CL453" s="1317">
        <f t="shared" si="1304"/>
        <v>600</v>
      </c>
      <c r="CM453" s="1316">
        <f t="shared" si="1304"/>
        <v>960</v>
      </c>
      <c r="CN453" s="538" t="str">
        <f t="shared" si="1284"/>
        <v/>
      </c>
      <c r="CO453" s="539" t="str">
        <f t="shared" si="1285"/>
        <v/>
      </c>
      <c r="CP453" s="539" t="str">
        <f t="shared" si="1286"/>
        <v/>
      </c>
      <c r="CQ453" s="539">
        <f t="shared" si="1287"/>
        <v>300</v>
      </c>
      <c r="CR453" s="539">
        <f t="shared" si="1288"/>
        <v>300</v>
      </c>
      <c r="CS453" s="539">
        <f t="shared" si="1289"/>
        <v>450</v>
      </c>
      <c r="CT453" s="540">
        <f t="shared" si="1290"/>
        <v>500</v>
      </c>
      <c r="CU453" s="540">
        <f t="shared" si="1291"/>
        <v>600</v>
      </c>
      <c r="CV453" s="540">
        <f t="shared" si="1292"/>
        <v>600</v>
      </c>
      <c r="CW453" s="539">
        <f t="shared" si="1293"/>
        <v>600</v>
      </c>
      <c r="CX453" s="539">
        <f t="shared" si="1294"/>
        <v>600</v>
      </c>
      <c r="CY453" s="539">
        <f t="shared" si="1295"/>
        <v>600</v>
      </c>
      <c r="CZ453" s="539">
        <f t="shared" si="1296"/>
        <v>720</v>
      </c>
      <c r="DA453" s="539" t="str">
        <f t="shared" si="1297"/>
        <v/>
      </c>
      <c r="DB453" s="538" t="str">
        <f t="shared" si="1298"/>
        <v/>
      </c>
      <c r="DC453" s="537" t="str">
        <f t="shared" si="1299"/>
        <v/>
      </c>
      <c r="DD453" s="641">
        <f t="shared" si="1300"/>
        <v>10</v>
      </c>
      <c r="DE453" s="95">
        <f t="shared" si="1301"/>
        <v>10</v>
      </c>
      <c r="DF453" s="95">
        <f t="shared" si="1302"/>
        <v>10</v>
      </c>
      <c r="DG453" s="95">
        <f t="shared" si="1303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284</v>
      </c>
      <c r="B454" s="690">
        <f>3620*$K$1</f>
        <v>15156.216</v>
      </c>
      <c r="C454" s="690">
        <f t="shared" ref="C454:K454" si="1309">3620*$K$1</f>
        <v>15156.216</v>
      </c>
      <c r="D454" s="690">
        <f t="shared" si="1309"/>
        <v>15156.216</v>
      </c>
      <c r="E454" s="690">
        <f t="shared" si="1309"/>
        <v>15156.216</v>
      </c>
      <c r="F454" s="690">
        <f t="shared" si="1309"/>
        <v>15156.216</v>
      </c>
      <c r="G454" s="690">
        <f t="shared" si="1309"/>
        <v>15156.216</v>
      </c>
      <c r="H454" s="690">
        <f t="shared" si="1309"/>
        <v>15156.216</v>
      </c>
      <c r="I454" s="690">
        <f t="shared" si="1309"/>
        <v>15156.216</v>
      </c>
      <c r="J454" s="690">
        <f t="shared" si="1309"/>
        <v>15156.216</v>
      </c>
      <c r="K454" s="690">
        <f t="shared" si="1309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10">3620*$K$1</f>
        <v>15156.216</v>
      </c>
      <c r="V454" s="690">
        <f t="shared" si="1310"/>
        <v>15156.216</v>
      </c>
      <c r="W454" s="690">
        <f t="shared" si="1310"/>
        <v>15156.216</v>
      </c>
      <c r="X454" s="690">
        <f t="shared" si="1310"/>
        <v>15156.216</v>
      </c>
      <c r="Y454" s="690">
        <f t="shared" si="1310"/>
        <v>15156.216</v>
      </c>
      <c r="Z454" s="690">
        <f t="shared" si="1310"/>
        <v>15156.216</v>
      </c>
      <c r="AA454" s="690">
        <f t="shared" si="1310"/>
        <v>15156.216</v>
      </c>
      <c r="AB454" s="690">
        <f t="shared" si="1310"/>
        <v>15156.216</v>
      </c>
      <c r="AC454" s="690">
        <f t="shared" si="1310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11">3620*$K$1</f>
        <v>15156.216</v>
      </c>
      <c r="AN454" s="690">
        <f t="shared" si="1311"/>
        <v>15156.216</v>
      </c>
      <c r="AO454" s="690">
        <f t="shared" si="1311"/>
        <v>15156.216</v>
      </c>
      <c r="AP454" s="690">
        <f t="shared" si="1311"/>
        <v>15156.216</v>
      </c>
      <c r="AQ454" s="690">
        <f t="shared" si="1311"/>
        <v>15156.216</v>
      </c>
      <c r="AR454" s="690">
        <f t="shared" si="1311"/>
        <v>15156.216</v>
      </c>
      <c r="AS454" s="690">
        <f t="shared" si="1311"/>
        <v>15156.216</v>
      </c>
      <c r="AT454" s="690">
        <f t="shared" si="1311"/>
        <v>15156.216</v>
      </c>
      <c r="AU454" s="690">
        <f t="shared" si="1311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2">3620*$K$1</f>
        <v>15156.216</v>
      </c>
      <c r="BF454" s="690">
        <f t="shared" si="1312"/>
        <v>15156.216</v>
      </c>
      <c r="BG454" s="690">
        <f t="shared" si="1312"/>
        <v>15156.216</v>
      </c>
      <c r="BH454" s="690">
        <f t="shared" si="1312"/>
        <v>15156.216</v>
      </c>
      <c r="BI454" s="690">
        <f t="shared" si="1312"/>
        <v>15156.216</v>
      </c>
      <c r="BJ454" s="690">
        <f t="shared" si="1312"/>
        <v>15156.216</v>
      </c>
      <c r="BK454" s="690">
        <f t="shared" si="1312"/>
        <v>15156.216</v>
      </c>
      <c r="BL454" s="690">
        <f t="shared" si="1312"/>
        <v>15156.216</v>
      </c>
      <c r="BM454" s="690">
        <f t="shared" si="1312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2"/>
        <v>15156.216</v>
      </c>
      <c r="BW454" s="690">
        <f t="shared" si="1312"/>
        <v>15156.216</v>
      </c>
      <c r="BX454" s="690">
        <f t="shared" si="1312"/>
        <v>15156.216</v>
      </c>
      <c r="BY454" s="690">
        <f t="shared" si="1312"/>
        <v>15156.216</v>
      </c>
      <c r="BZ454" s="586">
        <f t="shared" si="1254"/>
        <v>15156.216000000002</v>
      </c>
      <c r="CA454" s="586">
        <f t="shared" si="1255"/>
        <v>15156.216000000002</v>
      </c>
      <c r="CB454" s="586">
        <f t="shared" si="1256"/>
        <v>15156.216000000002</v>
      </c>
      <c r="CC454" s="676">
        <f t="shared" si="1257"/>
        <v>15156.216000000002</v>
      </c>
      <c r="CD454" s="131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7">
        <f t="shared" si="1304"/>
        <v>15156.216</v>
      </c>
      <c r="CF454" s="1317">
        <f t="shared" si="1304"/>
        <v>15156.216</v>
      </c>
      <c r="CG454" s="1317">
        <f t="shared" si="1304"/>
        <v>15156.216</v>
      </c>
      <c r="CH454" s="1318">
        <f t="shared" si="1304"/>
        <v>15156.216</v>
      </c>
      <c r="CI454" s="1318">
        <f t="shared" si="1304"/>
        <v>15156.216</v>
      </c>
      <c r="CJ454" s="1317">
        <f t="shared" si="1304"/>
        <v>15156.216</v>
      </c>
      <c r="CK454" s="1317">
        <f t="shared" si="1304"/>
        <v>15156.216</v>
      </c>
      <c r="CL454" s="1317">
        <f t="shared" si="1304"/>
        <v>15156.216</v>
      </c>
      <c r="CM454" s="1316">
        <f t="shared" si="1304"/>
        <v>15156.216</v>
      </c>
      <c r="CN454" s="538" t="str">
        <f t="shared" si="1284"/>
        <v/>
      </c>
      <c r="CO454" s="539" t="str">
        <f t="shared" si="1285"/>
        <v/>
      </c>
      <c r="CP454" s="539" t="str">
        <f t="shared" si="1286"/>
        <v/>
      </c>
      <c r="CQ454" s="539">
        <f t="shared" si="1287"/>
        <v>15156.216</v>
      </c>
      <c r="CR454" s="539">
        <f t="shared" si="1288"/>
        <v>15156.216</v>
      </c>
      <c r="CS454" s="539">
        <f t="shared" si="1289"/>
        <v>15156.216</v>
      </c>
      <c r="CT454" s="540">
        <f t="shared" si="1290"/>
        <v>15156.216</v>
      </c>
      <c r="CU454" s="540">
        <f t="shared" si="1291"/>
        <v>15156.216</v>
      </c>
      <c r="CV454" s="540">
        <f t="shared" si="1292"/>
        <v>15156.216</v>
      </c>
      <c r="CW454" s="539">
        <f t="shared" si="1293"/>
        <v>15156.216</v>
      </c>
      <c r="CX454" s="539">
        <f t="shared" si="1294"/>
        <v>15156.216</v>
      </c>
      <c r="CY454" s="539">
        <f t="shared" si="1295"/>
        <v>15156.216</v>
      </c>
      <c r="CZ454" s="539">
        <f t="shared" si="1296"/>
        <v>15156.216</v>
      </c>
      <c r="DA454" s="539" t="str">
        <f t="shared" si="1297"/>
        <v/>
      </c>
      <c r="DB454" s="538" t="str">
        <f t="shared" si="1298"/>
        <v/>
      </c>
      <c r="DC454" s="537" t="str">
        <f t="shared" si="1299"/>
        <v/>
      </c>
      <c r="DD454" s="641">
        <f t="shared" si="1300"/>
        <v>10</v>
      </c>
      <c r="DE454" s="95">
        <f t="shared" si="1301"/>
        <v>10</v>
      </c>
      <c r="DF454" s="95">
        <f t="shared" si="1302"/>
        <v>10</v>
      </c>
      <c r="DG454" s="95">
        <f t="shared" si="1303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227</v>
      </c>
      <c r="B455" s="621">
        <f t="shared" ref="B455:K455" si="1313">IF(B453="","",B453*B454/B$46/365/$G$1)</f>
        <v>0.28311735990037362</v>
      </c>
      <c r="C455" s="621">
        <f t="shared" si="1313"/>
        <v>0.20222668564312399</v>
      </c>
      <c r="D455" s="621">
        <f t="shared" si="1313"/>
        <v>0.17694834993773351</v>
      </c>
      <c r="E455" s="621">
        <f t="shared" si="1313"/>
        <v>0.45298777584059774</v>
      </c>
      <c r="F455" s="621">
        <f t="shared" si="1313"/>
        <v>0.20222668564312399</v>
      </c>
      <c r="G455" s="621">
        <f t="shared" si="1313"/>
        <v>0.17694834993773351</v>
      </c>
      <c r="H455" s="621">
        <f t="shared" si="1313"/>
        <v>0.31457484433374844</v>
      </c>
      <c r="I455" s="621">
        <f t="shared" si="1313"/>
        <v>0.11324694396014943</v>
      </c>
      <c r="J455" s="621">
        <f t="shared" si="1313"/>
        <v>0.17694834993773351</v>
      </c>
      <c r="K455" s="621">
        <f t="shared" si="1313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4">IF(T453="","",T453*T454/T$46/365/$G$1)</f>
        <v>0.35389669987546701</v>
      </c>
      <c r="U455" s="621">
        <f t="shared" si="1314"/>
        <v>0.20222668564312399</v>
      </c>
      <c r="V455" s="621">
        <f t="shared" si="1314"/>
        <v>0.31457484433374844</v>
      </c>
      <c r="W455" s="621">
        <f t="shared" si="1314"/>
        <v>0.45298777584059774</v>
      </c>
      <c r="X455" s="621">
        <f t="shared" si="1314"/>
        <v>0.35389669987546701</v>
      </c>
      <c r="Y455" s="621">
        <f t="shared" si="1314"/>
        <v>0.28311735990037362</v>
      </c>
      <c r="Z455" s="621">
        <f t="shared" si="1314"/>
        <v>0.31457484433374844</v>
      </c>
      <c r="AA455" s="621">
        <f t="shared" si="1314"/>
        <v>0.28311735990037362</v>
      </c>
      <c r="AB455" s="621">
        <f t="shared" si="1314"/>
        <v>0.35389669987546701</v>
      </c>
      <c r="AC455" s="621">
        <f t="shared" si="1314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5">IF(AL453="","",AL453*AL454/AL$46/365/$G$1)</f>
        <v>0.40445337128624798</v>
      </c>
      <c r="AM455" s="621">
        <f t="shared" si="1315"/>
        <v>0.35389669987546701</v>
      </c>
      <c r="AN455" s="621">
        <f t="shared" si="1315"/>
        <v>0.28311735990037362</v>
      </c>
      <c r="AO455" s="621">
        <f t="shared" si="1315"/>
        <v>0.45298777584059774</v>
      </c>
      <c r="AP455" s="621">
        <f t="shared" si="1315"/>
        <v>0.28311735990037362</v>
      </c>
      <c r="AQ455" s="621">
        <f t="shared" si="1315"/>
        <v>0.11324694396014943</v>
      </c>
      <c r="AR455" s="621">
        <f t="shared" si="1315"/>
        <v>0.40445337128624798</v>
      </c>
      <c r="AS455" s="621">
        <f t="shared" si="1315"/>
        <v>0.28311735990037362</v>
      </c>
      <c r="AT455" s="621">
        <f t="shared" si="1315"/>
        <v>0.28311735990037362</v>
      </c>
      <c r="AU455" s="621">
        <f t="shared" si="1315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6">IF(BD453="","",BD453*BD454/BD$46/365/$G$1)</f>
        <v>0.23593113325031131</v>
      </c>
      <c r="BE455" s="621">
        <f t="shared" si="1316"/>
        <v>0.35389669987546701</v>
      </c>
      <c r="BF455" s="621">
        <f t="shared" si="1316"/>
        <v>0.23593113325031131</v>
      </c>
      <c r="BG455" s="621">
        <f t="shared" si="1316"/>
        <v>0.20222668564312399</v>
      </c>
      <c r="BH455" s="621">
        <f t="shared" si="1316"/>
        <v>0.25737941809124876</v>
      </c>
      <c r="BI455" s="621">
        <f t="shared" si="1316"/>
        <v>0.23593113325031134</v>
      </c>
      <c r="BJ455" s="621">
        <f t="shared" si="1316"/>
        <v>0.35389669987546701</v>
      </c>
      <c r="BK455" s="621">
        <f t="shared" si="1316"/>
        <v>0.20222668564312399</v>
      </c>
      <c r="BL455" s="621">
        <f t="shared" si="1316"/>
        <v>0.30885530170949843</v>
      </c>
      <c r="BM455" s="621">
        <f t="shared" si="1316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4"/>
        <v>0.21690216387208683</v>
      </c>
      <c r="CA455" s="611">
        <f t="shared" si="1255"/>
        <v>0.32145616905354923</v>
      </c>
      <c r="CB455" s="611">
        <f t="shared" si="1256"/>
        <v>0.32229878024372893</v>
      </c>
      <c r="CC455" s="611">
        <f t="shared" si="1257"/>
        <v>0.26668644169186978</v>
      </c>
      <c r="CD455" s="1319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320">
        <f t="shared" si="1304"/>
        <v>0.28311735990037362</v>
      </c>
      <c r="CF455" s="1320">
        <f t="shared" si="1304"/>
        <v>0.28311735990037362</v>
      </c>
      <c r="CG455" s="1320">
        <f t="shared" si="1304"/>
        <v>0.28311735990037362</v>
      </c>
      <c r="CH455" s="1321">
        <f t="shared" si="1304"/>
        <v>0.28311735990037362</v>
      </c>
      <c r="CI455" s="1321">
        <f t="shared" si="1304"/>
        <v>0.28311735990037362</v>
      </c>
      <c r="CJ455" s="1320">
        <f t="shared" si="1304"/>
        <v>0.35389669987546701</v>
      </c>
      <c r="CK455" s="1320">
        <f t="shared" si="1304"/>
        <v>0.40445337128624798</v>
      </c>
      <c r="CL455" s="1320">
        <f t="shared" si="1304"/>
        <v>0.40445337128624798</v>
      </c>
      <c r="CM455" s="1319">
        <f t="shared" si="1304"/>
        <v>0.45298777584059774</v>
      </c>
      <c r="CN455" s="526" t="str">
        <f t="shared" si="1284"/>
        <v/>
      </c>
      <c r="CO455" s="527" t="str">
        <f t="shared" si="1285"/>
        <v/>
      </c>
      <c r="CP455" s="527" t="str">
        <f t="shared" si="1286"/>
        <v/>
      </c>
      <c r="CQ455" s="527">
        <f t="shared" si="1287"/>
        <v>0.20222668564312399</v>
      </c>
      <c r="CR455" s="527">
        <f t="shared" si="1288"/>
        <v>0.20222668564312399</v>
      </c>
      <c r="CS455" s="527">
        <f t="shared" si="1289"/>
        <v>0.23593113325031131</v>
      </c>
      <c r="CT455" s="528">
        <f t="shared" si="1290"/>
        <v>0.23593113325031131</v>
      </c>
      <c r="CU455" s="528">
        <f t="shared" si="1291"/>
        <v>0.23593113325031134</v>
      </c>
      <c r="CV455" s="528">
        <f t="shared" si="1292"/>
        <v>0.25737941809124876</v>
      </c>
      <c r="CW455" s="527">
        <f t="shared" si="1293"/>
        <v>0.30334002846468605</v>
      </c>
      <c r="CX455" s="527">
        <f t="shared" si="1294"/>
        <v>0.30885530170949843</v>
      </c>
      <c r="CY455" s="527">
        <f t="shared" si="1295"/>
        <v>0.35389669987546701</v>
      </c>
      <c r="CZ455" s="527">
        <f t="shared" si="1296"/>
        <v>0.35389669987546701</v>
      </c>
      <c r="DA455" s="527" t="str">
        <f t="shared" si="1297"/>
        <v/>
      </c>
      <c r="DB455" s="526" t="str">
        <f t="shared" si="1298"/>
        <v/>
      </c>
      <c r="DC455" s="525" t="str">
        <f t="shared" si="1299"/>
        <v/>
      </c>
      <c r="DD455" s="641">
        <f t="shared" si="1300"/>
        <v>10</v>
      </c>
      <c r="DE455" s="95">
        <f t="shared" si="1301"/>
        <v>10</v>
      </c>
      <c r="DF455" s="95">
        <f t="shared" si="1302"/>
        <v>10</v>
      </c>
      <c r="DG455" s="95">
        <f t="shared" si="1303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0" t="s">
        <v>285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4"/>
        <v>151.25</v>
      </c>
      <c r="CA456" s="586">
        <f t="shared" si="1255"/>
        <v>331.25</v>
      </c>
      <c r="CB456" s="586">
        <f t="shared" si="1256"/>
        <v>276.875</v>
      </c>
      <c r="CC456" s="676">
        <f t="shared" si="1257"/>
        <v>203.75</v>
      </c>
      <c r="CD456" s="1316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317">
        <f t="shared" si="1317"/>
        <v>175</v>
      </c>
      <c r="CF456" s="1317">
        <f t="shared" si="1317"/>
        <v>210</v>
      </c>
      <c r="CG456" s="1317">
        <f t="shared" si="1317"/>
        <v>250</v>
      </c>
      <c r="CH456" s="1318">
        <f t="shared" si="1317"/>
        <v>300</v>
      </c>
      <c r="CI456" s="1318">
        <f t="shared" si="1317"/>
        <v>310</v>
      </c>
      <c r="CJ456" s="1317">
        <f t="shared" si="1317"/>
        <v>315</v>
      </c>
      <c r="CK456" s="1317">
        <f t="shared" si="1317"/>
        <v>320</v>
      </c>
      <c r="CL456" s="1317">
        <f t="shared" si="1317"/>
        <v>335</v>
      </c>
      <c r="CM456" s="1316">
        <f t="shared" si="1317"/>
        <v>335</v>
      </c>
      <c r="CN456" s="538" t="str">
        <f t="shared" si="1284"/>
        <v/>
      </c>
      <c r="CO456" s="539" t="str">
        <f t="shared" si="1285"/>
        <v/>
      </c>
      <c r="CP456" s="539" t="str">
        <f t="shared" si="1286"/>
        <v/>
      </c>
      <c r="CQ456" s="539">
        <f t="shared" si="1287"/>
        <v>170</v>
      </c>
      <c r="CR456" s="539">
        <f t="shared" si="1288"/>
        <v>170</v>
      </c>
      <c r="CS456" s="539">
        <f t="shared" si="1289"/>
        <v>190</v>
      </c>
      <c r="CT456" s="540">
        <f t="shared" si="1290"/>
        <v>190</v>
      </c>
      <c r="CU456" s="540">
        <f t="shared" si="1291"/>
        <v>190</v>
      </c>
      <c r="CV456" s="540">
        <f t="shared" si="1292"/>
        <v>200</v>
      </c>
      <c r="CW456" s="539">
        <f t="shared" si="1293"/>
        <v>200</v>
      </c>
      <c r="CX456" s="539">
        <f t="shared" si="1294"/>
        <v>210</v>
      </c>
      <c r="CY456" s="539">
        <f t="shared" si="1295"/>
        <v>280</v>
      </c>
      <c r="CZ456" s="539">
        <f t="shared" si="1296"/>
        <v>290</v>
      </c>
      <c r="DA456" s="539" t="str">
        <f t="shared" si="1297"/>
        <v/>
      </c>
      <c r="DB456" s="538" t="str">
        <f t="shared" si="1298"/>
        <v/>
      </c>
      <c r="DC456" s="537" t="str">
        <f t="shared" si="1299"/>
        <v/>
      </c>
      <c r="DD456" s="641">
        <f t="shared" si="1300"/>
        <v>10</v>
      </c>
      <c r="DE456" s="95">
        <f t="shared" si="1301"/>
        <v>10</v>
      </c>
      <c r="DF456" s="95">
        <f t="shared" si="1302"/>
        <v>10</v>
      </c>
      <c r="DG456" s="95">
        <f t="shared" si="1303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286</v>
      </c>
      <c r="B457" s="618">
        <f t="shared" ref="B457:K457" si="1318">IF(B456="","",B451*B456*B452)</f>
        <v>2400</v>
      </c>
      <c r="C457" s="618">
        <f t="shared" si="1318"/>
        <v>720</v>
      </c>
      <c r="D457" s="618">
        <f t="shared" si="1318"/>
        <v>720</v>
      </c>
      <c r="E457" s="618">
        <f t="shared" si="1318"/>
        <v>6144</v>
      </c>
      <c r="F457" s="618">
        <f t="shared" si="1318"/>
        <v>720</v>
      </c>
      <c r="G457" s="618">
        <f t="shared" si="1318"/>
        <v>960</v>
      </c>
      <c r="H457" s="618">
        <f t="shared" si="1318"/>
        <v>2640</v>
      </c>
      <c r="I457" s="618">
        <f t="shared" si="1318"/>
        <v>264</v>
      </c>
      <c r="J457" s="618">
        <f t="shared" si="1318"/>
        <v>900</v>
      </c>
      <c r="K457" s="618">
        <f t="shared" si="1318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9">IF(T456="","",T451*T456*T452)</f>
        <v>3840</v>
      </c>
      <c r="U457" s="618">
        <f t="shared" si="1319"/>
        <v>720</v>
      </c>
      <c r="V457" s="618">
        <f t="shared" si="1319"/>
        <v>3840</v>
      </c>
      <c r="W457" s="618">
        <f t="shared" si="1319"/>
        <v>6720</v>
      </c>
      <c r="X457" s="618">
        <f t="shared" si="1319"/>
        <v>3840</v>
      </c>
      <c r="Y457" s="618">
        <f t="shared" si="1319"/>
        <v>3840</v>
      </c>
      <c r="Z457" s="618">
        <f t="shared" si="1319"/>
        <v>3840</v>
      </c>
      <c r="AA457" s="618">
        <f t="shared" si="1319"/>
        <v>4200</v>
      </c>
      <c r="AB457" s="618">
        <f t="shared" si="1319"/>
        <v>4200</v>
      </c>
      <c r="AC457" s="618">
        <f t="shared" si="1319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20">IF(AL456="","",AL451*AL456*AL452)</f>
        <v>3840</v>
      </c>
      <c r="AM457" s="618">
        <f t="shared" si="1320"/>
        <v>4020</v>
      </c>
      <c r="AN457" s="618">
        <f t="shared" si="1320"/>
        <v>1260</v>
      </c>
      <c r="AO457" s="618">
        <f t="shared" si="1320"/>
        <v>4800</v>
      </c>
      <c r="AP457" s="618">
        <f t="shared" si="1320"/>
        <v>3600</v>
      </c>
      <c r="AQ457" s="618">
        <f t="shared" si="1320"/>
        <v>360</v>
      </c>
      <c r="AR457" s="618">
        <f t="shared" si="1320"/>
        <v>4020</v>
      </c>
      <c r="AS457" s="618">
        <f t="shared" si="1320"/>
        <v>3720</v>
      </c>
      <c r="AT457" s="618">
        <f t="shared" si="1320"/>
        <v>1050</v>
      </c>
      <c r="AU457" s="618">
        <f t="shared" si="1320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21">IF(BD456="","",BD451*BD456*BD452)</f>
        <v>3480</v>
      </c>
      <c r="BE457" s="618">
        <f t="shared" si="1321"/>
        <v>2040</v>
      </c>
      <c r="BF457" s="618">
        <f t="shared" si="1321"/>
        <v>2400</v>
      </c>
      <c r="BG457" s="618">
        <f t="shared" si="1321"/>
        <v>1260</v>
      </c>
      <c r="BH457" s="618">
        <f t="shared" si="1321"/>
        <v>3360</v>
      </c>
      <c r="BI457" s="618">
        <f t="shared" si="1321"/>
        <v>1900</v>
      </c>
      <c r="BJ457" s="618">
        <f t="shared" si="1321"/>
        <v>2280</v>
      </c>
      <c r="BK457" s="618">
        <f t="shared" si="1321"/>
        <v>1020</v>
      </c>
      <c r="BL457" s="618">
        <f t="shared" si="1321"/>
        <v>2736</v>
      </c>
      <c r="BM457" s="618">
        <f t="shared" si="1321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4"/>
        <v>1222.5</v>
      </c>
      <c r="CA457" s="586">
        <f t="shared" si="1255"/>
        <v>3975</v>
      </c>
      <c r="CB457" s="586">
        <f t="shared" si="1256"/>
        <v>3161.25</v>
      </c>
      <c r="CC457" s="676">
        <f t="shared" si="1257"/>
        <v>2222</v>
      </c>
      <c r="CD457" s="1316">
        <f t="shared" si="1317"/>
        <v>360</v>
      </c>
      <c r="CE457" s="1317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317">
        <f t="shared" si="1322"/>
        <v>1260</v>
      </c>
      <c r="CG457" s="1317">
        <f t="shared" si="1322"/>
        <v>3600</v>
      </c>
      <c r="CH457" s="1318">
        <f t="shared" si="1322"/>
        <v>3720</v>
      </c>
      <c r="CI457" s="1318">
        <f t="shared" si="1322"/>
        <v>3780</v>
      </c>
      <c r="CJ457" s="1317">
        <f t="shared" si="1322"/>
        <v>3840</v>
      </c>
      <c r="CK457" s="1317">
        <f t="shared" si="1322"/>
        <v>4020</v>
      </c>
      <c r="CL457" s="1317">
        <f t="shared" si="1322"/>
        <v>4020</v>
      </c>
      <c r="CM457" s="1316">
        <f t="shared" si="1322"/>
        <v>4800</v>
      </c>
      <c r="CN457" s="538" t="str">
        <f t="shared" si="1284"/>
        <v/>
      </c>
      <c r="CO457" s="539" t="str">
        <f t="shared" si="1285"/>
        <v/>
      </c>
      <c r="CP457" s="539" t="str">
        <f t="shared" si="1286"/>
        <v/>
      </c>
      <c r="CQ457" s="539">
        <f t="shared" si="1287"/>
        <v>1020</v>
      </c>
      <c r="CR457" s="539">
        <f t="shared" si="1288"/>
        <v>1260</v>
      </c>
      <c r="CS457" s="539">
        <f t="shared" si="1289"/>
        <v>1800</v>
      </c>
      <c r="CT457" s="540">
        <f t="shared" si="1290"/>
        <v>1900</v>
      </c>
      <c r="CU457" s="540">
        <f t="shared" si="1291"/>
        <v>2040</v>
      </c>
      <c r="CV457" s="540">
        <f t="shared" si="1292"/>
        <v>2280</v>
      </c>
      <c r="CW457" s="539">
        <f t="shared" si="1293"/>
        <v>2400</v>
      </c>
      <c r="CX457" s="539">
        <f t="shared" si="1294"/>
        <v>2736</v>
      </c>
      <c r="CY457" s="539">
        <f t="shared" si="1295"/>
        <v>3360</v>
      </c>
      <c r="CZ457" s="539">
        <f t="shared" si="1296"/>
        <v>3480</v>
      </c>
      <c r="DA457" s="539" t="str">
        <f t="shared" si="1297"/>
        <v/>
      </c>
      <c r="DB457" s="538" t="str">
        <f t="shared" si="1298"/>
        <v/>
      </c>
      <c r="DC457" s="537" t="str">
        <f t="shared" si="1299"/>
        <v/>
      </c>
      <c r="DD457" s="641">
        <f t="shared" si="1300"/>
        <v>10</v>
      </c>
      <c r="DE457" s="95">
        <f t="shared" si="1301"/>
        <v>10</v>
      </c>
      <c r="DF457" s="95">
        <f t="shared" si="1302"/>
        <v>10</v>
      </c>
      <c r="DG457" s="95">
        <f t="shared" si="1303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66" t="s">
        <v>696</v>
      </c>
      <c r="B458" s="629" t="s">
        <v>281</v>
      </c>
      <c r="C458" s="629" t="s">
        <v>281</v>
      </c>
      <c r="D458" s="629" t="s">
        <v>281</v>
      </c>
      <c r="E458" s="629" t="s">
        <v>281</v>
      </c>
      <c r="F458" s="629" t="s">
        <v>281</v>
      </c>
      <c r="G458" s="629" t="s">
        <v>281</v>
      </c>
      <c r="H458" s="629" t="s">
        <v>281</v>
      </c>
      <c r="I458" s="629" t="s">
        <v>281</v>
      </c>
      <c r="J458" s="629" t="s">
        <v>281</v>
      </c>
      <c r="K458" s="629" t="s">
        <v>281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281</v>
      </c>
      <c r="U458" s="629" t="s">
        <v>281</v>
      </c>
      <c r="V458" s="629" t="s">
        <v>281</v>
      </c>
      <c r="W458" s="629" t="s">
        <v>281</v>
      </c>
      <c r="X458" s="629" t="s">
        <v>281</v>
      </c>
      <c r="Y458" s="629" t="s">
        <v>281</v>
      </c>
      <c r="Z458" s="629" t="s">
        <v>281</v>
      </c>
      <c r="AA458" s="629" t="s">
        <v>281</v>
      </c>
      <c r="AB458" s="629" t="s">
        <v>281</v>
      </c>
      <c r="AC458" s="629" t="s">
        <v>281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281</v>
      </c>
      <c r="AM458" s="629" t="s">
        <v>281</v>
      </c>
      <c r="AN458" s="629" t="s">
        <v>281</v>
      </c>
      <c r="AO458" s="629" t="s">
        <v>281</v>
      </c>
      <c r="AP458" s="629" t="s">
        <v>281</v>
      </c>
      <c r="AQ458" s="629" t="s">
        <v>281</v>
      </c>
      <c r="AR458" s="629" t="s">
        <v>281</v>
      </c>
      <c r="AS458" s="629" t="s">
        <v>281</v>
      </c>
      <c r="AT458" s="629" t="s">
        <v>281</v>
      </c>
      <c r="AU458" s="629" t="s">
        <v>281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281</v>
      </c>
      <c r="BE458" s="629" t="s">
        <v>281</v>
      </c>
      <c r="BF458" s="629" t="s">
        <v>281</v>
      </c>
      <c r="BG458" s="629" t="s">
        <v>281</v>
      </c>
      <c r="BH458" s="629" t="s">
        <v>281</v>
      </c>
      <c r="BI458" s="629" t="s">
        <v>281</v>
      </c>
      <c r="BJ458" s="629" t="s">
        <v>281</v>
      </c>
      <c r="BK458" s="629" t="s">
        <v>281</v>
      </c>
      <c r="BL458" s="629" t="s">
        <v>281</v>
      </c>
      <c r="BM458" s="629" t="s">
        <v>281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281</v>
      </c>
      <c r="BW458" s="629" t="s">
        <v>281</v>
      </c>
      <c r="BX458" s="629" t="s">
        <v>281</v>
      </c>
      <c r="BY458" s="629" t="s">
        <v>281</v>
      </c>
      <c r="BZ458" s="578" t="str">
        <f t="shared" si="1254"/>
        <v/>
      </c>
      <c r="CA458" s="578" t="str">
        <f t="shared" si="1255"/>
        <v/>
      </c>
      <c r="CB458" s="578" t="str">
        <f t="shared" si="1256"/>
        <v/>
      </c>
      <c r="CC458" s="675" t="str">
        <f t="shared" si="1257"/>
        <v/>
      </c>
      <c r="CD458" s="1322"/>
      <c r="CE458" s="1322"/>
      <c r="CF458" s="1322"/>
      <c r="CG458" s="1322"/>
      <c r="CH458" s="1322"/>
      <c r="CI458" s="1322"/>
      <c r="CJ458" s="1322"/>
      <c r="CK458" s="1322"/>
      <c r="CL458" s="1322"/>
      <c r="CM458" s="1322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266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4"/>
        <v>10</v>
      </c>
      <c r="CA459" s="586">
        <f t="shared" si="1255"/>
        <v>10</v>
      </c>
      <c r="CB459" s="586">
        <f t="shared" si="1256"/>
        <v>10</v>
      </c>
      <c r="CC459" s="676">
        <f t="shared" si="1257"/>
        <v>10</v>
      </c>
      <c r="CD459" s="1316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7">
        <f t="shared" si="1323"/>
        <v>10</v>
      </c>
      <c r="CF459" s="1317">
        <f t="shared" si="1323"/>
        <v>10</v>
      </c>
      <c r="CG459" s="1317">
        <f t="shared" si="1323"/>
        <v>10</v>
      </c>
      <c r="CH459" s="1318">
        <f t="shared" si="1323"/>
        <v>10</v>
      </c>
      <c r="CI459" s="1318">
        <f t="shared" si="1323"/>
        <v>10</v>
      </c>
      <c r="CJ459" s="1317">
        <f t="shared" si="1323"/>
        <v>10</v>
      </c>
      <c r="CK459" s="1317">
        <f t="shared" si="1323"/>
        <v>10</v>
      </c>
      <c r="CL459" s="1317">
        <f t="shared" si="1323"/>
        <v>10</v>
      </c>
      <c r="CM459" s="1316">
        <f t="shared" si="1323"/>
        <v>10</v>
      </c>
      <c r="CN459" s="538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40">COUNT(B459:R459)</f>
        <v>10</v>
      </c>
      <c r="DE459" s="95">
        <f t="shared" ref="DE459:DE466" si="1341">COUNT(T459:AJ459)</f>
        <v>10</v>
      </c>
      <c r="DF459" s="95">
        <f t="shared" ref="DF459:DF466" si="1342">COUNT(AL459:BB459)</f>
        <v>10</v>
      </c>
      <c r="DG459" s="95">
        <f t="shared" ref="DG459:DG466" si="1343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282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4"/>
        <v>0.875</v>
      </c>
      <c r="CA460" s="586">
        <f t="shared" si="1255"/>
        <v>0.875</v>
      </c>
      <c r="CB460" s="586">
        <f t="shared" si="1256"/>
        <v>1</v>
      </c>
      <c r="CC460" s="676">
        <f t="shared" si="1257"/>
        <v>1</v>
      </c>
      <c r="CD460" s="1316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7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7">
        <f t="shared" si="1344"/>
        <v>1</v>
      </c>
      <c r="CG460" s="1317">
        <f t="shared" si="1344"/>
        <v>1</v>
      </c>
      <c r="CH460" s="1318">
        <f t="shared" si="1344"/>
        <v>1</v>
      </c>
      <c r="CI460" s="1318">
        <f t="shared" si="1344"/>
        <v>1</v>
      </c>
      <c r="CJ460" s="1317">
        <f t="shared" si="1344"/>
        <v>1</v>
      </c>
      <c r="CK460" s="1317">
        <f t="shared" si="1344"/>
        <v>1</v>
      </c>
      <c r="CL460" s="1317">
        <f t="shared" si="1344"/>
        <v>1</v>
      </c>
      <c r="CM460" s="1316">
        <f t="shared" si="1344"/>
        <v>1</v>
      </c>
      <c r="CN460" s="538" t="str">
        <f t="shared" si="1324"/>
        <v/>
      </c>
      <c r="CO460" s="539" t="str">
        <f t="shared" si="1325"/>
        <v/>
      </c>
      <c r="CP460" s="539" t="str">
        <f t="shared" si="1326"/>
        <v/>
      </c>
      <c r="CQ460" s="539">
        <f t="shared" si="1327"/>
        <v>1</v>
      </c>
      <c r="CR460" s="539">
        <f t="shared" si="1328"/>
        <v>1</v>
      </c>
      <c r="CS460" s="539">
        <f t="shared" si="1329"/>
        <v>1</v>
      </c>
      <c r="CT460" s="540">
        <f t="shared" si="1330"/>
        <v>1</v>
      </c>
      <c r="CU460" s="540">
        <f t="shared" si="1331"/>
        <v>1</v>
      </c>
      <c r="CV460" s="540">
        <f t="shared" si="1332"/>
        <v>1</v>
      </c>
      <c r="CW460" s="539">
        <f t="shared" si="1333"/>
        <v>1</v>
      </c>
      <c r="CX460" s="539">
        <f t="shared" si="1334"/>
        <v>1</v>
      </c>
      <c r="CY460" s="539">
        <f t="shared" si="1335"/>
        <v>1</v>
      </c>
      <c r="CZ460" s="539">
        <f t="shared" si="1336"/>
        <v>1</v>
      </c>
      <c r="DA460" s="539" t="str">
        <f t="shared" si="1337"/>
        <v/>
      </c>
      <c r="DB460" s="538" t="str">
        <f t="shared" si="1338"/>
        <v/>
      </c>
      <c r="DC460" s="537" t="str">
        <f t="shared" si="1339"/>
        <v/>
      </c>
      <c r="DD460" s="641">
        <f t="shared" si="1340"/>
        <v>10</v>
      </c>
      <c r="DE460" s="95">
        <f t="shared" si="1341"/>
        <v>10</v>
      </c>
      <c r="DF460" s="95">
        <f t="shared" si="1342"/>
        <v>10</v>
      </c>
      <c r="DG460" s="95">
        <f t="shared" si="1343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283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4"/>
        <v>12</v>
      </c>
      <c r="CA461" s="586">
        <f t="shared" si="1255"/>
        <v>11.125</v>
      </c>
      <c r="CB461" s="586">
        <f t="shared" si="1256"/>
        <v>10.25</v>
      </c>
      <c r="CC461" s="676">
        <f t="shared" si="1257"/>
        <v>12</v>
      </c>
      <c r="CD461" s="1316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317">
        <f t="shared" si="1344"/>
        <v>6</v>
      </c>
      <c r="CF461" s="1317">
        <f t="shared" si="1344"/>
        <v>8</v>
      </c>
      <c r="CG461" s="1317">
        <f t="shared" si="1344"/>
        <v>10</v>
      </c>
      <c r="CH461" s="1318">
        <f t="shared" si="1344"/>
        <v>10</v>
      </c>
      <c r="CI461" s="1318">
        <f t="shared" si="1344"/>
        <v>12</v>
      </c>
      <c r="CJ461" s="1317">
        <f t="shared" si="1344"/>
        <v>12</v>
      </c>
      <c r="CK461" s="1317">
        <f t="shared" si="1344"/>
        <v>12</v>
      </c>
      <c r="CL461" s="1317">
        <f t="shared" si="1344"/>
        <v>12</v>
      </c>
      <c r="CM461" s="1316">
        <f t="shared" si="1344"/>
        <v>12</v>
      </c>
      <c r="CN461" s="538" t="str">
        <f t="shared" si="1324"/>
        <v/>
      </c>
      <c r="CO461" s="539" t="str">
        <f t="shared" si="1325"/>
        <v/>
      </c>
      <c r="CP461" s="539" t="str">
        <f t="shared" si="1326"/>
        <v/>
      </c>
      <c r="CQ461" s="539">
        <f t="shared" si="1327"/>
        <v>12</v>
      </c>
      <c r="CR461" s="539">
        <f t="shared" si="1328"/>
        <v>12</v>
      </c>
      <c r="CS461" s="539">
        <f t="shared" si="1329"/>
        <v>12</v>
      </c>
      <c r="CT461" s="540">
        <f t="shared" si="1330"/>
        <v>12</v>
      </c>
      <c r="CU461" s="540">
        <f t="shared" si="1331"/>
        <v>12</v>
      </c>
      <c r="CV461" s="540">
        <f t="shared" si="1332"/>
        <v>12</v>
      </c>
      <c r="CW461" s="539">
        <f t="shared" si="1333"/>
        <v>12</v>
      </c>
      <c r="CX461" s="539">
        <f t="shared" si="1334"/>
        <v>12</v>
      </c>
      <c r="CY461" s="539">
        <f t="shared" si="1335"/>
        <v>12</v>
      </c>
      <c r="CZ461" s="539">
        <f t="shared" si="1336"/>
        <v>12</v>
      </c>
      <c r="DA461" s="539" t="str">
        <f t="shared" si="1337"/>
        <v/>
      </c>
      <c r="DB461" s="538" t="str">
        <f t="shared" si="1338"/>
        <v/>
      </c>
      <c r="DC461" s="537" t="str">
        <f t="shared" si="1339"/>
        <v/>
      </c>
      <c r="DD461" s="641">
        <f t="shared" si="1340"/>
        <v>10</v>
      </c>
      <c r="DE461" s="95">
        <f t="shared" si="1341"/>
        <v>10</v>
      </c>
      <c r="DF461" s="95">
        <f t="shared" si="1342"/>
        <v>10</v>
      </c>
      <c r="DG461" s="95">
        <f t="shared" si="1343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267</v>
      </c>
      <c r="B462" s="618">
        <f t="shared" ref="B462:K462" si="1345">IF(B460="","",B459*B460*B461)</f>
        <v>120</v>
      </c>
      <c r="C462" s="618">
        <f t="shared" si="1345"/>
        <v>120</v>
      </c>
      <c r="D462" s="618">
        <f t="shared" si="1345"/>
        <v>60</v>
      </c>
      <c r="E462" s="618">
        <f t="shared" si="1345"/>
        <v>120</v>
      </c>
      <c r="F462" s="618">
        <f t="shared" si="1345"/>
        <v>120</v>
      </c>
      <c r="G462" s="618">
        <f t="shared" si="1345"/>
        <v>120</v>
      </c>
      <c r="H462" s="618">
        <f t="shared" si="1345"/>
        <v>120</v>
      </c>
      <c r="I462" s="618">
        <f t="shared" si="1345"/>
        <v>60</v>
      </c>
      <c r="J462" s="618">
        <f t="shared" si="1345"/>
        <v>60</v>
      </c>
      <c r="K462" s="746">
        <f t="shared" si="1345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6">IF(T460="","",T459*T460*T461)</f>
        <v>60</v>
      </c>
      <c r="U462" s="618">
        <f t="shared" si="1346"/>
        <v>60</v>
      </c>
      <c r="V462" s="618">
        <f t="shared" si="1346"/>
        <v>120</v>
      </c>
      <c r="W462" s="618">
        <f t="shared" si="1346"/>
        <v>60</v>
      </c>
      <c r="X462" s="618">
        <f t="shared" si="1346"/>
        <v>120</v>
      </c>
      <c r="Y462" s="618">
        <f t="shared" si="1346"/>
        <v>120</v>
      </c>
      <c r="Z462" s="618">
        <f t="shared" si="1346"/>
        <v>120</v>
      </c>
      <c r="AA462" s="618">
        <f t="shared" si="1346"/>
        <v>80</v>
      </c>
      <c r="AB462" s="618">
        <f t="shared" si="1346"/>
        <v>45</v>
      </c>
      <c r="AC462" s="618">
        <f t="shared" si="1346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7">IF(AL460="","",AL459*AL460*AL461)</f>
        <v>120</v>
      </c>
      <c r="AM462" s="618">
        <f t="shared" si="1347"/>
        <v>60</v>
      </c>
      <c r="AN462" s="618">
        <f t="shared" si="1347"/>
        <v>50</v>
      </c>
      <c r="AO462" s="618">
        <f t="shared" si="1347"/>
        <v>120</v>
      </c>
      <c r="AP462" s="618">
        <f t="shared" si="1347"/>
        <v>120</v>
      </c>
      <c r="AQ462" s="618">
        <f t="shared" si="1347"/>
        <v>80</v>
      </c>
      <c r="AR462" s="618">
        <f t="shared" si="1347"/>
        <v>100</v>
      </c>
      <c r="AS462" s="618">
        <f t="shared" si="1347"/>
        <v>100</v>
      </c>
      <c r="AT462" s="618">
        <f t="shared" si="1347"/>
        <v>120</v>
      </c>
      <c r="AU462" s="618">
        <f t="shared" si="1347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8">IF(BD460="","",BD459*BD460*BD461)</f>
        <v>120</v>
      </c>
      <c r="BE462" s="618">
        <f t="shared" si="1348"/>
        <v>120</v>
      </c>
      <c r="BF462" s="618">
        <f t="shared" si="1348"/>
        <v>120</v>
      </c>
      <c r="BG462" s="618">
        <f t="shared" si="1348"/>
        <v>120</v>
      </c>
      <c r="BH462" s="618">
        <f t="shared" si="1348"/>
        <v>120</v>
      </c>
      <c r="BI462" s="618">
        <f t="shared" si="1348"/>
        <v>120</v>
      </c>
      <c r="BJ462" s="618">
        <f t="shared" si="1348"/>
        <v>120</v>
      </c>
      <c r="BK462" s="618">
        <f t="shared" si="1348"/>
        <v>120</v>
      </c>
      <c r="BL462" s="618">
        <f t="shared" si="1348"/>
        <v>120</v>
      </c>
      <c r="BM462" s="618">
        <f t="shared" si="1348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4"/>
        <v>97.5</v>
      </c>
      <c r="CA462" s="586">
        <f t="shared" si="1255"/>
        <v>92.5</v>
      </c>
      <c r="CB462" s="586">
        <f t="shared" si="1256"/>
        <v>102.5</v>
      </c>
      <c r="CC462" s="676">
        <f t="shared" si="1257"/>
        <v>120</v>
      </c>
      <c r="CD462" s="131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317">
        <f t="shared" si="1344"/>
        <v>60</v>
      </c>
      <c r="CF462" s="1317">
        <f t="shared" si="1344"/>
        <v>80</v>
      </c>
      <c r="CG462" s="1317">
        <f t="shared" si="1344"/>
        <v>100</v>
      </c>
      <c r="CH462" s="1318">
        <f t="shared" si="1344"/>
        <v>100</v>
      </c>
      <c r="CI462" s="1318">
        <f t="shared" si="1344"/>
        <v>120</v>
      </c>
      <c r="CJ462" s="1317">
        <f t="shared" si="1344"/>
        <v>120</v>
      </c>
      <c r="CK462" s="1317">
        <f t="shared" si="1344"/>
        <v>120</v>
      </c>
      <c r="CL462" s="1317">
        <f t="shared" si="1344"/>
        <v>120</v>
      </c>
      <c r="CM462" s="1316">
        <f t="shared" si="1344"/>
        <v>120</v>
      </c>
      <c r="CN462" s="538" t="str">
        <f t="shared" si="1324"/>
        <v/>
      </c>
      <c r="CO462" s="539" t="str">
        <f t="shared" si="1325"/>
        <v/>
      </c>
      <c r="CP462" s="539" t="str">
        <f t="shared" si="1326"/>
        <v/>
      </c>
      <c r="CQ462" s="539">
        <f t="shared" si="1327"/>
        <v>120</v>
      </c>
      <c r="CR462" s="539">
        <f t="shared" si="1328"/>
        <v>120</v>
      </c>
      <c r="CS462" s="539">
        <f t="shared" si="1329"/>
        <v>120</v>
      </c>
      <c r="CT462" s="540">
        <f t="shared" si="1330"/>
        <v>120</v>
      </c>
      <c r="CU462" s="540">
        <f t="shared" si="1331"/>
        <v>120</v>
      </c>
      <c r="CV462" s="540">
        <f t="shared" si="1332"/>
        <v>120</v>
      </c>
      <c r="CW462" s="539">
        <f t="shared" si="1333"/>
        <v>120</v>
      </c>
      <c r="CX462" s="539">
        <f t="shared" si="1334"/>
        <v>120</v>
      </c>
      <c r="CY462" s="539">
        <f t="shared" si="1335"/>
        <v>120</v>
      </c>
      <c r="CZ462" s="539">
        <f t="shared" si="1336"/>
        <v>120</v>
      </c>
      <c r="DA462" s="539" t="str">
        <f t="shared" si="1337"/>
        <v/>
      </c>
      <c r="DB462" s="538" t="str">
        <f t="shared" si="1338"/>
        <v/>
      </c>
      <c r="DC462" s="537" t="str">
        <f t="shared" si="1339"/>
        <v/>
      </c>
      <c r="DD462" s="641">
        <f t="shared" si="1340"/>
        <v>10</v>
      </c>
      <c r="DE462" s="95">
        <f t="shared" si="1341"/>
        <v>10</v>
      </c>
      <c r="DF462" s="95">
        <f t="shared" si="1342"/>
        <v>10</v>
      </c>
      <c r="DG462" s="95">
        <f t="shared" si="1343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284</v>
      </c>
      <c r="B463" s="747">
        <f>3630*$K$1</f>
        <v>15198.083999999999</v>
      </c>
      <c r="C463" s="747">
        <f t="shared" ref="C463:K463" si="1349">3630*$K$1</f>
        <v>15198.083999999999</v>
      </c>
      <c r="D463" s="747">
        <f t="shared" si="1349"/>
        <v>15198.083999999999</v>
      </c>
      <c r="E463" s="747">
        <f t="shared" si="1349"/>
        <v>15198.083999999999</v>
      </c>
      <c r="F463" s="747">
        <f t="shared" si="1349"/>
        <v>15198.083999999999</v>
      </c>
      <c r="G463" s="747">
        <f t="shared" si="1349"/>
        <v>15198.083999999999</v>
      </c>
      <c r="H463" s="747">
        <f t="shared" si="1349"/>
        <v>15198.083999999999</v>
      </c>
      <c r="I463" s="747">
        <f t="shared" si="1349"/>
        <v>15198.083999999999</v>
      </c>
      <c r="J463" s="747">
        <f t="shared" si="1349"/>
        <v>15198.083999999999</v>
      </c>
      <c r="K463" s="747">
        <f t="shared" si="1349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50">3630*$K$1</f>
        <v>15198.083999999999</v>
      </c>
      <c r="V463" s="747">
        <f t="shared" si="1350"/>
        <v>15198.083999999999</v>
      </c>
      <c r="W463" s="747">
        <f t="shared" si="1350"/>
        <v>15198.083999999999</v>
      </c>
      <c r="X463" s="747">
        <f t="shared" si="1350"/>
        <v>15198.083999999999</v>
      </c>
      <c r="Y463" s="747">
        <f t="shared" si="1350"/>
        <v>15198.083999999999</v>
      </c>
      <c r="Z463" s="747">
        <f t="shared" si="1350"/>
        <v>15198.083999999999</v>
      </c>
      <c r="AA463" s="747">
        <f t="shared" si="1350"/>
        <v>15198.083999999999</v>
      </c>
      <c r="AB463" s="747">
        <f t="shared" si="1350"/>
        <v>15198.083999999999</v>
      </c>
      <c r="AC463" s="747">
        <f t="shared" si="1350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51">3630*$K$1</f>
        <v>15198.083999999999</v>
      </c>
      <c r="AN463" s="747">
        <f t="shared" si="1351"/>
        <v>15198.083999999999</v>
      </c>
      <c r="AO463" s="747">
        <f t="shared" si="1351"/>
        <v>15198.083999999999</v>
      </c>
      <c r="AP463" s="747">
        <f t="shared" si="1351"/>
        <v>15198.083999999999</v>
      </c>
      <c r="AQ463" s="747">
        <f t="shared" si="1351"/>
        <v>15198.083999999999</v>
      </c>
      <c r="AR463" s="747">
        <f t="shared" si="1351"/>
        <v>15198.083999999999</v>
      </c>
      <c r="AS463" s="747">
        <f t="shared" si="1351"/>
        <v>15198.083999999999</v>
      </c>
      <c r="AT463" s="747">
        <f t="shared" si="1351"/>
        <v>15198.083999999999</v>
      </c>
      <c r="AU463" s="747">
        <f t="shared" si="1351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2">3630*$K$1</f>
        <v>15198.083999999999</v>
      </c>
      <c r="BF463" s="747">
        <f t="shared" si="1352"/>
        <v>15198.083999999999</v>
      </c>
      <c r="BG463" s="747">
        <f t="shared" si="1352"/>
        <v>15198.083999999999</v>
      </c>
      <c r="BH463" s="747">
        <f t="shared" si="1352"/>
        <v>15198.083999999999</v>
      </c>
      <c r="BI463" s="747">
        <f t="shared" si="1352"/>
        <v>15198.083999999999</v>
      </c>
      <c r="BJ463" s="747">
        <f t="shared" si="1352"/>
        <v>15198.083999999999</v>
      </c>
      <c r="BK463" s="747">
        <f t="shared" si="1352"/>
        <v>15198.083999999999</v>
      </c>
      <c r="BL463" s="747">
        <f t="shared" si="1352"/>
        <v>15198.083999999999</v>
      </c>
      <c r="BM463" s="747">
        <f t="shared" si="1352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2"/>
        <v>15198.083999999999</v>
      </c>
      <c r="BW463" s="747">
        <f t="shared" si="1352"/>
        <v>15198.083999999999</v>
      </c>
      <c r="BX463" s="747">
        <f t="shared" si="1352"/>
        <v>15198.083999999999</v>
      </c>
      <c r="BY463" s="747">
        <f t="shared" si="1352"/>
        <v>15198.083999999999</v>
      </c>
      <c r="BZ463" s="586">
        <f t="shared" si="1254"/>
        <v>15198.083999999999</v>
      </c>
      <c r="CA463" s="586">
        <f t="shared" si="1255"/>
        <v>15198.083999999999</v>
      </c>
      <c r="CB463" s="586">
        <f t="shared" si="1256"/>
        <v>15198.083999999999</v>
      </c>
      <c r="CC463" s="676">
        <f t="shared" si="1257"/>
        <v>15198.083999999999</v>
      </c>
      <c r="CD463" s="131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7">
        <f t="shared" si="1344"/>
        <v>15198.083999999999</v>
      </c>
      <c r="CF463" s="1317">
        <f t="shared" si="1344"/>
        <v>15198.083999999999</v>
      </c>
      <c r="CG463" s="1317">
        <f t="shared" si="1344"/>
        <v>15198.083999999999</v>
      </c>
      <c r="CH463" s="1318">
        <f t="shared" si="1344"/>
        <v>15198.083999999999</v>
      </c>
      <c r="CI463" s="1318">
        <f t="shared" si="1344"/>
        <v>15198.083999999999</v>
      </c>
      <c r="CJ463" s="1317">
        <f t="shared" si="1344"/>
        <v>15198.083999999999</v>
      </c>
      <c r="CK463" s="1317">
        <f t="shared" si="1344"/>
        <v>15198.083999999999</v>
      </c>
      <c r="CL463" s="1317">
        <f t="shared" si="1344"/>
        <v>15198.083999999999</v>
      </c>
      <c r="CM463" s="1316">
        <f t="shared" si="1344"/>
        <v>15198.083999999999</v>
      </c>
      <c r="CN463" s="538" t="str">
        <f t="shared" si="1324"/>
        <v/>
      </c>
      <c r="CO463" s="539" t="str">
        <f t="shared" si="1325"/>
        <v/>
      </c>
      <c r="CP463" s="539" t="str">
        <f t="shared" si="1326"/>
        <v/>
      </c>
      <c r="CQ463" s="539">
        <f t="shared" si="1327"/>
        <v>15198.083999999999</v>
      </c>
      <c r="CR463" s="539">
        <f t="shared" si="1328"/>
        <v>15198.083999999999</v>
      </c>
      <c r="CS463" s="539">
        <f t="shared" si="1329"/>
        <v>15198.083999999999</v>
      </c>
      <c r="CT463" s="540">
        <f t="shared" si="1330"/>
        <v>15198.083999999999</v>
      </c>
      <c r="CU463" s="540">
        <f t="shared" si="1331"/>
        <v>15198.083999999999</v>
      </c>
      <c r="CV463" s="540">
        <f t="shared" si="1332"/>
        <v>15198.083999999999</v>
      </c>
      <c r="CW463" s="539">
        <f t="shared" si="1333"/>
        <v>15198.083999999999</v>
      </c>
      <c r="CX463" s="539">
        <f t="shared" si="1334"/>
        <v>15198.083999999999</v>
      </c>
      <c r="CY463" s="539">
        <f t="shared" si="1335"/>
        <v>15198.083999999999</v>
      </c>
      <c r="CZ463" s="539">
        <f t="shared" si="1336"/>
        <v>15198.083999999999</v>
      </c>
      <c r="DA463" s="539" t="str">
        <f t="shared" si="1337"/>
        <v/>
      </c>
      <c r="DB463" s="538" t="str">
        <f t="shared" si="1338"/>
        <v/>
      </c>
      <c r="DC463" s="537" t="str">
        <f t="shared" si="1339"/>
        <v/>
      </c>
      <c r="DD463" s="641">
        <f t="shared" si="1340"/>
        <v>10</v>
      </c>
      <c r="DE463" s="95">
        <f t="shared" si="1341"/>
        <v>10</v>
      </c>
      <c r="DF463" s="95">
        <f t="shared" si="1342"/>
        <v>10</v>
      </c>
      <c r="DG463" s="95">
        <f t="shared" si="1343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227</v>
      </c>
      <c r="B464" s="621">
        <f t="shared" ref="B464:K464" si="1353">IF(B462="","",B462*B463/B$46/365/$G$1)</f>
        <v>5.6779890410958891E-2</v>
      </c>
      <c r="C464" s="621">
        <f t="shared" si="1353"/>
        <v>8.111412915851271E-2</v>
      </c>
      <c r="D464" s="621">
        <f t="shared" si="1353"/>
        <v>3.5487431506849312E-2</v>
      </c>
      <c r="E464" s="621">
        <f t="shared" si="1353"/>
        <v>5.6779890410958891E-2</v>
      </c>
      <c r="F464" s="621">
        <f t="shared" si="1353"/>
        <v>8.111412915851271E-2</v>
      </c>
      <c r="G464" s="621">
        <f t="shared" si="1353"/>
        <v>7.0974863013698625E-2</v>
      </c>
      <c r="H464" s="621">
        <f t="shared" si="1353"/>
        <v>6.3088767123287662E-2</v>
      </c>
      <c r="I464" s="621">
        <f t="shared" si="1353"/>
        <v>5.6779890410958891E-2</v>
      </c>
      <c r="J464" s="621">
        <f t="shared" si="1353"/>
        <v>3.5487431506849312E-2</v>
      </c>
      <c r="K464" s="621">
        <f t="shared" si="1353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4">IF(T462="","",T462*T463/T$46/365/$G$1)</f>
        <v>3.5487431506849312E-2</v>
      </c>
      <c r="U464" s="621">
        <f t="shared" si="1354"/>
        <v>4.0557064579256355E-2</v>
      </c>
      <c r="V464" s="621">
        <f t="shared" si="1354"/>
        <v>6.3088767123287662E-2</v>
      </c>
      <c r="W464" s="621">
        <f t="shared" si="1354"/>
        <v>2.8389945205479446E-2</v>
      </c>
      <c r="X464" s="621">
        <f t="shared" si="1354"/>
        <v>7.0974863013698625E-2</v>
      </c>
      <c r="Y464" s="621">
        <f t="shared" si="1354"/>
        <v>5.6779890410958891E-2</v>
      </c>
      <c r="Z464" s="621">
        <f t="shared" si="1354"/>
        <v>6.3088767123287662E-2</v>
      </c>
      <c r="AA464" s="621">
        <f t="shared" si="1354"/>
        <v>3.7853260273972601E-2</v>
      </c>
      <c r="AB464" s="621">
        <f t="shared" si="1354"/>
        <v>2.6615573630136984E-2</v>
      </c>
      <c r="AC464" s="621">
        <f t="shared" si="1354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5">IF(AL462="","",AL462*AL463/AL$46/365/$G$1)</f>
        <v>8.111412915851271E-2</v>
      </c>
      <c r="AM464" s="621">
        <f t="shared" si="1355"/>
        <v>3.5487431506849312E-2</v>
      </c>
      <c r="AN464" s="621">
        <f t="shared" si="1355"/>
        <v>4.731657534246575E-2</v>
      </c>
      <c r="AO464" s="621">
        <f t="shared" si="1355"/>
        <v>5.6779890410958891E-2</v>
      </c>
      <c r="AP464" s="621">
        <f t="shared" si="1355"/>
        <v>5.6779890410958891E-2</v>
      </c>
      <c r="AQ464" s="621">
        <f t="shared" si="1355"/>
        <v>7.5706520547945202E-2</v>
      </c>
      <c r="AR464" s="621">
        <f t="shared" si="1355"/>
        <v>6.759510763209392E-2</v>
      </c>
      <c r="AS464" s="621">
        <f t="shared" si="1355"/>
        <v>4.731657534246575E-2</v>
      </c>
      <c r="AT464" s="621">
        <f t="shared" si="1355"/>
        <v>0.11355978082191778</v>
      </c>
      <c r="AU464" s="621">
        <f t="shared" si="1355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6">IF(BD462="","",BD462*BD463/BD$46/365/$G$1)</f>
        <v>4.731657534246575E-2</v>
      </c>
      <c r="BE464" s="621">
        <f t="shared" si="1356"/>
        <v>7.0974863013698625E-2</v>
      </c>
      <c r="BF464" s="621">
        <f t="shared" si="1356"/>
        <v>4.731657534246575E-2</v>
      </c>
      <c r="BG464" s="621">
        <f t="shared" si="1356"/>
        <v>8.111412915851271E-2</v>
      </c>
      <c r="BH464" s="621">
        <f t="shared" si="1356"/>
        <v>5.1618082191780823E-2</v>
      </c>
      <c r="BI464" s="621">
        <f t="shared" si="1356"/>
        <v>5.6779890410958891E-2</v>
      </c>
      <c r="BJ464" s="621">
        <f t="shared" si="1356"/>
        <v>7.0974863013698625E-2</v>
      </c>
      <c r="BK464" s="621">
        <f t="shared" si="1356"/>
        <v>8.111412915851271E-2</v>
      </c>
      <c r="BL464" s="621">
        <f t="shared" si="1356"/>
        <v>5.1618082191780823E-2</v>
      </c>
      <c r="BM464" s="621">
        <f t="shared" si="1356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4"/>
        <v>5.7695240826810171E-2</v>
      </c>
      <c r="CA464" s="611">
        <f t="shared" si="1255"/>
        <v>4.8541736668297447E-2</v>
      </c>
      <c r="CB464" s="611">
        <f t="shared" si="1256"/>
        <v>6.1173572407045004E-2</v>
      </c>
      <c r="CC464" s="611">
        <f t="shared" si="1257"/>
        <v>6.3938826810176097E-2</v>
      </c>
      <c r="CD464" s="1319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320">
        <f t="shared" si="1344"/>
        <v>4.731657534246575E-2</v>
      </c>
      <c r="CF464" s="1320">
        <f t="shared" si="1344"/>
        <v>4.731657534246575E-2</v>
      </c>
      <c r="CG464" s="1320">
        <f t="shared" si="1344"/>
        <v>5.6779890410958891E-2</v>
      </c>
      <c r="CH464" s="1321">
        <f t="shared" si="1344"/>
        <v>5.6779890410958891E-2</v>
      </c>
      <c r="CI464" s="1321">
        <f t="shared" si="1344"/>
        <v>5.6779890410958891E-2</v>
      </c>
      <c r="CJ464" s="1320">
        <f t="shared" si="1344"/>
        <v>6.759510763209392E-2</v>
      </c>
      <c r="CK464" s="1320">
        <f t="shared" si="1344"/>
        <v>7.5706520547945202E-2</v>
      </c>
      <c r="CL464" s="1320">
        <f t="shared" si="1344"/>
        <v>8.111412915851271E-2</v>
      </c>
      <c r="CM464" s="1319">
        <f t="shared" si="1344"/>
        <v>0.11355978082191778</v>
      </c>
      <c r="CN464" s="526" t="str">
        <f t="shared" si="1324"/>
        <v/>
      </c>
      <c r="CO464" s="527" t="str">
        <f t="shared" si="1325"/>
        <v/>
      </c>
      <c r="CP464" s="527" t="str">
        <f t="shared" si="1326"/>
        <v/>
      </c>
      <c r="CQ464" s="527">
        <f t="shared" si="1327"/>
        <v>4.731657534246575E-2</v>
      </c>
      <c r="CR464" s="527">
        <f t="shared" si="1328"/>
        <v>4.731657534246575E-2</v>
      </c>
      <c r="CS464" s="527">
        <f t="shared" si="1329"/>
        <v>5.1618082191780823E-2</v>
      </c>
      <c r="CT464" s="528">
        <f t="shared" si="1330"/>
        <v>5.1618082191780823E-2</v>
      </c>
      <c r="CU464" s="528">
        <f t="shared" si="1331"/>
        <v>5.6779890410958891E-2</v>
      </c>
      <c r="CV464" s="528">
        <f t="shared" si="1332"/>
        <v>7.0974863013698625E-2</v>
      </c>
      <c r="CW464" s="527">
        <f t="shared" si="1333"/>
        <v>7.0974863013698625E-2</v>
      </c>
      <c r="CX464" s="527">
        <f t="shared" si="1334"/>
        <v>8.111412915851271E-2</v>
      </c>
      <c r="CY464" s="527">
        <f t="shared" si="1335"/>
        <v>8.111412915851271E-2</v>
      </c>
      <c r="CZ464" s="527">
        <f t="shared" si="1336"/>
        <v>8.111412915851271E-2</v>
      </c>
      <c r="DA464" s="527" t="str">
        <f t="shared" si="1337"/>
        <v/>
      </c>
      <c r="DB464" s="526" t="str">
        <f t="shared" si="1338"/>
        <v/>
      </c>
      <c r="DC464" s="525" t="str">
        <f t="shared" si="1339"/>
        <v/>
      </c>
      <c r="DD464" s="641">
        <f t="shared" si="1340"/>
        <v>10</v>
      </c>
      <c r="DE464" s="95">
        <f t="shared" si="1341"/>
        <v>10</v>
      </c>
      <c r="DF464" s="95">
        <f t="shared" si="1342"/>
        <v>10</v>
      </c>
      <c r="DG464" s="95">
        <f t="shared" si="1343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1" t="s">
        <v>285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4"/>
        <v>34.375</v>
      </c>
      <c r="CA465" s="586">
        <f t="shared" si="1255"/>
        <v>39.375</v>
      </c>
      <c r="CB465" s="586">
        <f t="shared" si="1256"/>
        <v>53.625</v>
      </c>
      <c r="CC465" s="676">
        <f t="shared" si="1257"/>
        <v>50.25</v>
      </c>
      <c r="CD465" s="1316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317">
        <f t="shared" si="1357"/>
        <v>50</v>
      </c>
      <c r="CF465" s="1317">
        <f t="shared" si="1357"/>
        <v>50</v>
      </c>
      <c r="CG465" s="1317">
        <f t="shared" si="1357"/>
        <v>50</v>
      </c>
      <c r="CH465" s="1318">
        <f t="shared" si="1357"/>
        <v>50</v>
      </c>
      <c r="CI465" s="1318">
        <f t="shared" si="1357"/>
        <v>50</v>
      </c>
      <c r="CJ465" s="1317">
        <f t="shared" si="1357"/>
        <v>55</v>
      </c>
      <c r="CK465" s="1317">
        <f t="shared" si="1357"/>
        <v>55</v>
      </c>
      <c r="CL465" s="1317">
        <f t="shared" si="1357"/>
        <v>69</v>
      </c>
      <c r="CM465" s="1316">
        <f t="shared" si="1357"/>
        <v>95</v>
      </c>
      <c r="CN465" s="538" t="str">
        <f t="shared" si="1324"/>
        <v/>
      </c>
      <c r="CO465" s="539" t="str">
        <f t="shared" si="1325"/>
        <v/>
      </c>
      <c r="CP465" s="539" t="str">
        <f t="shared" si="1326"/>
        <v/>
      </c>
      <c r="CQ465" s="539">
        <f t="shared" si="1327"/>
        <v>40</v>
      </c>
      <c r="CR465" s="539">
        <f t="shared" si="1328"/>
        <v>45</v>
      </c>
      <c r="CS465" s="539">
        <f t="shared" si="1329"/>
        <v>45</v>
      </c>
      <c r="CT465" s="540">
        <f t="shared" si="1330"/>
        <v>45</v>
      </c>
      <c r="CU465" s="540">
        <f t="shared" si="1331"/>
        <v>47</v>
      </c>
      <c r="CV465" s="540">
        <f t="shared" si="1332"/>
        <v>50</v>
      </c>
      <c r="CW465" s="539">
        <f t="shared" si="1333"/>
        <v>50</v>
      </c>
      <c r="CX465" s="539">
        <f t="shared" si="1334"/>
        <v>60</v>
      </c>
      <c r="CY465" s="539">
        <f t="shared" si="1335"/>
        <v>60</v>
      </c>
      <c r="CZ465" s="539">
        <f t="shared" si="1336"/>
        <v>75</v>
      </c>
      <c r="DA465" s="539" t="str">
        <f t="shared" si="1337"/>
        <v/>
      </c>
      <c r="DB465" s="538" t="str">
        <f t="shared" si="1338"/>
        <v/>
      </c>
      <c r="DC465" s="537" t="str">
        <f t="shared" si="1339"/>
        <v/>
      </c>
      <c r="DD465" s="641">
        <f t="shared" si="1340"/>
        <v>10</v>
      </c>
      <c r="DE465" s="95">
        <f t="shared" si="1341"/>
        <v>10</v>
      </c>
      <c r="DF465" s="95">
        <f t="shared" si="1342"/>
        <v>10</v>
      </c>
      <c r="DG465" s="95">
        <f t="shared" si="1343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286</v>
      </c>
      <c r="B466" s="618">
        <f t="shared" ref="B466:K466" si="1358">IF(B465="","",B460*B465*B461)</f>
        <v>540</v>
      </c>
      <c r="C466" s="618">
        <f t="shared" si="1358"/>
        <v>420</v>
      </c>
      <c r="D466" s="618">
        <f t="shared" si="1358"/>
        <v>180</v>
      </c>
      <c r="E466" s="618">
        <f t="shared" si="1358"/>
        <v>480</v>
      </c>
      <c r="F466" s="618">
        <f t="shared" si="1358"/>
        <v>420</v>
      </c>
      <c r="G466" s="618">
        <f t="shared" si="1358"/>
        <v>420</v>
      </c>
      <c r="H466" s="618">
        <f t="shared" si="1358"/>
        <v>420</v>
      </c>
      <c r="I466" s="618">
        <f t="shared" si="1358"/>
        <v>210</v>
      </c>
      <c r="J466" s="618">
        <f t="shared" si="1358"/>
        <v>150</v>
      </c>
      <c r="K466" s="618">
        <f t="shared" si="1358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9">IF(T465="","",T460*T465*T461)</f>
        <v>210</v>
      </c>
      <c r="U466" s="618">
        <f t="shared" si="1359"/>
        <v>240</v>
      </c>
      <c r="V466" s="618">
        <f t="shared" si="1359"/>
        <v>420</v>
      </c>
      <c r="W466" s="618">
        <f t="shared" si="1359"/>
        <v>126</v>
      </c>
      <c r="X466" s="618">
        <f t="shared" si="1359"/>
        <v>360</v>
      </c>
      <c r="Y466" s="618">
        <f t="shared" si="1359"/>
        <v>540</v>
      </c>
      <c r="Z466" s="618">
        <f t="shared" si="1359"/>
        <v>480</v>
      </c>
      <c r="AA466" s="618">
        <f t="shared" si="1359"/>
        <v>400</v>
      </c>
      <c r="AB466" s="618">
        <f t="shared" si="1359"/>
        <v>180</v>
      </c>
      <c r="AC466" s="618">
        <f t="shared" si="1359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60">IF(AL465="","",AL460*AL465*AL461)</f>
        <v>828</v>
      </c>
      <c r="AM466" s="618">
        <f t="shared" si="1360"/>
        <v>300</v>
      </c>
      <c r="AN466" s="618">
        <f t="shared" si="1360"/>
        <v>250</v>
      </c>
      <c r="AO466" s="618">
        <f t="shared" si="1360"/>
        <v>660</v>
      </c>
      <c r="AP466" s="618">
        <f t="shared" si="1360"/>
        <v>600</v>
      </c>
      <c r="AQ466" s="618">
        <f t="shared" si="1360"/>
        <v>760</v>
      </c>
      <c r="AR466" s="618">
        <f t="shared" si="1360"/>
        <v>500</v>
      </c>
      <c r="AS466" s="618">
        <f t="shared" si="1360"/>
        <v>500</v>
      </c>
      <c r="AT466" s="618">
        <f t="shared" si="1360"/>
        <v>660</v>
      </c>
      <c r="AU466" s="618">
        <f t="shared" si="1360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61">IF(BD465="","",BD460*BD465*BD461)</f>
        <v>720</v>
      </c>
      <c r="BE466" s="618">
        <f t="shared" si="1361"/>
        <v>480</v>
      </c>
      <c r="BF466" s="618">
        <f t="shared" si="1361"/>
        <v>600</v>
      </c>
      <c r="BG466" s="618">
        <f t="shared" si="1361"/>
        <v>540</v>
      </c>
      <c r="BH466" s="618">
        <f t="shared" si="1361"/>
        <v>540</v>
      </c>
      <c r="BI466" s="618">
        <f t="shared" si="1361"/>
        <v>900</v>
      </c>
      <c r="BJ466" s="618">
        <f t="shared" si="1361"/>
        <v>540</v>
      </c>
      <c r="BK466" s="618">
        <f t="shared" si="1361"/>
        <v>600</v>
      </c>
      <c r="BL466" s="618">
        <f t="shared" si="1361"/>
        <v>564</v>
      </c>
      <c r="BM466" s="618">
        <f t="shared" si="1361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4"/>
        <v>341.25</v>
      </c>
      <c r="CA466" s="586">
        <f t="shared" si="1255"/>
        <v>353.75</v>
      </c>
      <c r="CB466" s="586">
        <f t="shared" si="1256"/>
        <v>572.5</v>
      </c>
      <c r="CC466" s="676">
        <f t="shared" si="1257"/>
        <v>603</v>
      </c>
      <c r="CD466" s="1316">
        <f t="shared" si="1357"/>
        <v>250</v>
      </c>
      <c r="CE466" s="1317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317">
        <f t="shared" si="1362"/>
        <v>500</v>
      </c>
      <c r="CG466" s="1317">
        <f t="shared" si="1362"/>
        <v>500</v>
      </c>
      <c r="CH466" s="1318">
        <f t="shared" si="1362"/>
        <v>600</v>
      </c>
      <c r="CI466" s="1318">
        <f t="shared" si="1362"/>
        <v>600</v>
      </c>
      <c r="CJ466" s="1317">
        <f t="shared" si="1362"/>
        <v>660</v>
      </c>
      <c r="CK466" s="1317">
        <f t="shared" si="1362"/>
        <v>660</v>
      </c>
      <c r="CL466" s="1317">
        <f t="shared" si="1362"/>
        <v>760</v>
      </c>
      <c r="CM466" s="1316">
        <f t="shared" si="1362"/>
        <v>828</v>
      </c>
      <c r="CN466" s="538" t="str">
        <f t="shared" si="1324"/>
        <v/>
      </c>
      <c r="CO466" s="539" t="str">
        <f t="shared" si="1325"/>
        <v/>
      </c>
      <c r="CP466" s="539" t="str">
        <f t="shared" si="1326"/>
        <v/>
      </c>
      <c r="CQ466" s="539">
        <f t="shared" si="1327"/>
        <v>480</v>
      </c>
      <c r="CR466" s="539">
        <f t="shared" si="1328"/>
        <v>540</v>
      </c>
      <c r="CS466" s="539">
        <f t="shared" si="1329"/>
        <v>540</v>
      </c>
      <c r="CT466" s="540">
        <f t="shared" si="1330"/>
        <v>540</v>
      </c>
      <c r="CU466" s="540">
        <f t="shared" si="1331"/>
        <v>564</v>
      </c>
      <c r="CV466" s="540">
        <f t="shared" si="1332"/>
        <v>600</v>
      </c>
      <c r="CW466" s="539">
        <f t="shared" si="1333"/>
        <v>600</v>
      </c>
      <c r="CX466" s="539">
        <f t="shared" si="1334"/>
        <v>720</v>
      </c>
      <c r="CY466" s="539">
        <f t="shared" si="1335"/>
        <v>720</v>
      </c>
      <c r="CZ466" s="539">
        <f t="shared" si="1336"/>
        <v>900</v>
      </c>
      <c r="DA466" s="539" t="str">
        <f t="shared" si="1337"/>
        <v/>
      </c>
      <c r="DB466" s="538" t="str">
        <f t="shared" si="1338"/>
        <v/>
      </c>
      <c r="DC466" s="537" t="str">
        <f t="shared" si="1339"/>
        <v/>
      </c>
      <c r="DD466" s="641">
        <f t="shared" si="1340"/>
        <v>10</v>
      </c>
      <c r="DE466" s="95">
        <f t="shared" si="1341"/>
        <v>10</v>
      </c>
      <c r="DF466" s="95">
        <f t="shared" si="1342"/>
        <v>10</v>
      </c>
      <c r="DG466" s="95">
        <f t="shared" si="1343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66" t="s">
        <v>717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281</v>
      </c>
      <c r="BW467" s="631" t="s">
        <v>281</v>
      </c>
      <c r="BX467" s="631" t="s">
        <v>281</v>
      </c>
      <c r="BY467" s="631" t="s">
        <v>281</v>
      </c>
      <c r="BZ467" s="578" t="str">
        <f t="shared" si="1254"/>
        <v/>
      </c>
      <c r="CA467" s="578" t="str">
        <f t="shared" si="1255"/>
        <v/>
      </c>
      <c r="CB467" s="578" t="str">
        <f t="shared" si="1256"/>
        <v/>
      </c>
      <c r="CC467" s="675" t="str">
        <f t="shared" si="1257"/>
        <v/>
      </c>
      <c r="CD467" s="1322"/>
      <c r="CE467" s="1322"/>
      <c r="CF467" s="1322"/>
      <c r="CG467" s="1322"/>
      <c r="CH467" s="1322"/>
      <c r="CI467" s="1322"/>
      <c r="CJ467" s="1322"/>
      <c r="CK467" s="1322"/>
      <c r="CL467" s="1322"/>
      <c r="CM467" s="1322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266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4"/>
        <v>10</v>
      </c>
      <c r="CA468" s="586">
        <f t="shared" si="1255"/>
        <v>10</v>
      </c>
      <c r="CB468" s="586">
        <f t="shared" si="1256"/>
        <v>10</v>
      </c>
      <c r="CC468" s="676">
        <f t="shared" si="1257"/>
        <v>10</v>
      </c>
      <c r="CD468" s="1316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7">
        <f t="shared" si="1363"/>
        <v>10</v>
      </c>
      <c r="CF468" s="1317">
        <f t="shared" si="1363"/>
        <v>10</v>
      </c>
      <c r="CG468" s="1317">
        <f t="shared" si="1363"/>
        <v>10</v>
      </c>
      <c r="CH468" s="1318">
        <f t="shared" si="1363"/>
        <v>10</v>
      </c>
      <c r="CI468" s="1318">
        <f t="shared" si="1363"/>
        <v>10</v>
      </c>
      <c r="CJ468" s="1317">
        <f t="shared" si="1363"/>
        <v>10</v>
      </c>
      <c r="CK468" s="1317">
        <f t="shared" si="1363"/>
        <v>10</v>
      </c>
      <c r="CL468" s="1317">
        <f t="shared" si="1363"/>
        <v>10</v>
      </c>
      <c r="CM468" s="1316">
        <f t="shared" si="1363"/>
        <v>10</v>
      </c>
      <c r="CN468" s="538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80">COUNT(B468:R468)</f>
        <v>10</v>
      </c>
      <c r="DE468" s="95">
        <f t="shared" ref="DE468:DE475" si="1381">COUNT(T468:AJ468)</f>
        <v>10</v>
      </c>
      <c r="DF468" s="95">
        <f t="shared" ref="DF468:DF475" si="1382">COUNT(AL468:BB468)</f>
        <v>10</v>
      </c>
      <c r="DG468" s="95">
        <f t="shared" ref="DG468:DG475" si="1383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282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4"/>
        <v>1.375</v>
      </c>
      <c r="CA469" s="586">
        <f t="shared" si="1255"/>
        <v>1.4375</v>
      </c>
      <c r="CB469" s="586">
        <f t="shared" si="1256"/>
        <v>1.625</v>
      </c>
      <c r="CC469" s="676">
        <f t="shared" si="1257"/>
        <v>1.5625</v>
      </c>
      <c r="CD469" s="1316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7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7">
        <f t="shared" si="1384"/>
        <v>1</v>
      </c>
      <c r="CG469" s="1317">
        <f t="shared" si="1384"/>
        <v>1</v>
      </c>
      <c r="CH469" s="1318">
        <f t="shared" si="1384"/>
        <v>1.25</v>
      </c>
      <c r="CI469" s="1318">
        <f t="shared" si="1384"/>
        <v>1.25</v>
      </c>
      <c r="CJ469" s="1317">
        <f t="shared" si="1384"/>
        <v>2.5</v>
      </c>
      <c r="CK469" s="1317">
        <f t="shared" si="1384"/>
        <v>2.5</v>
      </c>
      <c r="CL469" s="1317">
        <f t="shared" si="1384"/>
        <v>2.5</v>
      </c>
      <c r="CM469" s="1316">
        <f t="shared" si="1384"/>
        <v>2.5</v>
      </c>
      <c r="CN469" s="538" t="str">
        <f t="shared" si="1364"/>
        <v/>
      </c>
      <c r="CO469" s="539" t="str">
        <f t="shared" si="1365"/>
        <v/>
      </c>
      <c r="CP469" s="539" t="str">
        <f t="shared" si="1366"/>
        <v/>
      </c>
      <c r="CQ469" s="539">
        <f t="shared" si="1367"/>
        <v>1.25</v>
      </c>
      <c r="CR469" s="539">
        <f t="shared" si="1368"/>
        <v>1.25</v>
      </c>
      <c r="CS469" s="539">
        <f t="shared" si="1369"/>
        <v>1.25</v>
      </c>
      <c r="CT469" s="540">
        <f t="shared" si="1370"/>
        <v>1.25</v>
      </c>
      <c r="CU469" s="540">
        <f t="shared" si="1371"/>
        <v>1.25</v>
      </c>
      <c r="CV469" s="540">
        <f t="shared" si="1372"/>
        <v>1.25</v>
      </c>
      <c r="CW469" s="539">
        <f t="shared" si="1373"/>
        <v>1.25</v>
      </c>
      <c r="CX469" s="539">
        <f t="shared" si="1374"/>
        <v>2.5</v>
      </c>
      <c r="CY469" s="539">
        <f t="shared" si="1375"/>
        <v>2.5</v>
      </c>
      <c r="CZ469" s="539">
        <f t="shared" si="1376"/>
        <v>2.5</v>
      </c>
      <c r="DA469" s="539" t="str">
        <f t="shared" si="1377"/>
        <v/>
      </c>
      <c r="DB469" s="538" t="str">
        <f t="shared" si="1378"/>
        <v/>
      </c>
      <c r="DC469" s="537" t="str">
        <f t="shared" si="1379"/>
        <v/>
      </c>
      <c r="DD469" s="641">
        <f t="shared" si="1380"/>
        <v>10</v>
      </c>
      <c r="DE469" s="95">
        <f t="shared" si="1381"/>
        <v>10</v>
      </c>
      <c r="DF469" s="95">
        <f t="shared" si="1382"/>
        <v>10</v>
      </c>
      <c r="DG469" s="95">
        <f t="shared" si="1383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099" t="s">
        <v>283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4"/>
        <v>12</v>
      </c>
      <c r="CA470" s="586">
        <f t="shared" si="1255"/>
        <v>12</v>
      </c>
      <c r="CB470" s="586">
        <f t="shared" si="1256"/>
        <v>12</v>
      </c>
      <c r="CC470" s="676">
        <f t="shared" si="1257"/>
        <v>11.1</v>
      </c>
      <c r="CD470" s="1316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7">
        <f t="shared" si="1384"/>
        <v>12</v>
      </c>
      <c r="CF470" s="1317">
        <f t="shared" si="1384"/>
        <v>12</v>
      </c>
      <c r="CG470" s="1317">
        <f t="shared" si="1384"/>
        <v>12</v>
      </c>
      <c r="CH470" s="1318">
        <f t="shared" si="1384"/>
        <v>12</v>
      </c>
      <c r="CI470" s="1318">
        <f t="shared" si="1384"/>
        <v>12</v>
      </c>
      <c r="CJ470" s="1317">
        <f t="shared" si="1384"/>
        <v>12</v>
      </c>
      <c r="CK470" s="1317">
        <f t="shared" si="1384"/>
        <v>12</v>
      </c>
      <c r="CL470" s="1317">
        <f t="shared" si="1384"/>
        <v>12</v>
      </c>
      <c r="CM470" s="1316">
        <f t="shared" si="1384"/>
        <v>12</v>
      </c>
      <c r="CN470" s="538" t="str">
        <f t="shared" si="1364"/>
        <v/>
      </c>
      <c r="CO470" s="539" t="str">
        <f t="shared" si="1365"/>
        <v/>
      </c>
      <c r="CP470" s="539" t="str">
        <f t="shared" si="1366"/>
        <v/>
      </c>
      <c r="CQ470" s="539">
        <f t="shared" si="1367"/>
        <v>4.8</v>
      </c>
      <c r="CR470" s="539">
        <f t="shared" si="1368"/>
        <v>4.8</v>
      </c>
      <c r="CS470" s="539">
        <f t="shared" si="1369"/>
        <v>12</v>
      </c>
      <c r="CT470" s="540">
        <f t="shared" si="1370"/>
        <v>12</v>
      </c>
      <c r="CU470" s="540">
        <f t="shared" si="1371"/>
        <v>12</v>
      </c>
      <c r="CV470" s="540">
        <f t="shared" si="1372"/>
        <v>12</v>
      </c>
      <c r="CW470" s="539">
        <f t="shared" si="1373"/>
        <v>12</v>
      </c>
      <c r="CX470" s="539">
        <f t="shared" si="1374"/>
        <v>12</v>
      </c>
      <c r="CY470" s="539">
        <f t="shared" si="1375"/>
        <v>12</v>
      </c>
      <c r="CZ470" s="539">
        <f t="shared" si="1376"/>
        <v>12</v>
      </c>
      <c r="DA470" s="539" t="str">
        <f t="shared" si="1377"/>
        <v/>
      </c>
      <c r="DB470" s="538" t="str">
        <f t="shared" si="1378"/>
        <v/>
      </c>
      <c r="DC470" s="537" t="str">
        <f t="shared" si="1379"/>
        <v/>
      </c>
      <c r="DD470" s="641">
        <f t="shared" si="1380"/>
        <v>10</v>
      </c>
      <c r="DE470" s="95">
        <f t="shared" si="1381"/>
        <v>10</v>
      </c>
      <c r="DF470" s="95">
        <f t="shared" si="1382"/>
        <v>10</v>
      </c>
      <c r="DG470" s="95">
        <f t="shared" si="1383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48" t="s">
        <v>267</v>
      </c>
      <c r="B471" s="997">
        <f t="shared" ref="B471:K471" si="1385">IF(B469="","",B468*B469*B470)</f>
        <v>300</v>
      </c>
      <c r="C471" s="746">
        <f t="shared" si="1385"/>
        <v>120</v>
      </c>
      <c r="D471" s="997">
        <f t="shared" si="1385"/>
        <v>120</v>
      </c>
      <c r="E471" s="746">
        <f t="shared" si="1385"/>
        <v>120</v>
      </c>
      <c r="F471" s="997">
        <f t="shared" si="1385"/>
        <v>300</v>
      </c>
      <c r="G471" s="746">
        <f t="shared" si="1385"/>
        <v>300</v>
      </c>
      <c r="H471" s="997">
        <f t="shared" si="1385"/>
        <v>120</v>
      </c>
      <c r="I471" s="746">
        <f t="shared" si="1385"/>
        <v>120</v>
      </c>
      <c r="J471" s="997">
        <f t="shared" si="1385"/>
        <v>120</v>
      </c>
      <c r="K471" s="746">
        <f t="shared" si="1385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6">IF(T469="","",T468*T469*T470)</f>
        <v>120</v>
      </c>
      <c r="U471" s="997">
        <f t="shared" si="1386"/>
        <v>150</v>
      </c>
      <c r="V471" s="746">
        <f t="shared" si="1386"/>
        <v>120</v>
      </c>
      <c r="W471" s="997">
        <f t="shared" si="1386"/>
        <v>120</v>
      </c>
      <c r="X471" s="746">
        <f t="shared" si="1386"/>
        <v>120</v>
      </c>
      <c r="Y471" s="997">
        <f t="shared" si="1386"/>
        <v>150</v>
      </c>
      <c r="Z471" s="746">
        <f t="shared" si="1386"/>
        <v>300</v>
      </c>
      <c r="AA471" s="997">
        <f t="shared" si="1386"/>
        <v>300</v>
      </c>
      <c r="AB471" s="746">
        <f t="shared" si="1386"/>
        <v>120</v>
      </c>
      <c r="AC471" s="997">
        <f t="shared" si="1386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7">IF(AL469="","",AL468*AL469*AL470)</f>
        <v>150</v>
      </c>
      <c r="AM471" s="997">
        <f t="shared" si="1387"/>
        <v>300</v>
      </c>
      <c r="AN471" s="746">
        <f t="shared" si="1387"/>
        <v>120</v>
      </c>
      <c r="AO471" s="997">
        <f t="shared" si="1387"/>
        <v>120</v>
      </c>
      <c r="AP471" s="746">
        <f t="shared" si="1387"/>
        <v>300</v>
      </c>
      <c r="AQ471" s="997">
        <f t="shared" si="1387"/>
        <v>120</v>
      </c>
      <c r="AR471" s="746">
        <f t="shared" si="1387"/>
        <v>150</v>
      </c>
      <c r="AS471" s="997">
        <f t="shared" si="1387"/>
        <v>300</v>
      </c>
      <c r="AT471" s="746">
        <f t="shared" si="1387"/>
        <v>120</v>
      </c>
      <c r="AU471" s="997">
        <f t="shared" si="1387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8">IF(BD469="","",BD468*BD469*BD470)</f>
        <v>300</v>
      </c>
      <c r="BE471" s="746">
        <f t="shared" si="1388"/>
        <v>150</v>
      </c>
      <c r="BF471" s="997">
        <f t="shared" si="1388"/>
        <v>150</v>
      </c>
      <c r="BG471" s="746">
        <f t="shared" si="1388"/>
        <v>60</v>
      </c>
      <c r="BH471" s="997">
        <f t="shared" si="1388"/>
        <v>300</v>
      </c>
      <c r="BI471" s="746">
        <f t="shared" si="1388"/>
        <v>150</v>
      </c>
      <c r="BJ471" s="997">
        <f t="shared" si="1388"/>
        <v>150</v>
      </c>
      <c r="BK471" s="746">
        <f t="shared" si="1388"/>
        <v>150</v>
      </c>
      <c r="BL471" s="997">
        <f t="shared" si="1388"/>
        <v>300</v>
      </c>
      <c r="BM471" s="746">
        <f t="shared" si="1388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4"/>
        <v>165</v>
      </c>
      <c r="CA471" s="586">
        <f t="shared" si="1255"/>
        <v>172.5</v>
      </c>
      <c r="CB471" s="586">
        <f t="shared" si="1256"/>
        <v>195</v>
      </c>
      <c r="CC471" s="676">
        <f t="shared" si="1257"/>
        <v>176.25</v>
      </c>
      <c r="CD471" s="131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7">
        <f t="shared" si="1384"/>
        <v>120</v>
      </c>
      <c r="CF471" s="1317">
        <f t="shared" si="1384"/>
        <v>120</v>
      </c>
      <c r="CG471" s="1317">
        <f t="shared" si="1384"/>
        <v>120</v>
      </c>
      <c r="CH471" s="1318">
        <f t="shared" si="1384"/>
        <v>150</v>
      </c>
      <c r="CI471" s="1318">
        <f t="shared" si="1384"/>
        <v>150</v>
      </c>
      <c r="CJ471" s="1317">
        <f t="shared" si="1384"/>
        <v>300</v>
      </c>
      <c r="CK471" s="1317">
        <f t="shared" si="1384"/>
        <v>300</v>
      </c>
      <c r="CL471" s="1317">
        <f t="shared" si="1384"/>
        <v>300</v>
      </c>
      <c r="CM471" s="1316">
        <f t="shared" si="1384"/>
        <v>300</v>
      </c>
      <c r="CN471" s="538" t="str">
        <f t="shared" si="1364"/>
        <v/>
      </c>
      <c r="CO471" s="539" t="str">
        <f t="shared" si="1365"/>
        <v/>
      </c>
      <c r="CP471" s="539" t="str">
        <f t="shared" si="1366"/>
        <v/>
      </c>
      <c r="CQ471" s="539">
        <f t="shared" si="1367"/>
        <v>60</v>
      </c>
      <c r="CR471" s="539">
        <f t="shared" si="1368"/>
        <v>60</v>
      </c>
      <c r="CS471" s="539">
        <f t="shared" si="1369"/>
        <v>150</v>
      </c>
      <c r="CT471" s="540">
        <f t="shared" si="1370"/>
        <v>150</v>
      </c>
      <c r="CU471" s="540">
        <f t="shared" si="1371"/>
        <v>150</v>
      </c>
      <c r="CV471" s="540">
        <f t="shared" si="1372"/>
        <v>150</v>
      </c>
      <c r="CW471" s="539">
        <f t="shared" si="1373"/>
        <v>150</v>
      </c>
      <c r="CX471" s="539">
        <f t="shared" si="1374"/>
        <v>300</v>
      </c>
      <c r="CY471" s="539">
        <f t="shared" si="1375"/>
        <v>300</v>
      </c>
      <c r="CZ471" s="539">
        <f t="shared" si="1376"/>
        <v>300</v>
      </c>
      <c r="DA471" s="539" t="str">
        <f t="shared" si="1377"/>
        <v/>
      </c>
      <c r="DB471" s="538" t="str">
        <f t="shared" si="1378"/>
        <v/>
      </c>
      <c r="DC471" s="537" t="str">
        <f t="shared" si="1379"/>
        <v/>
      </c>
      <c r="DD471" s="641">
        <f t="shared" si="1380"/>
        <v>10</v>
      </c>
      <c r="DE471" s="95">
        <f t="shared" si="1381"/>
        <v>10</v>
      </c>
      <c r="DF471" s="95">
        <f t="shared" si="1382"/>
        <v>10</v>
      </c>
      <c r="DG471" s="95">
        <f t="shared" si="1383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48" t="s">
        <v>292</v>
      </c>
      <c r="B472" s="998">
        <f>3540*$K$1</f>
        <v>14821.271999999999</v>
      </c>
      <c r="C472" s="998">
        <f t="shared" ref="C472:K472" si="1389">3540*$K$1</f>
        <v>14821.271999999999</v>
      </c>
      <c r="D472" s="998">
        <f t="shared" si="1389"/>
        <v>14821.271999999999</v>
      </c>
      <c r="E472" s="998">
        <f t="shared" si="1389"/>
        <v>14821.271999999999</v>
      </c>
      <c r="F472" s="998">
        <f t="shared" si="1389"/>
        <v>14821.271999999999</v>
      </c>
      <c r="G472" s="998">
        <f t="shared" si="1389"/>
        <v>14821.271999999999</v>
      </c>
      <c r="H472" s="998">
        <f t="shared" si="1389"/>
        <v>14821.271999999999</v>
      </c>
      <c r="I472" s="998">
        <f t="shared" si="1389"/>
        <v>14821.271999999999</v>
      </c>
      <c r="J472" s="998">
        <f t="shared" si="1389"/>
        <v>14821.271999999999</v>
      </c>
      <c r="K472" s="998">
        <f t="shared" si="1389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90">3540*$K$1</f>
        <v>14821.271999999999</v>
      </c>
      <c r="V472" s="998">
        <f t="shared" si="1390"/>
        <v>14821.271999999999</v>
      </c>
      <c r="W472" s="998">
        <f t="shared" si="1390"/>
        <v>14821.271999999999</v>
      </c>
      <c r="X472" s="998">
        <f t="shared" si="1390"/>
        <v>14821.271999999999</v>
      </c>
      <c r="Y472" s="998">
        <f t="shared" si="1390"/>
        <v>14821.271999999999</v>
      </c>
      <c r="Z472" s="998">
        <f t="shared" si="1390"/>
        <v>14821.271999999999</v>
      </c>
      <c r="AA472" s="998">
        <f t="shared" si="1390"/>
        <v>14821.271999999999</v>
      </c>
      <c r="AB472" s="998">
        <f t="shared" si="1390"/>
        <v>14821.271999999999</v>
      </c>
      <c r="AC472" s="998">
        <f t="shared" si="1390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91">3540*$K$1</f>
        <v>14821.271999999999</v>
      </c>
      <c r="AN472" s="998">
        <f t="shared" si="1391"/>
        <v>14821.271999999999</v>
      </c>
      <c r="AO472" s="998">
        <f t="shared" si="1391"/>
        <v>14821.271999999999</v>
      </c>
      <c r="AP472" s="998">
        <f t="shared" si="1391"/>
        <v>14821.271999999999</v>
      </c>
      <c r="AQ472" s="998">
        <f t="shared" si="1391"/>
        <v>14821.271999999999</v>
      </c>
      <c r="AR472" s="998">
        <f t="shared" si="1391"/>
        <v>14821.271999999999</v>
      </c>
      <c r="AS472" s="998">
        <f t="shared" si="1391"/>
        <v>14821.271999999999</v>
      </c>
      <c r="AT472" s="998">
        <f t="shared" si="1391"/>
        <v>14821.271999999999</v>
      </c>
      <c r="AU472" s="998">
        <f t="shared" si="1391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2">3540*$K$1</f>
        <v>14821.271999999999</v>
      </c>
      <c r="BF472" s="998">
        <f t="shared" si="1392"/>
        <v>14821.271999999999</v>
      </c>
      <c r="BG472" s="998">
        <f t="shared" si="1392"/>
        <v>14821.271999999999</v>
      </c>
      <c r="BH472" s="998">
        <f t="shared" si="1392"/>
        <v>14821.271999999999</v>
      </c>
      <c r="BI472" s="998">
        <f t="shared" si="1392"/>
        <v>14821.271999999999</v>
      </c>
      <c r="BJ472" s="998">
        <f t="shared" si="1392"/>
        <v>14821.271999999999</v>
      </c>
      <c r="BK472" s="998">
        <f t="shared" si="1392"/>
        <v>14821.271999999999</v>
      </c>
      <c r="BL472" s="998">
        <f t="shared" si="1392"/>
        <v>14821.271999999999</v>
      </c>
      <c r="BM472" s="998">
        <f t="shared" si="1392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2"/>
        <v>14821.271999999999</v>
      </c>
      <c r="BW472" s="998">
        <f t="shared" si="1392"/>
        <v>14821.271999999999</v>
      </c>
      <c r="BX472" s="998">
        <f t="shared" si="1392"/>
        <v>14821.271999999999</v>
      </c>
      <c r="BY472" s="998">
        <f t="shared" si="1392"/>
        <v>14821.271999999999</v>
      </c>
      <c r="BZ472" s="586">
        <f t="shared" ref="BZ472:BZ503" si="1393">IF(DD472&lt;3,"",(SUM(B472:R472)-MIN(B472:R472)-MAX(B472:R472))/(DD472-2))</f>
        <v>14821.272000000001</v>
      </c>
      <c r="CA472" s="586">
        <f t="shared" ref="CA472:CA503" si="1394">IF(DE472&lt;3,"",(SUM(T472:AJ472)-MIN(T472:AJ472)-MAX(T472:AJ472))/(DE472-2))</f>
        <v>14821.272000000001</v>
      </c>
      <c r="CB472" s="586">
        <f t="shared" ref="CB472:CB503" si="1395">IF(DF472&lt;3,"",(SUM(AL472:BB472)-MIN(AL472:BB472)-MAX(AL472:BB472))/(DF472-2))</f>
        <v>14821.272000000001</v>
      </c>
      <c r="CC472" s="676">
        <f t="shared" ref="CC472:CC503" si="1396">IF(DG472&lt;3,"",(SUM(BD472:BT472)-MIN(BD472:BT472)-MAX(BD472:BT472))/(DG472-2))</f>
        <v>14821.272000000001</v>
      </c>
      <c r="CD472" s="131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7">
        <f t="shared" si="1384"/>
        <v>14821.271999999999</v>
      </c>
      <c r="CF472" s="1317">
        <f t="shared" si="1384"/>
        <v>14821.271999999999</v>
      </c>
      <c r="CG472" s="1317">
        <f t="shared" si="1384"/>
        <v>14821.271999999999</v>
      </c>
      <c r="CH472" s="1318">
        <f t="shared" si="1384"/>
        <v>14821.271999999999</v>
      </c>
      <c r="CI472" s="1318">
        <f t="shared" si="1384"/>
        <v>14821.271999999999</v>
      </c>
      <c r="CJ472" s="1317">
        <f t="shared" si="1384"/>
        <v>14821.271999999999</v>
      </c>
      <c r="CK472" s="1317">
        <f t="shared" si="1384"/>
        <v>14821.271999999999</v>
      </c>
      <c r="CL472" s="1317">
        <f t="shared" si="1384"/>
        <v>14821.271999999999</v>
      </c>
      <c r="CM472" s="1316">
        <f t="shared" si="1384"/>
        <v>14821.271999999999</v>
      </c>
      <c r="CN472" s="538" t="str">
        <f t="shared" si="1364"/>
        <v/>
      </c>
      <c r="CO472" s="539" t="str">
        <f t="shared" si="1365"/>
        <v/>
      </c>
      <c r="CP472" s="539" t="str">
        <f t="shared" si="1366"/>
        <v/>
      </c>
      <c r="CQ472" s="539">
        <f t="shared" si="1367"/>
        <v>14821.271999999999</v>
      </c>
      <c r="CR472" s="539">
        <f t="shared" si="1368"/>
        <v>14821.271999999999</v>
      </c>
      <c r="CS472" s="539">
        <f t="shared" si="1369"/>
        <v>14821.271999999999</v>
      </c>
      <c r="CT472" s="540">
        <f t="shared" si="1370"/>
        <v>14821.271999999999</v>
      </c>
      <c r="CU472" s="540">
        <f t="shared" si="1371"/>
        <v>14821.271999999999</v>
      </c>
      <c r="CV472" s="540">
        <f t="shared" si="1372"/>
        <v>14821.271999999999</v>
      </c>
      <c r="CW472" s="539">
        <f t="shared" si="1373"/>
        <v>14821.271999999999</v>
      </c>
      <c r="CX472" s="539">
        <f t="shared" si="1374"/>
        <v>14821.271999999999</v>
      </c>
      <c r="CY472" s="539">
        <f t="shared" si="1375"/>
        <v>14821.271999999999</v>
      </c>
      <c r="CZ472" s="539">
        <f t="shared" si="1376"/>
        <v>14821.271999999999</v>
      </c>
      <c r="DA472" s="539" t="str">
        <f t="shared" si="1377"/>
        <v/>
      </c>
      <c r="DB472" s="538" t="str">
        <f t="shared" si="1378"/>
        <v/>
      </c>
      <c r="DC472" s="537" t="str">
        <f t="shared" si="1379"/>
        <v/>
      </c>
      <c r="DD472" s="641">
        <f t="shared" si="1380"/>
        <v>10</v>
      </c>
      <c r="DE472" s="95">
        <f t="shared" si="1381"/>
        <v>10</v>
      </c>
      <c r="DF472" s="95">
        <f t="shared" si="1382"/>
        <v>10</v>
      </c>
      <c r="DG472" s="95">
        <f t="shared" si="1383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099" t="s">
        <v>252</v>
      </c>
      <c r="B473" s="1003">
        <f t="shared" ref="B473:K473" si="1397">IF(B471="","",B471*B472/B$46/365/$G$1)</f>
        <v>0.13843031133250311</v>
      </c>
      <c r="C473" s="1003">
        <f t="shared" si="1397"/>
        <v>7.9103035047144624E-2</v>
      </c>
      <c r="D473" s="1003">
        <f t="shared" si="1397"/>
        <v>6.9215155666251554E-2</v>
      </c>
      <c r="E473" s="1003">
        <f t="shared" si="1397"/>
        <v>5.5372124533001242E-2</v>
      </c>
      <c r="F473" s="1003">
        <f t="shared" si="1397"/>
        <v>0.19775758761786158</v>
      </c>
      <c r="G473" s="1003">
        <f t="shared" si="1397"/>
        <v>0.1730378891656289</v>
      </c>
      <c r="H473" s="1003">
        <f t="shared" si="1397"/>
        <v>6.1524582814445818E-2</v>
      </c>
      <c r="I473" s="1003">
        <f t="shared" si="1397"/>
        <v>0.11074424906600248</v>
      </c>
      <c r="J473" s="1003">
        <f t="shared" si="1397"/>
        <v>6.9215155666251554E-2</v>
      </c>
      <c r="K473" s="1003">
        <f t="shared" si="1397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8">IF(T471="","",T471*T472/T$46/365/$G$1)</f>
        <v>6.9215155666251554E-2</v>
      </c>
      <c r="U473" s="1003">
        <f t="shared" si="1398"/>
        <v>9.887879380893079E-2</v>
      </c>
      <c r="V473" s="1003">
        <f t="shared" si="1398"/>
        <v>6.1524582814445818E-2</v>
      </c>
      <c r="W473" s="1003">
        <f t="shared" si="1398"/>
        <v>5.5372124533001242E-2</v>
      </c>
      <c r="X473" s="1003">
        <f t="shared" si="1398"/>
        <v>6.9215155666251554E-2</v>
      </c>
      <c r="Y473" s="1003">
        <f t="shared" si="1398"/>
        <v>6.9215155666251554E-2</v>
      </c>
      <c r="Z473" s="1003">
        <f t="shared" si="1398"/>
        <v>0.15381145703611457</v>
      </c>
      <c r="AA473" s="1003">
        <f t="shared" si="1398"/>
        <v>0.13843031133250311</v>
      </c>
      <c r="AB473" s="1003">
        <f t="shared" si="1398"/>
        <v>6.9215155666251554E-2</v>
      </c>
      <c r="AC473" s="1003">
        <f t="shared" si="1398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9">IF(AL471="","",AL471*AL472/AL$46/365/$G$1)</f>
        <v>9.887879380893079E-2</v>
      </c>
      <c r="AM473" s="1003">
        <f t="shared" si="1399"/>
        <v>0.1730378891656289</v>
      </c>
      <c r="AN473" s="1003">
        <f t="shared" si="1399"/>
        <v>0.11074424906600248</v>
      </c>
      <c r="AO473" s="1003">
        <f t="shared" si="1399"/>
        <v>5.5372124533001242E-2</v>
      </c>
      <c r="AP473" s="1003">
        <f t="shared" si="1399"/>
        <v>0.13843031133250311</v>
      </c>
      <c r="AQ473" s="1003">
        <f t="shared" si="1399"/>
        <v>0.11074424906600248</v>
      </c>
      <c r="AR473" s="1003">
        <f t="shared" si="1399"/>
        <v>9.887879380893079E-2</v>
      </c>
      <c r="AS473" s="1003">
        <f t="shared" si="1399"/>
        <v>0.13843031133250311</v>
      </c>
      <c r="AT473" s="1003">
        <f t="shared" si="1399"/>
        <v>0.11074424906600248</v>
      </c>
      <c r="AU473" s="1003">
        <f t="shared" si="1399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400">IF(BD471="","",BD471*BD472/BD$46/365/$G$1)</f>
        <v>0.11535859277708592</v>
      </c>
      <c r="BE473" s="1003">
        <f t="shared" si="1400"/>
        <v>8.651894458281445E-2</v>
      </c>
      <c r="BF473" s="1003">
        <f t="shared" si="1400"/>
        <v>5.767929638854296E-2</v>
      </c>
      <c r="BG473" s="1003">
        <f t="shared" si="1400"/>
        <v>3.9551517523572312E-2</v>
      </c>
      <c r="BH473" s="1003">
        <f t="shared" si="1400"/>
        <v>0.12584573757500281</v>
      </c>
      <c r="BI473" s="1003">
        <f t="shared" si="1400"/>
        <v>6.9215155666251554E-2</v>
      </c>
      <c r="BJ473" s="1003">
        <f t="shared" si="1400"/>
        <v>8.651894458281445E-2</v>
      </c>
      <c r="BK473" s="1003">
        <f t="shared" si="1400"/>
        <v>9.887879380893079E-2</v>
      </c>
      <c r="BL473" s="1003">
        <f t="shared" si="1400"/>
        <v>0.12584573757500281</v>
      </c>
      <c r="BM473" s="1003">
        <f t="shared" si="1400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3"/>
        <v>9.7546676725671591E-2</v>
      </c>
      <c r="CA473" s="611">
        <f t="shared" si="1394"/>
        <v>9.1188220957125074E-2</v>
      </c>
      <c r="CB473" s="611">
        <f t="shared" si="1395"/>
        <v>0.1181601586016723</v>
      </c>
      <c r="CC473" s="611">
        <f t="shared" si="1396"/>
        <v>8.4945872863126909E-2</v>
      </c>
      <c r="CD473" s="1319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320">
        <f t="shared" si="1384"/>
        <v>9.887879380893079E-2</v>
      </c>
      <c r="CF473" s="1320">
        <f t="shared" si="1384"/>
        <v>9.887879380893079E-2</v>
      </c>
      <c r="CG473" s="1320">
        <f t="shared" si="1384"/>
        <v>0.11074424906600248</v>
      </c>
      <c r="CH473" s="1321">
        <f t="shared" si="1384"/>
        <v>0.11074424906600248</v>
      </c>
      <c r="CI473" s="1321">
        <f t="shared" si="1384"/>
        <v>0.11074424906600248</v>
      </c>
      <c r="CJ473" s="1320">
        <f t="shared" si="1384"/>
        <v>0.13843031133250311</v>
      </c>
      <c r="CK473" s="1320">
        <f t="shared" si="1384"/>
        <v>0.13843031133250311</v>
      </c>
      <c r="CL473" s="1320">
        <f t="shared" si="1384"/>
        <v>0.13843031133250311</v>
      </c>
      <c r="CM473" s="1319">
        <f t="shared" si="1384"/>
        <v>0.1730378891656289</v>
      </c>
      <c r="CN473" s="526" t="str">
        <f t="shared" si="1364"/>
        <v/>
      </c>
      <c r="CO473" s="527" t="str">
        <f t="shared" si="1365"/>
        <v/>
      </c>
      <c r="CP473" s="527" t="str">
        <f t="shared" si="1366"/>
        <v/>
      </c>
      <c r="CQ473" s="527">
        <f t="shared" si="1367"/>
        <v>3.9551517523572312E-2</v>
      </c>
      <c r="CR473" s="527">
        <f t="shared" si="1368"/>
        <v>3.9551517523572312E-2</v>
      </c>
      <c r="CS473" s="527">
        <f t="shared" si="1369"/>
        <v>5.767929638854296E-2</v>
      </c>
      <c r="CT473" s="528">
        <f t="shared" si="1370"/>
        <v>6.9215155666251554E-2</v>
      </c>
      <c r="CU473" s="528">
        <f t="shared" si="1371"/>
        <v>8.651894458281445E-2</v>
      </c>
      <c r="CV473" s="528">
        <f t="shared" si="1372"/>
        <v>8.651894458281445E-2</v>
      </c>
      <c r="CW473" s="527">
        <f t="shared" si="1373"/>
        <v>9.887879380893079E-2</v>
      </c>
      <c r="CX473" s="527">
        <f t="shared" si="1374"/>
        <v>0.11535859277708592</v>
      </c>
      <c r="CY473" s="527">
        <f t="shared" si="1375"/>
        <v>0.12584573757500281</v>
      </c>
      <c r="CZ473" s="527">
        <f t="shared" si="1376"/>
        <v>0.12584573757500281</v>
      </c>
      <c r="DA473" s="527" t="str">
        <f t="shared" si="1377"/>
        <v/>
      </c>
      <c r="DB473" s="526" t="str">
        <f t="shared" si="1378"/>
        <v/>
      </c>
      <c r="DC473" s="525" t="str">
        <f t="shared" si="1379"/>
        <v/>
      </c>
      <c r="DD473" s="641">
        <f t="shared" si="1380"/>
        <v>10</v>
      </c>
      <c r="DE473" s="95">
        <f t="shared" si="1381"/>
        <v>10</v>
      </c>
      <c r="DF473" s="95">
        <f t="shared" si="1382"/>
        <v>10</v>
      </c>
      <c r="DG473" s="95">
        <f t="shared" si="1383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66" t="s">
        <v>288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3"/>
        <v>6.3250000000000002</v>
      </c>
      <c r="CA474" s="586">
        <f t="shared" si="1394"/>
        <v>5.7625000000000002</v>
      </c>
      <c r="CB474" s="586">
        <f t="shared" si="1395"/>
        <v>7.2125000000000004</v>
      </c>
      <c r="CC474" s="676">
        <f t="shared" si="1396"/>
        <v>6.7624999999999993</v>
      </c>
      <c r="CD474" s="1316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17">
        <f t="shared" si="1401"/>
        <v>5</v>
      </c>
      <c r="CF474" s="1317">
        <f t="shared" si="1401"/>
        <v>6</v>
      </c>
      <c r="CG474" s="1317">
        <f t="shared" si="1401"/>
        <v>7</v>
      </c>
      <c r="CH474" s="1318">
        <f t="shared" si="1401"/>
        <v>7</v>
      </c>
      <c r="CI474" s="1318">
        <f t="shared" si="1401"/>
        <v>7.2</v>
      </c>
      <c r="CJ474" s="1317">
        <f t="shared" si="1401"/>
        <v>8</v>
      </c>
      <c r="CK474" s="1317">
        <f t="shared" si="1401"/>
        <v>8.5</v>
      </c>
      <c r="CL474" s="1317">
        <f t="shared" si="1401"/>
        <v>9</v>
      </c>
      <c r="CM474" s="1316">
        <f t="shared" si="1401"/>
        <v>10</v>
      </c>
      <c r="CN474" s="538" t="str">
        <f t="shared" si="1364"/>
        <v/>
      </c>
      <c r="CO474" s="539" t="str">
        <f t="shared" si="1365"/>
        <v/>
      </c>
      <c r="CP474" s="539" t="str">
        <f t="shared" si="1366"/>
        <v/>
      </c>
      <c r="CQ474" s="539">
        <f t="shared" si="1367"/>
        <v>5</v>
      </c>
      <c r="CR474" s="539">
        <f t="shared" si="1368"/>
        <v>5</v>
      </c>
      <c r="CS474" s="539">
        <f t="shared" si="1369"/>
        <v>6</v>
      </c>
      <c r="CT474" s="540">
        <f t="shared" si="1370"/>
        <v>6</v>
      </c>
      <c r="CU474" s="540">
        <f t="shared" si="1371"/>
        <v>6.4</v>
      </c>
      <c r="CV474" s="540">
        <f t="shared" si="1372"/>
        <v>6.5</v>
      </c>
      <c r="CW474" s="539">
        <f t="shared" si="1373"/>
        <v>7</v>
      </c>
      <c r="CX474" s="539">
        <f t="shared" si="1374"/>
        <v>7.2</v>
      </c>
      <c r="CY474" s="539">
        <f t="shared" si="1375"/>
        <v>10</v>
      </c>
      <c r="CZ474" s="539">
        <f t="shared" si="1376"/>
        <v>12</v>
      </c>
      <c r="DA474" s="539" t="str">
        <f t="shared" si="1377"/>
        <v/>
      </c>
      <c r="DB474" s="538" t="str">
        <f t="shared" si="1378"/>
        <v/>
      </c>
      <c r="DC474" s="537" t="str">
        <f t="shared" si="1379"/>
        <v/>
      </c>
      <c r="DD474" s="641">
        <f t="shared" si="1380"/>
        <v>10</v>
      </c>
      <c r="DE474" s="95">
        <f t="shared" si="1381"/>
        <v>10</v>
      </c>
      <c r="DF474" s="95">
        <f t="shared" si="1382"/>
        <v>10</v>
      </c>
      <c r="DG474" s="95">
        <f t="shared" si="1383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099" t="s">
        <v>286</v>
      </c>
      <c r="B475" s="997">
        <f t="shared" ref="B475:K475" si="1402">IF(B474="","",B471*B474)</f>
        <v>1800</v>
      </c>
      <c r="C475" s="746">
        <f t="shared" si="1402"/>
        <v>720</v>
      </c>
      <c r="D475" s="997">
        <f t="shared" si="1402"/>
        <v>840</v>
      </c>
      <c r="E475" s="746">
        <f t="shared" si="1402"/>
        <v>720</v>
      </c>
      <c r="F475" s="997">
        <f t="shared" si="1402"/>
        <v>1680</v>
      </c>
      <c r="G475" s="746">
        <f t="shared" si="1402"/>
        <v>2280</v>
      </c>
      <c r="H475" s="997">
        <f t="shared" si="1402"/>
        <v>720</v>
      </c>
      <c r="I475" s="746">
        <f t="shared" si="1402"/>
        <v>804</v>
      </c>
      <c r="J475" s="997">
        <f t="shared" si="1402"/>
        <v>720</v>
      </c>
      <c r="K475" s="997">
        <f t="shared" si="1402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3">IF(T474="","",T471*T474)</f>
        <v>600</v>
      </c>
      <c r="U475" s="997">
        <f t="shared" si="1403"/>
        <v>750</v>
      </c>
      <c r="V475" s="746">
        <f t="shared" si="1403"/>
        <v>600</v>
      </c>
      <c r="W475" s="997">
        <f t="shared" si="1403"/>
        <v>780</v>
      </c>
      <c r="X475" s="746">
        <f t="shared" si="1403"/>
        <v>600</v>
      </c>
      <c r="Y475" s="997">
        <f t="shared" si="1403"/>
        <v>1080</v>
      </c>
      <c r="Z475" s="746">
        <f t="shared" si="1403"/>
        <v>1680</v>
      </c>
      <c r="AA475" s="997">
        <f t="shared" si="1403"/>
        <v>1920</v>
      </c>
      <c r="AB475" s="746">
        <f t="shared" si="1403"/>
        <v>840</v>
      </c>
      <c r="AC475" s="997">
        <f t="shared" si="1403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4">IF(AL474="","",AL471*AL474)</f>
        <v>1275</v>
      </c>
      <c r="AM475" s="997">
        <f t="shared" si="1404"/>
        <v>2700</v>
      </c>
      <c r="AN475" s="746">
        <f t="shared" si="1404"/>
        <v>840</v>
      </c>
      <c r="AO475" s="997">
        <f t="shared" si="1404"/>
        <v>600</v>
      </c>
      <c r="AP475" s="746">
        <f t="shared" si="1404"/>
        <v>2160</v>
      </c>
      <c r="AQ475" s="997">
        <f t="shared" si="1404"/>
        <v>600</v>
      </c>
      <c r="AR475" s="746">
        <f t="shared" si="1404"/>
        <v>1500</v>
      </c>
      <c r="AS475" s="997">
        <f t="shared" si="1404"/>
        <v>2100</v>
      </c>
      <c r="AT475" s="746">
        <f t="shared" si="1404"/>
        <v>720</v>
      </c>
      <c r="AU475" s="997">
        <f t="shared" si="1404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5">IF(BD474="","",BD471*BD474)</f>
        <v>1800</v>
      </c>
      <c r="BE475" s="746">
        <f t="shared" si="1405"/>
        <v>750</v>
      </c>
      <c r="BF475" s="997">
        <f t="shared" si="1405"/>
        <v>1050</v>
      </c>
      <c r="BG475" s="746">
        <f t="shared" si="1405"/>
        <v>360</v>
      </c>
      <c r="BH475" s="997">
        <f t="shared" si="1405"/>
        <v>3000</v>
      </c>
      <c r="BI475" s="746">
        <f t="shared" si="1405"/>
        <v>960</v>
      </c>
      <c r="BJ475" s="997">
        <f t="shared" si="1405"/>
        <v>750</v>
      </c>
      <c r="BK475" s="746">
        <f t="shared" si="1405"/>
        <v>1080</v>
      </c>
      <c r="BL475" s="997">
        <f t="shared" si="1405"/>
        <v>3600</v>
      </c>
      <c r="BM475" s="746">
        <f t="shared" si="1405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3"/>
        <v>1014</v>
      </c>
      <c r="CA475" s="586">
        <f t="shared" si="1394"/>
        <v>1001.25</v>
      </c>
      <c r="CB475" s="586">
        <f t="shared" si="1395"/>
        <v>1449.375</v>
      </c>
      <c r="CC475" s="676">
        <f t="shared" si="1396"/>
        <v>1222.5</v>
      </c>
      <c r="CD475" s="1316">
        <f t="shared" si="1401"/>
        <v>600</v>
      </c>
      <c r="CE475" s="1317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17">
        <f t="shared" si="1406"/>
        <v>720</v>
      </c>
      <c r="CG475" s="1317">
        <f t="shared" si="1406"/>
        <v>840</v>
      </c>
      <c r="CH475" s="1318">
        <f t="shared" si="1406"/>
        <v>1275</v>
      </c>
      <c r="CI475" s="1318">
        <f t="shared" si="1406"/>
        <v>1500</v>
      </c>
      <c r="CJ475" s="1317">
        <f t="shared" si="1406"/>
        <v>2100</v>
      </c>
      <c r="CK475" s="1317">
        <f t="shared" si="1406"/>
        <v>2160</v>
      </c>
      <c r="CL475" s="1317">
        <f t="shared" si="1406"/>
        <v>2400</v>
      </c>
      <c r="CM475" s="1316">
        <f t="shared" si="1406"/>
        <v>2700</v>
      </c>
      <c r="CN475" s="538" t="str">
        <f t="shared" si="1364"/>
        <v/>
      </c>
      <c r="CO475" s="539" t="str">
        <f t="shared" si="1365"/>
        <v/>
      </c>
      <c r="CP475" s="539" t="str">
        <f t="shared" si="1366"/>
        <v/>
      </c>
      <c r="CQ475" s="539">
        <f t="shared" si="1367"/>
        <v>360</v>
      </c>
      <c r="CR475" s="539">
        <f t="shared" si="1368"/>
        <v>390</v>
      </c>
      <c r="CS475" s="539">
        <f t="shared" si="1369"/>
        <v>750</v>
      </c>
      <c r="CT475" s="540">
        <f t="shared" si="1370"/>
        <v>750</v>
      </c>
      <c r="CU475" s="540">
        <f t="shared" si="1371"/>
        <v>960</v>
      </c>
      <c r="CV475" s="540">
        <f t="shared" si="1372"/>
        <v>1050</v>
      </c>
      <c r="CW475" s="539">
        <f t="shared" si="1373"/>
        <v>1080</v>
      </c>
      <c r="CX475" s="539">
        <f t="shared" si="1374"/>
        <v>1800</v>
      </c>
      <c r="CY475" s="539">
        <f t="shared" si="1375"/>
        <v>3000</v>
      </c>
      <c r="CZ475" s="539">
        <f t="shared" si="1376"/>
        <v>3600</v>
      </c>
      <c r="DA475" s="539" t="str">
        <f t="shared" si="1377"/>
        <v/>
      </c>
      <c r="DB475" s="538" t="str">
        <f t="shared" si="1378"/>
        <v/>
      </c>
      <c r="DC475" s="537" t="str">
        <f t="shared" si="1379"/>
        <v/>
      </c>
      <c r="DD475" s="641">
        <f t="shared" si="1380"/>
        <v>10</v>
      </c>
      <c r="DE475" s="95">
        <f t="shared" si="1381"/>
        <v>10</v>
      </c>
      <c r="DF475" s="95">
        <f t="shared" si="1382"/>
        <v>10</v>
      </c>
      <c r="DG475" s="95">
        <f t="shared" si="1383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66" t="s">
        <v>718</v>
      </c>
      <c r="B476" s="262" t="s">
        <v>721</v>
      </c>
      <c r="C476" s="262" t="s">
        <v>721</v>
      </c>
      <c r="D476" s="262" t="s">
        <v>721</v>
      </c>
      <c r="E476" s="262" t="s">
        <v>721</v>
      </c>
      <c r="F476" s="262" t="s">
        <v>721</v>
      </c>
      <c r="G476" s="262" t="s">
        <v>721</v>
      </c>
      <c r="H476" s="262" t="s">
        <v>721</v>
      </c>
      <c r="I476" s="262" t="s">
        <v>721</v>
      </c>
      <c r="J476" s="262" t="s">
        <v>721</v>
      </c>
      <c r="K476" s="262" t="s">
        <v>721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721</v>
      </c>
      <c r="U476" s="262" t="s">
        <v>721</v>
      </c>
      <c r="V476" s="262" t="s">
        <v>721</v>
      </c>
      <c r="W476" s="262" t="s">
        <v>721</v>
      </c>
      <c r="X476" s="262" t="s">
        <v>721</v>
      </c>
      <c r="Y476" s="262" t="s">
        <v>721</v>
      </c>
      <c r="Z476" s="262" t="s">
        <v>721</v>
      </c>
      <c r="AA476" s="262" t="s">
        <v>721</v>
      </c>
      <c r="AB476" s="262" t="s">
        <v>721</v>
      </c>
      <c r="AC476" s="262" t="s">
        <v>721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721</v>
      </c>
      <c r="AM476" s="262" t="s">
        <v>721</v>
      </c>
      <c r="AN476" s="262" t="s">
        <v>721</v>
      </c>
      <c r="AO476" s="262" t="s">
        <v>721</v>
      </c>
      <c r="AP476" s="262" t="s">
        <v>721</v>
      </c>
      <c r="AQ476" s="262" t="s">
        <v>721</v>
      </c>
      <c r="AR476" s="262" t="s">
        <v>721</v>
      </c>
      <c r="AS476" s="262" t="s">
        <v>721</v>
      </c>
      <c r="AT476" s="262" t="s">
        <v>721</v>
      </c>
      <c r="AU476" s="262" t="s">
        <v>721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721</v>
      </c>
      <c r="BE476" s="262" t="s">
        <v>721</v>
      </c>
      <c r="BF476" s="262" t="s">
        <v>721</v>
      </c>
      <c r="BG476" s="262" t="s">
        <v>721</v>
      </c>
      <c r="BH476" s="262" t="s">
        <v>721</v>
      </c>
      <c r="BI476" s="262" t="s">
        <v>721</v>
      </c>
      <c r="BJ476" s="262" t="s">
        <v>721</v>
      </c>
      <c r="BK476" s="262" t="s">
        <v>721</v>
      </c>
      <c r="BL476" s="262" t="s">
        <v>721</v>
      </c>
      <c r="BM476" s="262" t="s">
        <v>721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721</v>
      </c>
      <c r="BW476" s="262" t="s">
        <v>721</v>
      </c>
      <c r="BX476" s="262" t="s">
        <v>721</v>
      </c>
      <c r="BY476" s="262" t="s">
        <v>721</v>
      </c>
      <c r="BZ476" s="578" t="str">
        <f t="shared" si="1393"/>
        <v/>
      </c>
      <c r="CA476" s="578" t="str">
        <f t="shared" si="1394"/>
        <v/>
      </c>
      <c r="CB476" s="578" t="str">
        <f t="shared" si="1395"/>
        <v/>
      </c>
      <c r="CC476" s="675" t="str">
        <f t="shared" si="1396"/>
        <v/>
      </c>
      <c r="CD476" s="1322"/>
      <c r="CE476" s="1322"/>
      <c r="CF476" s="1322"/>
      <c r="CG476" s="1322"/>
      <c r="CH476" s="1322"/>
      <c r="CI476" s="1322"/>
      <c r="CJ476" s="1322"/>
      <c r="CK476" s="1322"/>
      <c r="CL476" s="1322"/>
      <c r="CM476" s="1322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266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3"/>
        <v>10</v>
      </c>
      <c r="CA477" s="586">
        <f t="shared" si="1394"/>
        <v>10</v>
      </c>
      <c r="CB477" s="586">
        <f t="shared" si="1395"/>
        <v>10</v>
      </c>
      <c r="CC477" s="676">
        <f t="shared" si="1396"/>
        <v>10</v>
      </c>
      <c r="CD477" s="1316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17">
        <f t="shared" si="1407"/>
        <v>10</v>
      </c>
      <c r="CF477" s="1317">
        <f t="shared" si="1407"/>
        <v>10</v>
      </c>
      <c r="CG477" s="1317">
        <f t="shared" si="1407"/>
        <v>10</v>
      </c>
      <c r="CH477" s="1318">
        <f t="shared" si="1407"/>
        <v>10</v>
      </c>
      <c r="CI477" s="1318">
        <f t="shared" si="1407"/>
        <v>10</v>
      </c>
      <c r="CJ477" s="1317">
        <f t="shared" si="1407"/>
        <v>10</v>
      </c>
      <c r="CK477" s="1317">
        <f t="shared" si="1407"/>
        <v>10</v>
      </c>
      <c r="CL477" s="1317">
        <f t="shared" si="1407"/>
        <v>10</v>
      </c>
      <c r="CM477" s="1316">
        <f t="shared" si="1407"/>
        <v>10</v>
      </c>
      <c r="CN477" s="538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4">COUNT(B477:R477)</f>
        <v>10</v>
      </c>
      <c r="DE477" s="95">
        <f t="shared" ref="DE477:DE484" si="1425">COUNT(T477:AJ477)</f>
        <v>10</v>
      </c>
      <c r="DF477" s="95">
        <f t="shared" ref="DF477:DF484" si="1426">COUNT(AL477:BB477)</f>
        <v>10</v>
      </c>
      <c r="DG477" s="95">
        <f t="shared" ref="DG477:DG484" si="1427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282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3"/>
        <v>1</v>
      </c>
      <c r="CA478" s="586">
        <f t="shared" si="1394"/>
        <v>1</v>
      </c>
      <c r="CB478" s="586">
        <f t="shared" si="1395"/>
        <v>1</v>
      </c>
      <c r="CC478" s="676">
        <f t="shared" si="1396"/>
        <v>1</v>
      </c>
      <c r="CD478" s="1316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17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7">
        <f t="shared" si="1428"/>
        <v>1</v>
      </c>
      <c r="CG478" s="1317">
        <f t="shared" si="1428"/>
        <v>1</v>
      </c>
      <c r="CH478" s="1318">
        <f t="shared" si="1428"/>
        <v>1</v>
      </c>
      <c r="CI478" s="1318">
        <f t="shared" si="1428"/>
        <v>1</v>
      </c>
      <c r="CJ478" s="1317">
        <f t="shared" si="1428"/>
        <v>1</v>
      </c>
      <c r="CK478" s="1317">
        <f t="shared" si="1428"/>
        <v>1</v>
      </c>
      <c r="CL478" s="1317">
        <f t="shared" si="1428"/>
        <v>1</v>
      </c>
      <c r="CM478" s="1316">
        <f t="shared" si="1428"/>
        <v>1</v>
      </c>
      <c r="CN478" s="538" t="str">
        <f t="shared" si="1408"/>
        <v/>
      </c>
      <c r="CO478" s="539" t="str">
        <f t="shared" si="1409"/>
        <v/>
      </c>
      <c r="CP478" s="539" t="str">
        <f t="shared" si="1410"/>
        <v/>
      </c>
      <c r="CQ478" s="539">
        <f t="shared" si="1411"/>
        <v>1</v>
      </c>
      <c r="CR478" s="539">
        <f t="shared" si="1412"/>
        <v>1</v>
      </c>
      <c r="CS478" s="539">
        <f t="shared" si="1413"/>
        <v>1</v>
      </c>
      <c r="CT478" s="540">
        <f t="shared" si="1414"/>
        <v>1</v>
      </c>
      <c r="CU478" s="540">
        <f t="shared" si="1415"/>
        <v>1</v>
      </c>
      <c r="CV478" s="540">
        <f t="shared" si="1416"/>
        <v>1</v>
      </c>
      <c r="CW478" s="539">
        <f t="shared" si="1417"/>
        <v>1</v>
      </c>
      <c r="CX478" s="539">
        <f t="shared" si="1418"/>
        <v>1</v>
      </c>
      <c r="CY478" s="539">
        <f t="shared" si="1419"/>
        <v>1</v>
      </c>
      <c r="CZ478" s="539">
        <f t="shared" si="1420"/>
        <v>1</v>
      </c>
      <c r="DA478" s="539" t="str">
        <f t="shared" si="1421"/>
        <v/>
      </c>
      <c r="DB478" s="538" t="str">
        <f t="shared" si="1422"/>
        <v/>
      </c>
      <c r="DC478" s="537" t="str">
        <f t="shared" si="1423"/>
        <v/>
      </c>
      <c r="DD478" s="641">
        <f t="shared" si="1424"/>
        <v>10</v>
      </c>
      <c r="DE478" s="95">
        <f t="shared" si="1425"/>
        <v>10</v>
      </c>
      <c r="DF478" s="95">
        <f t="shared" si="1426"/>
        <v>10</v>
      </c>
      <c r="DG478" s="95">
        <f t="shared" si="1427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283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3"/>
        <v>11.25</v>
      </c>
      <c r="CA479" s="586">
        <f t="shared" si="1394"/>
        <v>11.625</v>
      </c>
      <c r="CB479" s="586">
        <f t="shared" si="1395"/>
        <v>12</v>
      </c>
      <c r="CC479" s="676">
        <f t="shared" si="1396"/>
        <v>12</v>
      </c>
      <c r="CD479" s="1316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17">
        <f t="shared" si="1428"/>
        <v>12</v>
      </c>
      <c r="CF479" s="1317">
        <f t="shared" si="1428"/>
        <v>12</v>
      </c>
      <c r="CG479" s="1317">
        <f t="shared" si="1428"/>
        <v>12</v>
      </c>
      <c r="CH479" s="1318">
        <f t="shared" si="1428"/>
        <v>12</v>
      </c>
      <c r="CI479" s="1318">
        <f t="shared" si="1428"/>
        <v>12</v>
      </c>
      <c r="CJ479" s="1317">
        <f t="shared" si="1428"/>
        <v>12</v>
      </c>
      <c r="CK479" s="1317">
        <f t="shared" si="1428"/>
        <v>12</v>
      </c>
      <c r="CL479" s="1317">
        <f t="shared" si="1428"/>
        <v>12</v>
      </c>
      <c r="CM479" s="1316">
        <f t="shared" si="1428"/>
        <v>12</v>
      </c>
      <c r="CN479" s="538" t="str">
        <f t="shared" si="1408"/>
        <v/>
      </c>
      <c r="CO479" s="539" t="str">
        <f t="shared" si="1409"/>
        <v/>
      </c>
      <c r="CP479" s="539" t="str">
        <f t="shared" si="1410"/>
        <v/>
      </c>
      <c r="CQ479" s="539">
        <f t="shared" si="1411"/>
        <v>12</v>
      </c>
      <c r="CR479" s="539">
        <f t="shared" si="1412"/>
        <v>12</v>
      </c>
      <c r="CS479" s="539">
        <f t="shared" si="1413"/>
        <v>12</v>
      </c>
      <c r="CT479" s="540">
        <f t="shared" si="1414"/>
        <v>12</v>
      </c>
      <c r="CU479" s="540">
        <f t="shared" si="1415"/>
        <v>12</v>
      </c>
      <c r="CV479" s="540">
        <f t="shared" si="1416"/>
        <v>12</v>
      </c>
      <c r="CW479" s="539">
        <f t="shared" si="1417"/>
        <v>12</v>
      </c>
      <c r="CX479" s="539">
        <f t="shared" si="1418"/>
        <v>12</v>
      </c>
      <c r="CY479" s="539">
        <f t="shared" si="1419"/>
        <v>12</v>
      </c>
      <c r="CZ479" s="539">
        <f t="shared" si="1420"/>
        <v>12</v>
      </c>
      <c r="DA479" s="539" t="str">
        <f t="shared" si="1421"/>
        <v/>
      </c>
      <c r="DB479" s="538" t="str">
        <f t="shared" si="1422"/>
        <v/>
      </c>
      <c r="DC479" s="537" t="str">
        <f t="shared" si="1423"/>
        <v/>
      </c>
      <c r="DD479" s="641">
        <f t="shared" si="1424"/>
        <v>10</v>
      </c>
      <c r="DE479" s="95">
        <f t="shared" si="1425"/>
        <v>10</v>
      </c>
      <c r="DF479" s="95">
        <f t="shared" si="1426"/>
        <v>10</v>
      </c>
      <c r="DG479" s="95">
        <f t="shared" si="1427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267</v>
      </c>
      <c r="B480" s="618">
        <f t="shared" ref="B480:K480" si="1429">IF(B478="","",B477*B478*B479)</f>
        <v>120</v>
      </c>
      <c r="C480" s="618">
        <f t="shared" si="1429"/>
        <v>120</v>
      </c>
      <c r="D480" s="618">
        <f t="shared" si="1429"/>
        <v>120</v>
      </c>
      <c r="E480" s="618">
        <f t="shared" si="1429"/>
        <v>120</v>
      </c>
      <c r="F480" s="618">
        <f t="shared" si="1429"/>
        <v>120</v>
      </c>
      <c r="G480" s="618">
        <f t="shared" si="1429"/>
        <v>120</v>
      </c>
      <c r="H480" s="618">
        <f t="shared" si="1429"/>
        <v>120</v>
      </c>
      <c r="I480" s="618">
        <f t="shared" si="1429"/>
        <v>120</v>
      </c>
      <c r="J480" s="618">
        <f t="shared" si="1429"/>
        <v>60</v>
      </c>
      <c r="K480" s="618">
        <f t="shared" si="1429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30">IF(T478="","",T477*T478*T479)</f>
        <v>100</v>
      </c>
      <c r="U480" s="618">
        <f t="shared" si="1430"/>
        <v>120</v>
      </c>
      <c r="V480" s="618">
        <f t="shared" si="1430"/>
        <v>120</v>
      </c>
      <c r="W480" s="618">
        <f t="shared" si="1430"/>
        <v>120</v>
      </c>
      <c r="X480" s="618">
        <f t="shared" si="1430"/>
        <v>120</v>
      </c>
      <c r="Y480" s="618">
        <f t="shared" si="1430"/>
        <v>120</v>
      </c>
      <c r="Z480" s="618">
        <f t="shared" si="1430"/>
        <v>120</v>
      </c>
      <c r="AA480" s="618">
        <f t="shared" si="1430"/>
        <v>110</v>
      </c>
      <c r="AB480" s="618">
        <f t="shared" si="1430"/>
        <v>100</v>
      </c>
      <c r="AC480" s="618">
        <f t="shared" si="1430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31">IF(AL478="","",AL477*AL478*AL479)</f>
        <v>120</v>
      </c>
      <c r="AM480" s="618">
        <f t="shared" si="1431"/>
        <v>120</v>
      </c>
      <c r="AN480" s="618">
        <f t="shared" si="1431"/>
        <v>120</v>
      </c>
      <c r="AO480" s="618">
        <f t="shared" si="1431"/>
        <v>120</v>
      </c>
      <c r="AP480" s="618">
        <f t="shared" si="1431"/>
        <v>120</v>
      </c>
      <c r="AQ480" s="618">
        <f t="shared" si="1431"/>
        <v>120</v>
      </c>
      <c r="AR480" s="618">
        <f t="shared" si="1431"/>
        <v>120</v>
      </c>
      <c r="AS480" s="618">
        <f t="shared" si="1431"/>
        <v>120</v>
      </c>
      <c r="AT480" s="618">
        <f t="shared" si="1431"/>
        <v>120</v>
      </c>
      <c r="AU480" s="618">
        <f t="shared" si="1431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2">IF(BD478="","",BD477*BD478*BD479)</f>
        <v>120</v>
      </c>
      <c r="BE480" s="618">
        <f t="shared" si="1432"/>
        <v>120</v>
      </c>
      <c r="BF480" s="618">
        <f t="shared" si="1432"/>
        <v>120</v>
      </c>
      <c r="BG480" s="618">
        <f t="shared" si="1432"/>
        <v>120</v>
      </c>
      <c r="BH480" s="618">
        <f t="shared" si="1432"/>
        <v>120</v>
      </c>
      <c r="BI480" s="618">
        <f t="shared" si="1432"/>
        <v>120</v>
      </c>
      <c r="BJ480" s="618">
        <f t="shared" si="1432"/>
        <v>120</v>
      </c>
      <c r="BK480" s="618">
        <f t="shared" si="1432"/>
        <v>120</v>
      </c>
      <c r="BL480" s="618">
        <f t="shared" si="1432"/>
        <v>120</v>
      </c>
      <c r="BM480" s="618">
        <f t="shared" si="1432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3"/>
        <v>112.5</v>
      </c>
      <c r="CA480" s="586">
        <f t="shared" si="1394"/>
        <v>116.25</v>
      </c>
      <c r="CB480" s="586">
        <f t="shared" si="1395"/>
        <v>120</v>
      </c>
      <c r="CC480" s="676">
        <f t="shared" si="1396"/>
        <v>120</v>
      </c>
      <c r="CD480" s="131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17">
        <f t="shared" si="1428"/>
        <v>120</v>
      </c>
      <c r="CF480" s="1317">
        <f t="shared" si="1428"/>
        <v>120</v>
      </c>
      <c r="CG480" s="1317">
        <f t="shared" si="1428"/>
        <v>120</v>
      </c>
      <c r="CH480" s="1318">
        <f t="shared" si="1428"/>
        <v>120</v>
      </c>
      <c r="CI480" s="1318">
        <f t="shared" si="1428"/>
        <v>120</v>
      </c>
      <c r="CJ480" s="1317">
        <f t="shared" si="1428"/>
        <v>120</v>
      </c>
      <c r="CK480" s="1317">
        <f t="shared" si="1428"/>
        <v>120</v>
      </c>
      <c r="CL480" s="1317">
        <f t="shared" si="1428"/>
        <v>120</v>
      </c>
      <c r="CM480" s="1316">
        <f t="shared" si="1428"/>
        <v>120</v>
      </c>
      <c r="CN480" s="538" t="str">
        <f t="shared" si="1408"/>
        <v/>
      </c>
      <c r="CO480" s="539" t="str">
        <f t="shared" si="1409"/>
        <v/>
      </c>
      <c r="CP480" s="539" t="str">
        <f t="shared" si="1410"/>
        <v/>
      </c>
      <c r="CQ480" s="539">
        <f t="shared" si="1411"/>
        <v>120</v>
      </c>
      <c r="CR480" s="539">
        <f t="shared" si="1412"/>
        <v>120</v>
      </c>
      <c r="CS480" s="539">
        <f t="shared" si="1413"/>
        <v>120</v>
      </c>
      <c r="CT480" s="540">
        <f t="shared" si="1414"/>
        <v>120</v>
      </c>
      <c r="CU480" s="540">
        <f t="shared" si="1415"/>
        <v>120</v>
      </c>
      <c r="CV480" s="540">
        <f t="shared" si="1416"/>
        <v>120</v>
      </c>
      <c r="CW480" s="539">
        <f t="shared" si="1417"/>
        <v>120</v>
      </c>
      <c r="CX480" s="539">
        <f t="shared" si="1418"/>
        <v>120</v>
      </c>
      <c r="CY480" s="539">
        <f t="shared" si="1419"/>
        <v>120</v>
      </c>
      <c r="CZ480" s="539">
        <f t="shared" si="1420"/>
        <v>120</v>
      </c>
      <c r="DA480" s="539" t="str">
        <f t="shared" si="1421"/>
        <v/>
      </c>
      <c r="DB480" s="538" t="str">
        <f t="shared" si="1422"/>
        <v/>
      </c>
      <c r="DC480" s="537" t="str">
        <f t="shared" si="1423"/>
        <v/>
      </c>
      <c r="DD480" s="641">
        <f t="shared" si="1424"/>
        <v>10</v>
      </c>
      <c r="DE480" s="95">
        <f t="shared" si="1425"/>
        <v>10</v>
      </c>
      <c r="DF480" s="95">
        <f t="shared" si="1426"/>
        <v>10</v>
      </c>
      <c r="DG480" s="95">
        <f t="shared" si="1427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284</v>
      </c>
      <c r="B481" s="747">
        <f>750*$K$1</f>
        <v>3140.1</v>
      </c>
      <c r="C481" s="747">
        <f t="shared" ref="C481:K481" si="1433">750*$K$1</f>
        <v>3140.1</v>
      </c>
      <c r="D481" s="747">
        <f t="shared" si="1433"/>
        <v>3140.1</v>
      </c>
      <c r="E481" s="747">
        <f t="shared" si="1433"/>
        <v>3140.1</v>
      </c>
      <c r="F481" s="747">
        <f t="shared" si="1433"/>
        <v>3140.1</v>
      </c>
      <c r="G481" s="747">
        <f t="shared" si="1433"/>
        <v>3140.1</v>
      </c>
      <c r="H481" s="747">
        <f t="shared" si="1433"/>
        <v>3140.1</v>
      </c>
      <c r="I481" s="747">
        <f t="shared" si="1433"/>
        <v>3140.1</v>
      </c>
      <c r="J481" s="747">
        <f t="shared" si="1433"/>
        <v>3140.1</v>
      </c>
      <c r="K481" s="747">
        <f t="shared" si="1433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4">750*$K$1</f>
        <v>3140.1</v>
      </c>
      <c r="V481" s="747">
        <f t="shared" si="1434"/>
        <v>3140.1</v>
      </c>
      <c r="W481" s="747">
        <f t="shared" si="1434"/>
        <v>3140.1</v>
      </c>
      <c r="X481" s="747">
        <f t="shared" si="1434"/>
        <v>3140.1</v>
      </c>
      <c r="Y481" s="747">
        <f t="shared" si="1434"/>
        <v>3140.1</v>
      </c>
      <c r="Z481" s="747">
        <f t="shared" si="1434"/>
        <v>3140.1</v>
      </c>
      <c r="AA481" s="747">
        <f t="shared" si="1434"/>
        <v>3140.1</v>
      </c>
      <c r="AB481" s="747">
        <f t="shared" si="1434"/>
        <v>3140.1</v>
      </c>
      <c r="AC481" s="747">
        <f t="shared" si="1434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5">750*$K$1</f>
        <v>3140.1</v>
      </c>
      <c r="AN481" s="747">
        <f t="shared" si="1435"/>
        <v>3140.1</v>
      </c>
      <c r="AO481" s="747">
        <f t="shared" si="1435"/>
        <v>3140.1</v>
      </c>
      <c r="AP481" s="747">
        <f t="shared" si="1435"/>
        <v>3140.1</v>
      </c>
      <c r="AQ481" s="747">
        <f t="shared" si="1435"/>
        <v>3140.1</v>
      </c>
      <c r="AR481" s="747">
        <f t="shared" si="1435"/>
        <v>3140.1</v>
      </c>
      <c r="AS481" s="747">
        <f t="shared" si="1435"/>
        <v>3140.1</v>
      </c>
      <c r="AT481" s="747">
        <f t="shared" si="1435"/>
        <v>3140.1</v>
      </c>
      <c r="AU481" s="747">
        <f t="shared" si="1435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6">750*$K$1</f>
        <v>3140.1</v>
      </c>
      <c r="BF481" s="747">
        <f t="shared" si="1436"/>
        <v>3140.1</v>
      </c>
      <c r="BG481" s="747">
        <f t="shared" si="1436"/>
        <v>3140.1</v>
      </c>
      <c r="BH481" s="747">
        <f t="shared" si="1436"/>
        <v>3140.1</v>
      </c>
      <c r="BI481" s="747">
        <f t="shared" si="1436"/>
        <v>3140.1</v>
      </c>
      <c r="BJ481" s="747">
        <f t="shared" si="1436"/>
        <v>3140.1</v>
      </c>
      <c r="BK481" s="747">
        <f t="shared" si="1436"/>
        <v>3140.1</v>
      </c>
      <c r="BL481" s="747">
        <f t="shared" si="1436"/>
        <v>3140.1</v>
      </c>
      <c r="BM481" s="747">
        <f t="shared" si="1436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6"/>
        <v>3140.1</v>
      </c>
      <c r="BW481" s="747">
        <f t="shared" si="1436"/>
        <v>3140.1</v>
      </c>
      <c r="BX481" s="747">
        <f t="shared" si="1436"/>
        <v>3140.1</v>
      </c>
      <c r="BY481" s="747">
        <f t="shared" si="1436"/>
        <v>3140.1</v>
      </c>
      <c r="BZ481" s="586">
        <f t="shared" si="1393"/>
        <v>3140.0999999999995</v>
      </c>
      <c r="CA481" s="586">
        <f t="shared" si="1394"/>
        <v>3140.0999999999995</v>
      </c>
      <c r="CB481" s="586">
        <f t="shared" si="1395"/>
        <v>3140.0999999999995</v>
      </c>
      <c r="CC481" s="676">
        <f t="shared" si="1396"/>
        <v>3140.0999999999995</v>
      </c>
      <c r="CD481" s="131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7">
        <f t="shared" si="1428"/>
        <v>3140.1</v>
      </c>
      <c r="CF481" s="1317">
        <f t="shared" si="1428"/>
        <v>3140.1</v>
      </c>
      <c r="CG481" s="1317">
        <f t="shared" si="1428"/>
        <v>3140.1</v>
      </c>
      <c r="CH481" s="1318">
        <f t="shared" si="1428"/>
        <v>3140.1</v>
      </c>
      <c r="CI481" s="1318">
        <f t="shared" si="1428"/>
        <v>3140.1</v>
      </c>
      <c r="CJ481" s="1317">
        <f t="shared" si="1428"/>
        <v>3140.1</v>
      </c>
      <c r="CK481" s="1317">
        <f t="shared" si="1428"/>
        <v>3140.1</v>
      </c>
      <c r="CL481" s="1317">
        <f t="shared" si="1428"/>
        <v>3140.1</v>
      </c>
      <c r="CM481" s="1316">
        <f t="shared" si="1428"/>
        <v>3140.1</v>
      </c>
      <c r="CN481" s="538" t="str">
        <f t="shared" si="1408"/>
        <v/>
      </c>
      <c r="CO481" s="539" t="str">
        <f t="shared" si="1409"/>
        <v/>
      </c>
      <c r="CP481" s="539" t="str">
        <f t="shared" si="1410"/>
        <v/>
      </c>
      <c r="CQ481" s="539">
        <f t="shared" si="1411"/>
        <v>3140.1</v>
      </c>
      <c r="CR481" s="539">
        <f t="shared" si="1412"/>
        <v>3140.1</v>
      </c>
      <c r="CS481" s="539">
        <f t="shared" si="1413"/>
        <v>3140.1</v>
      </c>
      <c r="CT481" s="540">
        <f t="shared" si="1414"/>
        <v>3140.1</v>
      </c>
      <c r="CU481" s="540">
        <f t="shared" si="1415"/>
        <v>3140.1</v>
      </c>
      <c r="CV481" s="540">
        <f t="shared" si="1416"/>
        <v>3140.1</v>
      </c>
      <c r="CW481" s="539">
        <f t="shared" si="1417"/>
        <v>3140.1</v>
      </c>
      <c r="CX481" s="539">
        <f t="shared" si="1418"/>
        <v>3140.1</v>
      </c>
      <c r="CY481" s="539">
        <f t="shared" si="1419"/>
        <v>3140.1</v>
      </c>
      <c r="CZ481" s="539">
        <f t="shared" si="1420"/>
        <v>3140.1</v>
      </c>
      <c r="DA481" s="539" t="str">
        <f t="shared" si="1421"/>
        <v/>
      </c>
      <c r="DB481" s="538" t="str">
        <f t="shared" si="1422"/>
        <v/>
      </c>
      <c r="DC481" s="537" t="str">
        <f t="shared" si="1423"/>
        <v/>
      </c>
      <c r="DD481" s="641">
        <f t="shared" si="1424"/>
        <v>10</v>
      </c>
      <c r="DE481" s="95">
        <f t="shared" si="1425"/>
        <v>10</v>
      </c>
      <c r="DF481" s="95">
        <f t="shared" si="1426"/>
        <v>10</v>
      </c>
      <c r="DG481" s="95">
        <f t="shared" si="1427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227</v>
      </c>
      <c r="B482" s="621">
        <f t="shared" ref="B482:K482" si="1437">IF(B480="","",B480*B481/B$46/365/$G$1)</f>
        <v>1.1731382316313821E-2</v>
      </c>
      <c r="C482" s="621">
        <f t="shared" si="1437"/>
        <v>1.6759117594734033E-2</v>
      </c>
      <c r="D482" s="621">
        <f t="shared" si="1437"/>
        <v>1.4664227895392278E-2</v>
      </c>
      <c r="E482" s="621">
        <f t="shared" si="1437"/>
        <v>1.1731382316313821E-2</v>
      </c>
      <c r="F482" s="621">
        <f t="shared" si="1437"/>
        <v>1.6759117594734033E-2</v>
      </c>
      <c r="G482" s="621">
        <f t="shared" si="1437"/>
        <v>1.4664227895392278E-2</v>
      </c>
      <c r="H482" s="621">
        <f t="shared" si="1437"/>
        <v>1.3034869240348693E-2</v>
      </c>
      <c r="I482" s="621">
        <f t="shared" si="1437"/>
        <v>2.3462764632627642E-2</v>
      </c>
      <c r="J482" s="621">
        <f t="shared" si="1437"/>
        <v>7.3321139476961389E-3</v>
      </c>
      <c r="K482" s="621">
        <f t="shared" si="1437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8">IF(T480="","",T480*T481/T$46/365/$G$1)</f>
        <v>1.22201899128269E-2</v>
      </c>
      <c r="U482" s="621">
        <f t="shared" si="1438"/>
        <v>1.6759117594734033E-2</v>
      </c>
      <c r="V482" s="621">
        <f t="shared" si="1438"/>
        <v>1.3034869240348693E-2</v>
      </c>
      <c r="W482" s="621">
        <f t="shared" si="1438"/>
        <v>1.1731382316313821E-2</v>
      </c>
      <c r="X482" s="621">
        <f t="shared" si="1438"/>
        <v>1.4664227895392278E-2</v>
      </c>
      <c r="Y482" s="621">
        <f t="shared" si="1438"/>
        <v>1.1731382316313821E-2</v>
      </c>
      <c r="Z482" s="621">
        <f t="shared" si="1438"/>
        <v>1.3034869240348693E-2</v>
      </c>
      <c r="AA482" s="621">
        <f t="shared" si="1438"/>
        <v>1.0753767123287671E-2</v>
      </c>
      <c r="AB482" s="621">
        <f t="shared" si="1438"/>
        <v>1.22201899128269E-2</v>
      </c>
      <c r="AC482" s="621">
        <f t="shared" si="1438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9">IF(AL480="","",AL480*AL481/AL$46/365/$G$1)</f>
        <v>1.6759117594734033E-2</v>
      </c>
      <c r="AM482" s="621">
        <f t="shared" si="1439"/>
        <v>1.4664227895392278E-2</v>
      </c>
      <c r="AN482" s="621">
        <f t="shared" si="1439"/>
        <v>2.3462764632627642E-2</v>
      </c>
      <c r="AO482" s="621">
        <f t="shared" si="1439"/>
        <v>1.1731382316313821E-2</v>
      </c>
      <c r="AP482" s="621">
        <f t="shared" si="1439"/>
        <v>1.1731382316313821E-2</v>
      </c>
      <c r="AQ482" s="621">
        <f t="shared" si="1439"/>
        <v>2.3462764632627642E-2</v>
      </c>
      <c r="AR482" s="621">
        <f t="shared" si="1439"/>
        <v>1.6759117594734033E-2</v>
      </c>
      <c r="AS482" s="621">
        <f t="shared" si="1439"/>
        <v>1.1731382316313821E-2</v>
      </c>
      <c r="AT482" s="621">
        <f t="shared" si="1439"/>
        <v>2.3462764632627642E-2</v>
      </c>
      <c r="AU482" s="621">
        <f t="shared" si="1439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40">IF(BD480="","",BD480*BD481/BD$46/365/$G$1)</f>
        <v>9.7761519302615191E-3</v>
      </c>
      <c r="BE482" s="621">
        <f t="shared" si="1440"/>
        <v>1.4664227895392278E-2</v>
      </c>
      <c r="BF482" s="621">
        <f t="shared" si="1440"/>
        <v>9.7761519302615191E-3</v>
      </c>
      <c r="BG482" s="621">
        <f t="shared" si="1440"/>
        <v>1.6759117594734033E-2</v>
      </c>
      <c r="BH482" s="621">
        <f t="shared" si="1440"/>
        <v>1.0664893014830746E-2</v>
      </c>
      <c r="BI482" s="621">
        <f t="shared" si="1440"/>
        <v>1.1731382316313821E-2</v>
      </c>
      <c r="BJ482" s="621">
        <f t="shared" si="1440"/>
        <v>1.4664227895392278E-2</v>
      </c>
      <c r="BK482" s="621">
        <f t="shared" si="1440"/>
        <v>1.6759117594734033E-2</v>
      </c>
      <c r="BL482" s="621">
        <f t="shared" si="1440"/>
        <v>1.0664893014830746E-2</v>
      </c>
      <c r="BM482" s="621">
        <f t="shared" si="1440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3"/>
        <v>1.3465485456324495E-2</v>
      </c>
      <c r="CA482" s="611">
        <f t="shared" si="1394"/>
        <v>1.2708997509339974E-2</v>
      </c>
      <c r="CB482" s="611">
        <f t="shared" si="1395"/>
        <v>1.6287767412382137E-2</v>
      </c>
      <c r="CC482" s="611">
        <f t="shared" si="1396"/>
        <v>1.3210501407061183E-2</v>
      </c>
      <c r="CD482" s="1319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320">
        <f t="shared" si="1428"/>
        <v>1.1731382316313821E-2</v>
      </c>
      <c r="CF482" s="1320">
        <f t="shared" si="1428"/>
        <v>1.1731382316313821E-2</v>
      </c>
      <c r="CG482" s="1320">
        <f t="shared" si="1428"/>
        <v>1.1731382316313821E-2</v>
      </c>
      <c r="CH482" s="1321">
        <f t="shared" si="1428"/>
        <v>1.4664227895392278E-2</v>
      </c>
      <c r="CI482" s="1321">
        <f t="shared" si="1428"/>
        <v>1.6759117594734033E-2</v>
      </c>
      <c r="CJ482" s="1320">
        <f t="shared" si="1428"/>
        <v>1.6759117594734033E-2</v>
      </c>
      <c r="CK482" s="1320">
        <f t="shared" si="1428"/>
        <v>2.3462764632627642E-2</v>
      </c>
      <c r="CL482" s="1320">
        <f t="shared" si="1428"/>
        <v>2.3462764632627642E-2</v>
      </c>
      <c r="CM482" s="1319">
        <f t="shared" si="1428"/>
        <v>2.3462764632627642E-2</v>
      </c>
      <c r="CN482" s="526" t="str">
        <f t="shared" si="1408"/>
        <v/>
      </c>
      <c r="CO482" s="527" t="str">
        <f t="shared" si="1409"/>
        <v/>
      </c>
      <c r="CP482" s="527" t="str">
        <f t="shared" si="1410"/>
        <v/>
      </c>
      <c r="CQ482" s="527">
        <f t="shared" si="1411"/>
        <v>9.7761519302615191E-3</v>
      </c>
      <c r="CR482" s="527">
        <f t="shared" si="1412"/>
        <v>9.7761519302615191E-3</v>
      </c>
      <c r="CS482" s="527">
        <f t="shared" si="1413"/>
        <v>1.0664893014830746E-2</v>
      </c>
      <c r="CT482" s="528">
        <f t="shared" si="1414"/>
        <v>1.0664893014830746E-2</v>
      </c>
      <c r="CU482" s="528">
        <f t="shared" si="1415"/>
        <v>1.1731382316313821E-2</v>
      </c>
      <c r="CV482" s="528">
        <f t="shared" si="1416"/>
        <v>1.4664227895392278E-2</v>
      </c>
      <c r="CW482" s="527">
        <f t="shared" si="1417"/>
        <v>1.4664227895392278E-2</v>
      </c>
      <c r="CX482" s="527">
        <f t="shared" si="1418"/>
        <v>1.6759117594734033E-2</v>
      </c>
      <c r="CY482" s="527">
        <f t="shared" si="1419"/>
        <v>1.6759117594734033E-2</v>
      </c>
      <c r="CZ482" s="527">
        <f t="shared" si="1420"/>
        <v>1.6759117594734033E-2</v>
      </c>
      <c r="DA482" s="527" t="str">
        <f t="shared" si="1421"/>
        <v/>
      </c>
      <c r="DB482" s="526" t="str">
        <f t="shared" si="1422"/>
        <v/>
      </c>
      <c r="DC482" s="525" t="str">
        <f t="shared" si="1423"/>
        <v/>
      </c>
      <c r="DD482" s="641">
        <f t="shared" si="1424"/>
        <v>10</v>
      </c>
      <c r="DE482" s="95">
        <f t="shared" si="1425"/>
        <v>10</v>
      </c>
      <c r="DF482" s="95">
        <f t="shared" si="1426"/>
        <v>10</v>
      </c>
      <c r="DG482" s="95">
        <f t="shared" si="1427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1" t="s">
        <v>285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3"/>
        <v>44.75</v>
      </c>
      <c r="CA483" s="586">
        <f t="shared" si="1394"/>
        <v>36.625</v>
      </c>
      <c r="CB483" s="586">
        <f t="shared" si="1395"/>
        <v>41.25</v>
      </c>
      <c r="CC483" s="676">
        <f t="shared" si="1396"/>
        <v>38.75</v>
      </c>
      <c r="CD483" s="1316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317">
        <f t="shared" si="1441"/>
        <v>40</v>
      </c>
      <c r="CF483" s="1317">
        <f t="shared" si="1441"/>
        <v>40</v>
      </c>
      <c r="CG483" s="1317">
        <f t="shared" si="1441"/>
        <v>40</v>
      </c>
      <c r="CH483" s="1318">
        <f t="shared" si="1441"/>
        <v>40</v>
      </c>
      <c r="CI483" s="1318">
        <f t="shared" si="1441"/>
        <v>40</v>
      </c>
      <c r="CJ483" s="1317">
        <f t="shared" si="1441"/>
        <v>40</v>
      </c>
      <c r="CK483" s="1317">
        <f t="shared" si="1441"/>
        <v>45</v>
      </c>
      <c r="CL483" s="1317">
        <f t="shared" si="1441"/>
        <v>45</v>
      </c>
      <c r="CM483" s="1316">
        <f t="shared" si="1441"/>
        <v>45</v>
      </c>
      <c r="CN483" s="538" t="str">
        <f t="shared" si="1408"/>
        <v/>
      </c>
      <c r="CO483" s="539" t="str">
        <f t="shared" si="1409"/>
        <v/>
      </c>
      <c r="CP483" s="539" t="str">
        <f t="shared" si="1410"/>
        <v/>
      </c>
      <c r="CQ483" s="539">
        <f t="shared" si="1411"/>
        <v>0</v>
      </c>
      <c r="CR483" s="539">
        <f t="shared" si="1412"/>
        <v>30</v>
      </c>
      <c r="CS483" s="539">
        <f t="shared" si="1413"/>
        <v>35</v>
      </c>
      <c r="CT483" s="540">
        <f t="shared" si="1414"/>
        <v>35</v>
      </c>
      <c r="CU483" s="540">
        <f t="shared" si="1415"/>
        <v>40</v>
      </c>
      <c r="CV483" s="540">
        <f t="shared" si="1416"/>
        <v>40</v>
      </c>
      <c r="CW483" s="539">
        <f t="shared" si="1417"/>
        <v>40</v>
      </c>
      <c r="CX483" s="539">
        <f t="shared" si="1418"/>
        <v>45</v>
      </c>
      <c r="CY483" s="539">
        <f t="shared" si="1419"/>
        <v>45</v>
      </c>
      <c r="CZ483" s="539">
        <f t="shared" si="1420"/>
        <v>50</v>
      </c>
      <c r="DA483" s="539" t="str">
        <f t="shared" si="1421"/>
        <v/>
      </c>
      <c r="DB483" s="538" t="str">
        <f t="shared" si="1422"/>
        <v/>
      </c>
      <c r="DC483" s="537" t="str">
        <f t="shared" si="1423"/>
        <v/>
      </c>
      <c r="DD483" s="641">
        <f t="shared" si="1424"/>
        <v>10</v>
      </c>
      <c r="DE483" s="95">
        <f t="shared" si="1425"/>
        <v>10</v>
      </c>
      <c r="DF483" s="95">
        <f t="shared" si="1426"/>
        <v>10</v>
      </c>
      <c r="DG483" s="95">
        <f t="shared" si="1427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286</v>
      </c>
      <c r="B484" s="618">
        <f t="shared" ref="B484:K484" si="1442">IF(B483="","",B478*B483*B479)</f>
        <v>600</v>
      </c>
      <c r="C484" s="618">
        <f t="shared" si="1442"/>
        <v>840</v>
      </c>
      <c r="D484" s="618">
        <f t="shared" si="1442"/>
        <v>660</v>
      </c>
      <c r="E484" s="618">
        <f t="shared" si="1442"/>
        <v>480</v>
      </c>
      <c r="F484" s="618">
        <f t="shared" si="1442"/>
        <v>720</v>
      </c>
      <c r="G484" s="618">
        <f t="shared" si="1442"/>
        <v>456</v>
      </c>
      <c r="H484" s="618">
        <f t="shared" si="1442"/>
        <v>420</v>
      </c>
      <c r="I484" s="618">
        <f t="shared" si="1442"/>
        <v>360</v>
      </c>
      <c r="J484" s="618">
        <f t="shared" si="1442"/>
        <v>270</v>
      </c>
      <c r="K484" s="618">
        <f t="shared" si="1442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3">IF(T483="","",T478*T483*T479)</f>
        <v>350</v>
      </c>
      <c r="U484" s="618">
        <f t="shared" si="1443"/>
        <v>420</v>
      </c>
      <c r="V484" s="618">
        <f t="shared" si="1443"/>
        <v>360</v>
      </c>
      <c r="W484" s="618">
        <f t="shared" si="1443"/>
        <v>540</v>
      </c>
      <c r="X484" s="618">
        <f t="shared" si="1443"/>
        <v>480</v>
      </c>
      <c r="Y484" s="618">
        <f t="shared" si="1443"/>
        <v>396</v>
      </c>
      <c r="Z484" s="618">
        <f t="shared" si="1443"/>
        <v>480</v>
      </c>
      <c r="AA484" s="618">
        <f t="shared" si="1443"/>
        <v>385</v>
      </c>
      <c r="AB484" s="618">
        <f t="shared" si="1443"/>
        <v>350</v>
      </c>
      <c r="AC484" s="618">
        <f t="shared" si="1443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4">IF(AL483="","",AL478*AL483*AL479)</f>
        <v>480</v>
      </c>
      <c r="AM484" s="618">
        <f t="shared" si="1444"/>
        <v>480</v>
      </c>
      <c r="AN484" s="618">
        <f t="shared" si="1444"/>
        <v>540</v>
      </c>
      <c r="AO484" s="618">
        <f t="shared" si="1444"/>
        <v>540</v>
      </c>
      <c r="AP484" s="618">
        <f t="shared" si="1444"/>
        <v>480</v>
      </c>
      <c r="AQ484" s="618">
        <f t="shared" si="1444"/>
        <v>480</v>
      </c>
      <c r="AR484" s="618">
        <f t="shared" si="1444"/>
        <v>480</v>
      </c>
      <c r="AS484" s="618">
        <f t="shared" si="1444"/>
        <v>480</v>
      </c>
      <c r="AT484" s="618">
        <f t="shared" si="1444"/>
        <v>480</v>
      </c>
      <c r="AU484" s="618">
        <f t="shared" si="1444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5">IF(BD483="","",BD478*BD483*BD479)</f>
        <v>540</v>
      </c>
      <c r="BE484" s="618">
        <f t="shared" si="1445"/>
        <v>600</v>
      </c>
      <c r="BF484" s="618">
        <f t="shared" si="1445"/>
        <v>0</v>
      </c>
      <c r="BG484" s="618">
        <f t="shared" si="1445"/>
        <v>540</v>
      </c>
      <c r="BH484" s="618">
        <f t="shared" si="1445"/>
        <v>360</v>
      </c>
      <c r="BI484" s="618">
        <f t="shared" si="1445"/>
        <v>480</v>
      </c>
      <c r="BJ484" s="618">
        <f t="shared" si="1445"/>
        <v>480</v>
      </c>
      <c r="BK484" s="618">
        <f t="shared" si="1445"/>
        <v>420</v>
      </c>
      <c r="BL484" s="618">
        <f t="shared" si="1445"/>
        <v>480</v>
      </c>
      <c r="BM484" s="618">
        <f t="shared" si="1445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3"/>
        <v>495.75</v>
      </c>
      <c r="CA484" s="586">
        <f t="shared" si="1394"/>
        <v>418.875</v>
      </c>
      <c r="CB484" s="586">
        <f t="shared" si="1395"/>
        <v>495</v>
      </c>
      <c r="CC484" s="676">
        <f t="shared" si="1396"/>
        <v>465</v>
      </c>
      <c r="CD484" s="1316">
        <f t="shared" si="1441"/>
        <v>480</v>
      </c>
      <c r="CE484" s="1317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317">
        <f t="shared" si="1446"/>
        <v>480</v>
      </c>
      <c r="CG484" s="1317">
        <f t="shared" si="1446"/>
        <v>480</v>
      </c>
      <c r="CH484" s="1318">
        <f t="shared" si="1446"/>
        <v>480</v>
      </c>
      <c r="CI484" s="1318">
        <f t="shared" si="1446"/>
        <v>480</v>
      </c>
      <c r="CJ484" s="1317">
        <f t="shared" si="1446"/>
        <v>480</v>
      </c>
      <c r="CK484" s="1317">
        <f t="shared" si="1446"/>
        <v>540</v>
      </c>
      <c r="CL484" s="1317">
        <f t="shared" si="1446"/>
        <v>540</v>
      </c>
      <c r="CM484" s="1316">
        <f t="shared" si="1446"/>
        <v>540</v>
      </c>
      <c r="CN484" s="538" t="str">
        <f t="shared" si="1408"/>
        <v/>
      </c>
      <c r="CO484" s="539" t="str">
        <f t="shared" si="1409"/>
        <v/>
      </c>
      <c r="CP484" s="539" t="str">
        <f t="shared" si="1410"/>
        <v/>
      </c>
      <c r="CQ484" s="539">
        <f t="shared" si="1411"/>
        <v>0</v>
      </c>
      <c r="CR484" s="539">
        <f t="shared" si="1412"/>
        <v>360</v>
      </c>
      <c r="CS484" s="539">
        <f t="shared" si="1413"/>
        <v>420</v>
      </c>
      <c r="CT484" s="540">
        <f t="shared" si="1414"/>
        <v>420</v>
      </c>
      <c r="CU484" s="540">
        <f t="shared" si="1415"/>
        <v>480</v>
      </c>
      <c r="CV484" s="540">
        <f t="shared" si="1416"/>
        <v>480</v>
      </c>
      <c r="CW484" s="539">
        <f t="shared" si="1417"/>
        <v>480</v>
      </c>
      <c r="CX484" s="539">
        <f t="shared" si="1418"/>
        <v>540</v>
      </c>
      <c r="CY484" s="539">
        <f t="shared" si="1419"/>
        <v>540</v>
      </c>
      <c r="CZ484" s="539">
        <f t="shared" si="1420"/>
        <v>600</v>
      </c>
      <c r="DA484" s="539" t="str">
        <f t="shared" si="1421"/>
        <v/>
      </c>
      <c r="DB484" s="538" t="str">
        <f t="shared" si="1422"/>
        <v/>
      </c>
      <c r="DC484" s="537" t="str">
        <f t="shared" si="1423"/>
        <v/>
      </c>
      <c r="DD484" s="641">
        <f t="shared" si="1424"/>
        <v>10</v>
      </c>
      <c r="DE484" s="95">
        <f t="shared" si="1425"/>
        <v>10</v>
      </c>
      <c r="DF484" s="95">
        <f t="shared" si="1426"/>
        <v>10</v>
      </c>
      <c r="DG484" s="95">
        <f t="shared" si="1427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66" t="s">
        <v>719</v>
      </c>
      <c r="B485" s="629" t="s">
        <v>720</v>
      </c>
      <c r="C485" s="629" t="s">
        <v>720</v>
      </c>
      <c r="D485" s="629" t="s">
        <v>720</v>
      </c>
      <c r="E485" s="629" t="s">
        <v>720</v>
      </c>
      <c r="F485" s="629" t="s">
        <v>720</v>
      </c>
      <c r="G485" s="629" t="s">
        <v>720</v>
      </c>
      <c r="H485" s="629" t="s">
        <v>720</v>
      </c>
      <c r="I485" s="629" t="s">
        <v>720</v>
      </c>
      <c r="J485" s="629" t="s">
        <v>720</v>
      </c>
      <c r="K485" s="629" t="s">
        <v>720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720</v>
      </c>
      <c r="U485" s="629" t="s">
        <v>720</v>
      </c>
      <c r="V485" s="629" t="s">
        <v>720</v>
      </c>
      <c r="W485" s="629" t="s">
        <v>720</v>
      </c>
      <c r="X485" s="629" t="s">
        <v>720</v>
      </c>
      <c r="Y485" s="629" t="s">
        <v>720</v>
      </c>
      <c r="Z485" s="629" t="s">
        <v>720</v>
      </c>
      <c r="AA485" s="629" t="s">
        <v>720</v>
      </c>
      <c r="AB485" s="629" t="s">
        <v>720</v>
      </c>
      <c r="AC485" s="629" t="s">
        <v>720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720</v>
      </c>
      <c r="AM485" s="629" t="s">
        <v>720</v>
      </c>
      <c r="AN485" s="629" t="s">
        <v>720</v>
      </c>
      <c r="AO485" s="629" t="s">
        <v>720</v>
      </c>
      <c r="AP485" s="629" t="s">
        <v>720</v>
      </c>
      <c r="AQ485" s="629" t="s">
        <v>720</v>
      </c>
      <c r="AR485" s="629" t="s">
        <v>720</v>
      </c>
      <c r="AS485" s="629" t="s">
        <v>720</v>
      </c>
      <c r="AT485" s="629" t="s">
        <v>720</v>
      </c>
      <c r="AU485" s="629" t="s">
        <v>720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720</v>
      </c>
      <c r="BE485" s="629" t="s">
        <v>720</v>
      </c>
      <c r="BF485" s="629" t="s">
        <v>720</v>
      </c>
      <c r="BG485" s="629" t="s">
        <v>720</v>
      </c>
      <c r="BH485" s="629" t="s">
        <v>720</v>
      </c>
      <c r="BI485" s="629" t="s">
        <v>720</v>
      </c>
      <c r="BJ485" s="629" t="s">
        <v>720</v>
      </c>
      <c r="BK485" s="629" t="s">
        <v>720</v>
      </c>
      <c r="BL485" s="629" t="s">
        <v>720</v>
      </c>
      <c r="BM485" s="629" t="s">
        <v>720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720</v>
      </c>
      <c r="BW485" s="629" t="s">
        <v>720</v>
      </c>
      <c r="BX485" s="629" t="s">
        <v>720</v>
      </c>
      <c r="BY485" s="629" t="s">
        <v>720</v>
      </c>
      <c r="BZ485" s="578" t="str">
        <f t="shared" si="1393"/>
        <v/>
      </c>
      <c r="CA485" s="578" t="str">
        <f t="shared" si="1394"/>
        <v/>
      </c>
      <c r="CB485" s="578" t="str">
        <f t="shared" si="1395"/>
        <v/>
      </c>
      <c r="CC485" s="675" t="str">
        <f t="shared" si="1396"/>
        <v/>
      </c>
      <c r="CD485" s="1322"/>
      <c r="CE485" s="1322"/>
      <c r="CF485" s="1322"/>
      <c r="CG485" s="1322"/>
      <c r="CH485" s="1322"/>
      <c r="CI485" s="1322"/>
      <c r="CJ485" s="1322"/>
      <c r="CK485" s="1322"/>
      <c r="CL485" s="1322"/>
      <c r="CM485" s="1322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266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0">
        <f t="shared" si="1393"/>
        <v>0.70000000000000007</v>
      </c>
      <c r="CA486" s="1580">
        <f t="shared" si="1394"/>
        <v>0.70000000000000007</v>
      </c>
      <c r="CB486" s="1580">
        <f t="shared" si="1395"/>
        <v>0.70000000000000007</v>
      </c>
      <c r="CC486" s="130">
        <f t="shared" si="1396"/>
        <v>0.70000000000000007</v>
      </c>
      <c r="CD486" s="1581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8">
        <f t="shared" si="1447"/>
        <v>0.7</v>
      </c>
      <c r="CF486" s="1578">
        <f t="shared" si="1447"/>
        <v>0.7</v>
      </c>
      <c r="CG486" s="1578">
        <f t="shared" si="1447"/>
        <v>0.7</v>
      </c>
      <c r="CH486" s="1579">
        <f t="shared" si="1447"/>
        <v>0.7</v>
      </c>
      <c r="CI486" s="1579">
        <f t="shared" si="1447"/>
        <v>0.7</v>
      </c>
      <c r="CJ486" s="1578">
        <f t="shared" si="1447"/>
        <v>0.7</v>
      </c>
      <c r="CK486" s="1578">
        <f t="shared" si="1447"/>
        <v>0.7</v>
      </c>
      <c r="CL486" s="1578">
        <f t="shared" si="1447"/>
        <v>0.7</v>
      </c>
      <c r="CM486" s="1581">
        <f t="shared" si="1447"/>
        <v>0.7</v>
      </c>
      <c r="CN486" s="538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4">COUNT(B486:R486)</f>
        <v>10</v>
      </c>
      <c r="DE486" s="95">
        <f t="shared" ref="DE486:DE493" si="1465">COUNT(T486:AJ486)</f>
        <v>10</v>
      </c>
      <c r="DF486" s="95">
        <f t="shared" ref="DF486:DF493" si="1466">COUNT(AL486:BB486)</f>
        <v>10</v>
      </c>
      <c r="DG486" s="95">
        <f t="shared" ref="DG486:DG493" si="1467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282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3"/>
        <v/>
      </c>
      <c r="CA487" s="586" t="str">
        <f t="shared" si="1394"/>
        <v/>
      </c>
      <c r="CB487" s="586" t="str">
        <f t="shared" si="1395"/>
        <v/>
      </c>
      <c r="CC487" s="676">
        <f t="shared" si="1396"/>
        <v>16.875</v>
      </c>
      <c r="CD487" s="131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7" t="str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7" t="str">
        <f t="shared" si="1468"/>
        <v/>
      </c>
      <c r="CG487" s="1317" t="str">
        <f t="shared" si="1468"/>
        <v/>
      </c>
      <c r="CH487" s="1318" t="str">
        <f t="shared" si="1468"/>
        <v/>
      </c>
      <c r="CI487" s="1318" t="str">
        <f t="shared" si="1468"/>
        <v/>
      </c>
      <c r="CJ487" s="1317" t="str">
        <f t="shared" si="1468"/>
        <v/>
      </c>
      <c r="CK487" s="1317" t="str">
        <f t="shared" si="1468"/>
        <v/>
      </c>
      <c r="CL487" s="1317" t="str">
        <f t="shared" si="1468"/>
        <v/>
      </c>
      <c r="CM487" s="1316" t="str">
        <f t="shared" si="1468"/>
        <v/>
      </c>
      <c r="CN487" s="538" t="str">
        <f t="shared" si="1448"/>
        <v/>
      </c>
      <c r="CO487" s="539" t="str">
        <f t="shared" si="1449"/>
        <v/>
      </c>
      <c r="CP487" s="539" t="str">
        <f t="shared" si="1450"/>
        <v/>
      </c>
      <c r="CQ487" s="539">
        <f t="shared" si="1451"/>
        <v>15</v>
      </c>
      <c r="CR487" s="539">
        <f t="shared" si="1452"/>
        <v>15</v>
      </c>
      <c r="CS487" s="539">
        <f t="shared" si="1453"/>
        <v>15</v>
      </c>
      <c r="CT487" s="540">
        <f t="shared" si="1454"/>
        <v>15</v>
      </c>
      <c r="CU487" s="540">
        <f t="shared" si="1455"/>
        <v>15</v>
      </c>
      <c r="CV487" s="540">
        <f t="shared" si="1456"/>
        <v>15</v>
      </c>
      <c r="CW487" s="539">
        <f t="shared" si="1457"/>
        <v>15</v>
      </c>
      <c r="CX487" s="539">
        <f t="shared" si="1458"/>
        <v>15</v>
      </c>
      <c r="CY487" s="539">
        <f t="shared" si="1459"/>
        <v>30</v>
      </c>
      <c r="CZ487" s="539">
        <f t="shared" si="1460"/>
        <v>60</v>
      </c>
      <c r="DA487" s="539" t="str">
        <f t="shared" si="1461"/>
        <v/>
      </c>
      <c r="DB487" s="538" t="str">
        <f t="shared" si="1462"/>
        <v/>
      </c>
      <c r="DC487" s="537" t="str">
        <f t="shared" si="1463"/>
        <v/>
      </c>
      <c r="DD487" s="641">
        <f t="shared" si="1464"/>
        <v>2</v>
      </c>
      <c r="DE487" s="95">
        <f t="shared" si="1465"/>
        <v>0</v>
      </c>
      <c r="DF487" s="95">
        <f t="shared" si="1466"/>
        <v>0</v>
      </c>
      <c r="DG487" s="95">
        <f t="shared" si="1467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283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3"/>
        <v/>
      </c>
      <c r="CA488" s="586" t="str">
        <f t="shared" si="1394"/>
        <v/>
      </c>
      <c r="CB488" s="586" t="str">
        <f t="shared" si="1395"/>
        <v/>
      </c>
      <c r="CC488" s="676">
        <f t="shared" si="1396"/>
        <v>12</v>
      </c>
      <c r="CD488" s="131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7" t="str">
        <f t="shared" si="1468"/>
        <v/>
      </c>
      <c r="CF488" s="1317" t="str">
        <f t="shared" si="1468"/>
        <v/>
      </c>
      <c r="CG488" s="1317" t="str">
        <f t="shared" si="1468"/>
        <v/>
      </c>
      <c r="CH488" s="1318" t="str">
        <f t="shared" si="1468"/>
        <v/>
      </c>
      <c r="CI488" s="1318" t="str">
        <f t="shared" si="1468"/>
        <v/>
      </c>
      <c r="CJ488" s="1317" t="str">
        <f t="shared" si="1468"/>
        <v/>
      </c>
      <c r="CK488" s="1317" t="str">
        <f t="shared" si="1468"/>
        <v/>
      </c>
      <c r="CL488" s="1317" t="str">
        <f t="shared" si="1468"/>
        <v/>
      </c>
      <c r="CM488" s="1316" t="str">
        <f t="shared" si="1468"/>
        <v/>
      </c>
      <c r="CN488" s="538" t="str">
        <f t="shared" si="1448"/>
        <v/>
      </c>
      <c r="CO488" s="539" t="str">
        <f t="shared" si="1449"/>
        <v/>
      </c>
      <c r="CP488" s="539" t="str">
        <f t="shared" si="1450"/>
        <v/>
      </c>
      <c r="CQ488" s="539">
        <f t="shared" si="1451"/>
        <v>12</v>
      </c>
      <c r="CR488" s="539">
        <f t="shared" si="1452"/>
        <v>12</v>
      </c>
      <c r="CS488" s="539">
        <f t="shared" si="1453"/>
        <v>12</v>
      </c>
      <c r="CT488" s="540">
        <f t="shared" si="1454"/>
        <v>12</v>
      </c>
      <c r="CU488" s="540">
        <f t="shared" si="1455"/>
        <v>12</v>
      </c>
      <c r="CV488" s="540">
        <f t="shared" si="1456"/>
        <v>12</v>
      </c>
      <c r="CW488" s="539">
        <f t="shared" si="1457"/>
        <v>12</v>
      </c>
      <c r="CX488" s="539">
        <f t="shared" si="1458"/>
        <v>12</v>
      </c>
      <c r="CY488" s="539">
        <f t="shared" si="1459"/>
        <v>12</v>
      </c>
      <c r="CZ488" s="539">
        <f t="shared" si="1460"/>
        <v>12</v>
      </c>
      <c r="DA488" s="539" t="str">
        <f t="shared" si="1461"/>
        <v/>
      </c>
      <c r="DB488" s="538" t="str">
        <f t="shared" si="1462"/>
        <v/>
      </c>
      <c r="DC488" s="537" t="str">
        <f t="shared" si="1463"/>
        <v/>
      </c>
      <c r="DD488" s="641">
        <f t="shared" si="1464"/>
        <v>2</v>
      </c>
      <c r="DE488" s="95">
        <f t="shared" si="1465"/>
        <v>0</v>
      </c>
      <c r="DF488" s="95">
        <f t="shared" si="1466"/>
        <v>0</v>
      </c>
      <c r="DG488" s="95">
        <f t="shared" si="1467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267</v>
      </c>
      <c r="B489" s="618">
        <f t="shared" ref="B489:K489" si="1469">IF(B487="","",B486*B487*B488)</f>
        <v>252</v>
      </c>
      <c r="C489" s="618" t="str">
        <f t="shared" si="1469"/>
        <v/>
      </c>
      <c r="D489" s="618" t="str">
        <f t="shared" si="1469"/>
        <v/>
      </c>
      <c r="E489" s="618" t="str">
        <f t="shared" si="1469"/>
        <v/>
      </c>
      <c r="F489" s="618" t="str">
        <f t="shared" si="1469"/>
        <v/>
      </c>
      <c r="G489" s="618" t="str">
        <f t="shared" si="1469"/>
        <v/>
      </c>
      <c r="H489" s="618" t="str">
        <f t="shared" si="1469"/>
        <v/>
      </c>
      <c r="I489" s="618">
        <f t="shared" si="1469"/>
        <v>252</v>
      </c>
      <c r="J489" s="618" t="str">
        <f t="shared" si="1469"/>
        <v/>
      </c>
      <c r="K489" s="618" t="str">
        <f t="shared" si="1469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70">IF(T487="","",T486*T487*T488)</f>
        <v/>
      </c>
      <c r="U489" s="618" t="str">
        <f t="shared" si="1470"/>
        <v/>
      </c>
      <c r="V489" s="618" t="str">
        <f t="shared" si="1470"/>
        <v/>
      </c>
      <c r="W489" s="618" t="str">
        <f t="shared" si="1470"/>
        <v/>
      </c>
      <c r="X489" s="618" t="str">
        <f t="shared" si="1470"/>
        <v/>
      </c>
      <c r="Y489" s="618" t="str">
        <f t="shared" si="1470"/>
        <v/>
      </c>
      <c r="Z489" s="618" t="str">
        <f t="shared" si="1470"/>
        <v/>
      </c>
      <c r="AA489" s="618" t="str">
        <f t="shared" si="1470"/>
        <v/>
      </c>
      <c r="AB489" s="618" t="str">
        <f t="shared" si="1470"/>
        <v/>
      </c>
      <c r="AC489" s="618" t="str">
        <f t="shared" si="1470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71">IF(AL487="","",AL486*AL487*AL488)</f>
        <v/>
      </c>
      <c r="AM489" s="618" t="str">
        <f t="shared" si="1471"/>
        <v/>
      </c>
      <c r="AN489" s="618" t="str">
        <f t="shared" si="1471"/>
        <v/>
      </c>
      <c r="AO489" s="618" t="str">
        <f t="shared" si="1471"/>
        <v/>
      </c>
      <c r="AP489" s="618" t="str">
        <f t="shared" si="1471"/>
        <v/>
      </c>
      <c r="AQ489" s="618" t="str">
        <f t="shared" si="1471"/>
        <v/>
      </c>
      <c r="AR489" s="618" t="str">
        <f t="shared" si="1471"/>
        <v/>
      </c>
      <c r="AS489" s="618" t="str">
        <f t="shared" si="1471"/>
        <v/>
      </c>
      <c r="AT489" s="618" t="str">
        <f t="shared" si="1471"/>
        <v/>
      </c>
      <c r="AU489" s="618" t="str">
        <f t="shared" si="1471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2">IF(BD487="","",BD486*BD487*BD488)</f>
        <v>504</v>
      </c>
      <c r="BE489" s="618">
        <f t="shared" si="1472"/>
        <v>126</v>
      </c>
      <c r="BF489" s="618">
        <f t="shared" si="1472"/>
        <v>126</v>
      </c>
      <c r="BG489" s="618">
        <f t="shared" si="1472"/>
        <v>126</v>
      </c>
      <c r="BH489" s="618">
        <f t="shared" si="1472"/>
        <v>126</v>
      </c>
      <c r="BI489" s="618">
        <f t="shared" si="1472"/>
        <v>126</v>
      </c>
      <c r="BJ489" s="618">
        <f t="shared" si="1472"/>
        <v>126</v>
      </c>
      <c r="BK489" s="618">
        <f t="shared" si="1472"/>
        <v>126</v>
      </c>
      <c r="BL489" s="618">
        <f t="shared" si="1472"/>
        <v>252</v>
      </c>
      <c r="BM489" s="618">
        <f t="shared" si="1472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3"/>
        <v/>
      </c>
      <c r="CA489" s="586" t="str">
        <f t="shared" si="1394"/>
        <v/>
      </c>
      <c r="CB489" s="586" t="str">
        <f t="shared" si="1395"/>
        <v/>
      </c>
      <c r="CC489" s="676">
        <f t="shared" si="1396"/>
        <v>141.75</v>
      </c>
      <c r="CD489" s="131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7" t="str">
        <f t="shared" si="1468"/>
        <v/>
      </c>
      <c r="CF489" s="1317" t="str">
        <f t="shared" si="1468"/>
        <v/>
      </c>
      <c r="CG489" s="1317" t="str">
        <f t="shared" si="1468"/>
        <v/>
      </c>
      <c r="CH489" s="1318" t="str">
        <f t="shared" si="1468"/>
        <v/>
      </c>
      <c r="CI489" s="1318" t="str">
        <f t="shared" si="1468"/>
        <v/>
      </c>
      <c r="CJ489" s="1317" t="str">
        <f t="shared" si="1468"/>
        <v/>
      </c>
      <c r="CK489" s="1317" t="str">
        <f t="shared" si="1468"/>
        <v/>
      </c>
      <c r="CL489" s="1317" t="str">
        <f t="shared" si="1468"/>
        <v/>
      </c>
      <c r="CM489" s="1316" t="str">
        <f t="shared" si="1468"/>
        <v/>
      </c>
      <c r="CN489" s="538" t="str">
        <f t="shared" si="1448"/>
        <v/>
      </c>
      <c r="CO489" s="539" t="str">
        <f t="shared" si="1449"/>
        <v/>
      </c>
      <c r="CP489" s="539" t="str">
        <f t="shared" si="1450"/>
        <v/>
      </c>
      <c r="CQ489" s="539">
        <f t="shared" si="1451"/>
        <v>126</v>
      </c>
      <c r="CR489" s="539">
        <f t="shared" si="1452"/>
        <v>126</v>
      </c>
      <c r="CS489" s="539">
        <f t="shared" si="1453"/>
        <v>126</v>
      </c>
      <c r="CT489" s="540">
        <f t="shared" si="1454"/>
        <v>126</v>
      </c>
      <c r="CU489" s="540">
        <f t="shared" si="1455"/>
        <v>126</v>
      </c>
      <c r="CV489" s="540">
        <f t="shared" si="1456"/>
        <v>126</v>
      </c>
      <c r="CW489" s="539">
        <f t="shared" si="1457"/>
        <v>126</v>
      </c>
      <c r="CX489" s="539">
        <f t="shared" si="1458"/>
        <v>126</v>
      </c>
      <c r="CY489" s="539">
        <f t="shared" si="1459"/>
        <v>252</v>
      </c>
      <c r="CZ489" s="539">
        <f t="shared" si="1460"/>
        <v>504</v>
      </c>
      <c r="DA489" s="539" t="str">
        <f t="shared" si="1461"/>
        <v/>
      </c>
      <c r="DB489" s="538" t="str">
        <f t="shared" si="1462"/>
        <v/>
      </c>
      <c r="DC489" s="537" t="str">
        <f t="shared" si="1463"/>
        <v/>
      </c>
      <c r="DD489" s="641">
        <f t="shared" si="1464"/>
        <v>2</v>
      </c>
      <c r="DE489" s="95">
        <f t="shared" si="1465"/>
        <v>0</v>
      </c>
      <c r="DF489" s="95">
        <f t="shared" si="1466"/>
        <v>0</v>
      </c>
      <c r="DG489" s="95">
        <f t="shared" si="1467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284</v>
      </c>
      <c r="B490" s="747">
        <f>2430*$K$1</f>
        <v>10173.923999999999</v>
      </c>
      <c r="C490" s="747">
        <f t="shared" ref="C490:K490" si="1473">2430*$K$1</f>
        <v>10173.923999999999</v>
      </c>
      <c r="D490" s="747">
        <f t="shared" si="1473"/>
        <v>10173.923999999999</v>
      </c>
      <c r="E490" s="747">
        <f t="shared" si="1473"/>
        <v>10173.923999999999</v>
      </c>
      <c r="F490" s="747">
        <f t="shared" si="1473"/>
        <v>10173.923999999999</v>
      </c>
      <c r="G490" s="747">
        <f t="shared" si="1473"/>
        <v>10173.923999999999</v>
      </c>
      <c r="H490" s="747">
        <f t="shared" si="1473"/>
        <v>10173.923999999999</v>
      </c>
      <c r="I490" s="747">
        <f t="shared" si="1473"/>
        <v>10173.923999999999</v>
      </c>
      <c r="J490" s="747">
        <f t="shared" si="1473"/>
        <v>10173.923999999999</v>
      </c>
      <c r="K490" s="747">
        <f t="shared" si="1473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4">2430*$K$1</f>
        <v>10173.923999999999</v>
      </c>
      <c r="V490" s="747">
        <f t="shared" si="1474"/>
        <v>10173.923999999999</v>
      </c>
      <c r="W490" s="747">
        <f t="shared" si="1474"/>
        <v>10173.923999999999</v>
      </c>
      <c r="X490" s="747">
        <f t="shared" si="1474"/>
        <v>10173.923999999999</v>
      </c>
      <c r="Y490" s="747">
        <f t="shared" si="1474"/>
        <v>10173.923999999999</v>
      </c>
      <c r="Z490" s="747">
        <f t="shared" si="1474"/>
        <v>10173.923999999999</v>
      </c>
      <c r="AA490" s="747">
        <f t="shared" si="1474"/>
        <v>10173.923999999999</v>
      </c>
      <c r="AB490" s="747">
        <f t="shared" si="1474"/>
        <v>10173.923999999999</v>
      </c>
      <c r="AC490" s="747">
        <f t="shared" si="1474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5">2430*$K$1</f>
        <v>10173.923999999999</v>
      </c>
      <c r="AN490" s="747">
        <f t="shared" si="1475"/>
        <v>10173.923999999999</v>
      </c>
      <c r="AO490" s="747">
        <f t="shared" si="1475"/>
        <v>10173.923999999999</v>
      </c>
      <c r="AP490" s="747">
        <f t="shared" si="1475"/>
        <v>10173.923999999999</v>
      </c>
      <c r="AQ490" s="747">
        <f t="shared" si="1475"/>
        <v>10173.923999999999</v>
      </c>
      <c r="AR490" s="747">
        <f t="shared" si="1475"/>
        <v>10173.923999999999</v>
      </c>
      <c r="AS490" s="747">
        <f t="shared" si="1475"/>
        <v>10173.923999999999</v>
      </c>
      <c r="AT490" s="747">
        <f t="shared" si="1475"/>
        <v>10173.923999999999</v>
      </c>
      <c r="AU490" s="747">
        <f t="shared" si="1475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6">2430*$K$1</f>
        <v>10173.923999999999</v>
      </c>
      <c r="BF490" s="747">
        <f t="shared" si="1476"/>
        <v>10173.923999999999</v>
      </c>
      <c r="BG490" s="747">
        <f t="shared" si="1476"/>
        <v>10173.923999999999</v>
      </c>
      <c r="BH490" s="747">
        <f t="shared" si="1476"/>
        <v>10173.923999999999</v>
      </c>
      <c r="BI490" s="747">
        <f t="shared" si="1476"/>
        <v>10173.923999999999</v>
      </c>
      <c r="BJ490" s="747">
        <f t="shared" si="1476"/>
        <v>10173.923999999999</v>
      </c>
      <c r="BK490" s="747">
        <f t="shared" si="1476"/>
        <v>10173.923999999999</v>
      </c>
      <c r="BL490" s="747">
        <f t="shared" si="1476"/>
        <v>10173.923999999999</v>
      </c>
      <c r="BM490" s="747">
        <f t="shared" si="1476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6"/>
        <v>10173.923999999999</v>
      </c>
      <c r="BW490" s="747">
        <f t="shared" si="1476"/>
        <v>10173.923999999999</v>
      </c>
      <c r="BX490" s="747">
        <f t="shared" si="1476"/>
        <v>10173.923999999999</v>
      </c>
      <c r="BY490" s="747">
        <f t="shared" si="1476"/>
        <v>10173.923999999999</v>
      </c>
      <c r="BZ490" s="586">
        <f t="shared" si="1393"/>
        <v>10173.923999999999</v>
      </c>
      <c r="CA490" s="586">
        <f t="shared" si="1394"/>
        <v>10173.923999999999</v>
      </c>
      <c r="CB490" s="586">
        <f t="shared" si="1395"/>
        <v>10173.923999999999</v>
      </c>
      <c r="CC490" s="676">
        <f t="shared" si="1396"/>
        <v>10173.923999999999</v>
      </c>
      <c r="CD490" s="131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7">
        <f t="shared" si="1468"/>
        <v>10173.923999999999</v>
      </c>
      <c r="CF490" s="1317">
        <f t="shared" si="1468"/>
        <v>10173.923999999999</v>
      </c>
      <c r="CG490" s="1317">
        <f t="shared" si="1468"/>
        <v>10173.923999999999</v>
      </c>
      <c r="CH490" s="1318">
        <f t="shared" si="1468"/>
        <v>10173.923999999999</v>
      </c>
      <c r="CI490" s="1318">
        <f t="shared" si="1468"/>
        <v>10173.923999999999</v>
      </c>
      <c r="CJ490" s="1317">
        <f t="shared" si="1468"/>
        <v>10173.923999999999</v>
      </c>
      <c r="CK490" s="1317">
        <f t="shared" si="1468"/>
        <v>10173.923999999999</v>
      </c>
      <c r="CL490" s="1317">
        <f t="shared" si="1468"/>
        <v>10173.923999999999</v>
      </c>
      <c r="CM490" s="1316">
        <f t="shared" si="1468"/>
        <v>10173.923999999999</v>
      </c>
      <c r="CN490" s="538" t="str">
        <f t="shared" si="1448"/>
        <v/>
      </c>
      <c r="CO490" s="539" t="str">
        <f t="shared" si="1449"/>
        <v/>
      </c>
      <c r="CP490" s="539" t="str">
        <f t="shared" si="1450"/>
        <v/>
      </c>
      <c r="CQ490" s="539">
        <f t="shared" si="1451"/>
        <v>10173.923999999999</v>
      </c>
      <c r="CR490" s="539">
        <f t="shared" si="1452"/>
        <v>10173.923999999999</v>
      </c>
      <c r="CS490" s="539">
        <f t="shared" si="1453"/>
        <v>10173.923999999999</v>
      </c>
      <c r="CT490" s="540">
        <f t="shared" si="1454"/>
        <v>10173.923999999999</v>
      </c>
      <c r="CU490" s="540">
        <f t="shared" si="1455"/>
        <v>10173.923999999999</v>
      </c>
      <c r="CV490" s="540">
        <f t="shared" si="1456"/>
        <v>10173.923999999999</v>
      </c>
      <c r="CW490" s="539">
        <f t="shared" si="1457"/>
        <v>10173.923999999999</v>
      </c>
      <c r="CX490" s="539">
        <f t="shared" si="1458"/>
        <v>10173.923999999999</v>
      </c>
      <c r="CY490" s="539">
        <f t="shared" si="1459"/>
        <v>10173.923999999999</v>
      </c>
      <c r="CZ490" s="539">
        <f t="shared" si="1460"/>
        <v>10173.923999999999</v>
      </c>
      <c r="DA490" s="539" t="str">
        <f t="shared" si="1461"/>
        <v/>
      </c>
      <c r="DB490" s="538" t="str">
        <f t="shared" si="1462"/>
        <v/>
      </c>
      <c r="DC490" s="537" t="str">
        <f t="shared" si="1463"/>
        <v/>
      </c>
      <c r="DD490" s="641">
        <f t="shared" si="1464"/>
        <v>10</v>
      </c>
      <c r="DE490" s="95">
        <f t="shared" si="1465"/>
        <v>10</v>
      </c>
      <c r="DF490" s="95">
        <f t="shared" si="1466"/>
        <v>10</v>
      </c>
      <c r="DG490" s="95">
        <f t="shared" si="1467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227</v>
      </c>
      <c r="B491" s="621">
        <f t="shared" ref="B491:K491" si="1477">IF(B489="","",B489*B490/B$46/365/$G$1)</f>
        <v>7.982032528019925E-2</v>
      </c>
      <c r="C491" s="621" t="str">
        <f t="shared" si="1477"/>
        <v/>
      </c>
      <c r="D491" s="621" t="str">
        <f t="shared" si="1477"/>
        <v/>
      </c>
      <c r="E491" s="621" t="str">
        <f t="shared" si="1477"/>
        <v/>
      </c>
      <c r="F491" s="621" t="str">
        <f t="shared" si="1477"/>
        <v/>
      </c>
      <c r="G491" s="621" t="str">
        <f t="shared" si="1477"/>
        <v/>
      </c>
      <c r="H491" s="621" t="str">
        <f t="shared" si="1477"/>
        <v/>
      </c>
      <c r="I491" s="621">
        <f t="shared" si="1477"/>
        <v>0.1596406505603985</v>
      </c>
      <c r="J491" s="621" t="str">
        <f t="shared" si="1477"/>
        <v/>
      </c>
      <c r="K491" s="621" t="str">
        <f t="shared" si="1477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8">IF(T489="","",T489*T490/T$46/365/$G$1)</f>
        <v/>
      </c>
      <c r="U491" s="621" t="str">
        <f t="shared" si="1478"/>
        <v/>
      </c>
      <c r="V491" s="621" t="str">
        <f t="shared" si="1478"/>
        <v/>
      </c>
      <c r="W491" s="621" t="str">
        <f t="shared" si="1478"/>
        <v/>
      </c>
      <c r="X491" s="621" t="str">
        <f t="shared" si="1478"/>
        <v/>
      </c>
      <c r="Y491" s="621" t="str">
        <f t="shared" si="1478"/>
        <v/>
      </c>
      <c r="Z491" s="621" t="str">
        <f t="shared" si="1478"/>
        <v/>
      </c>
      <c r="AA491" s="621" t="str">
        <f t="shared" si="1478"/>
        <v/>
      </c>
      <c r="AB491" s="621" t="str">
        <f t="shared" si="1478"/>
        <v/>
      </c>
      <c r="AC491" s="621" t="str">
        <f t="shared" si="1478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9">IF(AL489="","",AL489*AL490/AL$46/365/$G$1)</f>
        <v/>
      </c>
      <c r="AM491" s="621" t="str">
        <f t="shared" si="1479"/>
        <v/>
      </c>
      <c r="AN491" s="621" t="str">
        <f t="shared" si="1479"/>
        <v/>
      </c>
      <c r="AO491" s="621" t="str">
        <f t="shared" si="1479"/>
        <v/>
      </c>
      <c r="AP491" s="621" t="str">
        <f t="shared" si="1479"/>
        <v/>
      </c>
      <c r="AQ491" s="621" t="str">
        <f t="shared" si="1479"/>
        <v/>
      </c>
      <c r="AR491" s="621" t="str">
        <f t="shared" si="1479"/>
        <v/>
      </c>
      <c r="AS491" s="621" t="str">
        <f t="shared" si="1479"/>
        <v/>
      </c>
      <c r="AT491" s="621" t="str">
        <f t="shared" si="1479"/>
        <v/>
      </c>
      <c r="AU491" s="621" t="str">
        <f t="shared" si="1479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80">IF(BD489="","",BD489*BD490/BD$46/365/$G$1)</f>
        <v>0.13303387546699874</v>
      </c>
      <c r="BE491" s="621">
        <f t="shared" si="1480"/>
        <v>4.9887703300124528E-2</v>
      </c>
      <c r="BF491" s="621">
        <f t="shared" si="1480"/>
        <v>3.3258468866749685E-2</v>
      </c>
      <c r="BG491" s="621">
        <f t="shared" si="1480"/>
        <v>5.701451805728517E-2</v>
      </c>
      <c r="BH491" s="621">
        <f t="shared" si="1480"/>
        <v>3.62819660364542E-2</v>
      </c>
      <c r="BI491" s="621">
        <f t="shared" si="1480"/>
        <v>3.9910162640099625E-2</v>
      </c>
      <c r="BJ491" s="621">
        <f t="shared" si="1480"/>
        <v>4.9887703300124528E-2</v>
      </c>
      <c r="BK491" s="621">
        <f t="shared" si="1480"/>
        <v>5.701451805728517E-2</v>
      </c>
      <c r="BL491" s="621">
        <f t="shared" si="1480"/>
        <v>7.2563932072908399E-2</v>
      </c>
      <c r="BM491" s="621">
        <f t="shared" si="1480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3"/>
        <v/>
      </c>
      <c r="CA491" s="611" t="str">
        <f t="shared" si="1394"/>
        <v/>
      </c>
      <c r="CB491" s="611" t="str">
        <f t="shared" si="1395"/>
        <v/>
      </c>
      <c r="CC491" s="611">
        <f t="shared" si="1396"/>
        <v>5.2446877690195862E-2</v>
      </c>
      <c r="CD491" s="1319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468"/>
        <v/>
      </c>
      <c r="CF491" s="1320" t="str">
        <f t="shared" si="1468"/>
        <v/>
      </c>
      <c r="CG491" s="1320" t="str">
        <f t="shared" si="1468"/>
        <v/>
      </c>
      <c r="CH491" s="1321" t="str">
        <f t="shared" si="1468"/>
        <v/>
      </c>
      <c r="CI491" s="1321" t="str">
        <f t="shared" si="1468"/>
        <v/>
      </c>
      <c r="CJ491" s="1320" t="str">
        <f t="shared" si="1468"/>
        <v/>
      </c>
      <c r="CK491" s="1320" t="str">
        <f t="shared" si="1468"/>
        <v/>
      </c>
      <c r="CL491" s="1320" t="str">
        <f t="shared" si="1468"/>
        <v/>
      </c>
      <c r="CM491" s="1319" t="str">
        <f t="shared" si="1468"/>
        <v/>
      </c>
      <c r="CN491" s="526" t="str">
        <f t="shared" si="1448"/>
        <v/>
      </c>
      <c r="CO491" s="527" t="str">
        <f t="shared" si="1449"/>
        <v/>
      </c>
      <c r="CP491" s="527" t="str">
        <f t="shared" si="1450"/>
        <v/>
      </c>
      <c r="CQ491" s="527">
        <f t="shared" si="1451"/>
        <v>3.3258468866749685E-2</v>
      </c>
      <c r="CR491" s="527">
        <f t="shared" si="1452"/>
        <v>3.62819660364542E-2</v>
      </c>
      <c r="CS491" s="527">
        <f t="shared" si="1453"/>
        <v>3.9910162640099625E-2</v>
      </c>
      <c r="CT491" s="528">
        <f t="shared" si="1454"/>
        <v>4.9887703300124528E-2</v>
      </c>
      <c r="CU491" s="528">
        <f t="shared" si="1455"/>
        <v>4.9887703300124528E-2</v>
      </c>
      <c r="CV491" s="528">
        <f t="shared" si="1456"/>
        <v>5.701451805728517E-2</v>
      </c>
      <c r="CW491" s="527">
        <f t="shared" si="1457"/>
        <v>5.701451805728517E-2</v>
      </c>
      <c r="CX491" s="527">
        <f t="shared" si="1458"/>
        <v>5.701451805728517E-2</v>
      </c>
      <c r="CY491" s="527">
        <f t="shared" si="1459"/>
        <v>7.2563932072908399E-2</v>
      </c>
      <c r="CZ491" s="527">
        <f t="shared" si="1460"/>
        <v>0.13303387546699874</v>
      </c>
      <c r="DA491" s="527" t="str">
        <f t="shared" si="1461"/>
        <v/>
      </c>
      <c r="DB491" s="526" t="str">
        <f t="shared" si="1462"/>
        <v/>
      </c>
      <c r="DC491" s="525" t="str">
        <f t="shared" si="1463"/>
        <v/>
      </c>
      <c r="DD491" s="641">
        <f t="shared" si="1464"/>
        <v>2</v>
      </c>
      <c r="DE491" s="95">
        <f t="shared" si="1465"/>
        <v>0</v>
      </c>
      <c r="DF491" s="95">
        <f t="shared" si="1466"/>
        <v>0</v>
      </c>
      <c r="DG491" s="95">
        <f t="shared" si="1467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0" t="s">
        <v>285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3"/>
        <v/>
      </c>
      <c r="CA492" s="586" t="str">
        <f t="shared" si="1394"/>
        <v/>
      </c>
      <c r="CB492" s="586" t="str">
        <f t="shared" si="1395"/>
        <v/>
      </c>
      <c r="CC492" s="676">
        <f t="shared" si="1396"/>
        <v>8.1875</v>
      </c>
      <c r="CD492" s="1316" t="str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7" t="str">
        <f t="shared" si="1481"/>
        <v/>
      </c>
      <c r="CF492" s="1317" t="str">
        <f t="shared" si="1481"/>
        <v/>
      </c>
      <c r="CG492" s="1317" t="str">
        <f t="shared" si="1481"/>
        <v/>
      </c>
      <c r="CH492" s="1318" t="str">
        <f t="shared" si="1481"/>
        <v/>
      </c>
      <c r="CI492" s="1318" t="str">
        <f t="shared" si="1481"/>
        <v/>
      </c>
      <c r="CJ492" s="1317" t="str">
        <f t="shared" si="1481"/>
        <v/>
      </c>
      <c r="CK492" s="1317" t="str">
        <f t="shared" si="1481"/>
        <v/>
      </c>
      <c r="CL492" s="1317" t="str">
        <f t="shared" si="1481"/>
        <v/>
      </c>
      <c r="CM492" s="1316" t="str">
        <f t="shared" si="1481"/>
        <v/>
      </c>
      <c r="CN492" s="538" t="str">
        <f t="shared" si="1448"/>
        <v/>
      </c>
      <c r="CO492" s="539" t="str">
        <f t="shared" si="1449"/>
        <v/>
      </c>
      <c r="CP492" s="539" t="str">
        <f t="shared" si="1450"/>
        <v/>
      </c>
      <c r="CQ492" s="539">
        <f t="shared" si="1451"/>
        <v>8</v>
      </c>
      <c r="CR492" s="539">
        <f t="shared" si="1452"/>
        <v>8</v>
      </c>
      <c r="CS492" s="539">
        <f t="shared" si="1453"/>
        <v>8</v>
      </c>
      <c r="CT492" s="540">
        <f t="shared" si="1454"/>
        <v>8</v>
      </c>
      <c r="CU492" s="540">
        <f t="shared" si="1455"/>
        <v>8</v>
      </c>
      <c r="CV492" s="540">
        <f t="shared" si="1456"/>
        <v>8</v>
      </c>
      <c r="CW492" s="539">
        <f t="shared" si="1457"/>
        <v>8.5</v>
      </c>
      <c r="CX492" s="539">
        <f t="shared" si="1458"/>
        <v>8.5</v>
      </c>
      <c r="CY492" s="539">
        <f t="shared" si="1459"/>
        <v>8.5</v>
      </c>
      <c r="CZ492" s="539">
        <f t="shared" si="1460"/>
        <v>9</v>
      </c>
      <c r="DA492" s="539" t="str">
        <f t="shared" si="1461"/>
        <v/>
      </c>
      <c r="DB492" s="538" t="str">
        <f t="shared" si="1462"/>
        <v/>
      </c>
      <c r="DC492" s="537" t="str">
        <f t="shared" si="1463"/>
        <v/>
      </c>
      <c r="DD492" s="641">
        <f t="shared" si="1464"/>
        <v>2</v>
      </c>
      <c r="DE492" s="95">
        <f t="shared" si="1465"/>
        <v>0</v>
      </c>
      <c r="DF492" s="95">
        <f t="shared" si="1466"/>
        <v>0</v>
      </c>
      <c r="DG492" s="95">
        <f t="shared" si="1467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286</v>
      </c>
      <c r="B493" s="618">
        <f t="shared" ref="B493:K493" si="1482">IF(B492="","",B487*B492*B488)</f>
        <v>3060</v>
      </c>
      <c r="C493" s="618" t="str">
        <f t="shared" si="1482"/>
        <v/>
      </c>
      <c r="D493" s="618" t="str">
        <f t="shared" si="1482"/>
        <v/>
      </c>
      <c r="E493" s="618" t="str">
        <f t="shared" si="1482"/>
        <v/>
      </c>
      <c r="F493" s="618" t="str">
        <f t="shared" si="1482"/>
        <v/>
      </c>
      <c r="G493" s="618" t="str">
        <f t="shared" si="1482"/>
        <v/>
      </c>
      <c r="H493" s="618" t="str">
        <f t="shared" si="1482"/>
        <v/>
      </c>
      <c r="I493" s="618">
        <f t="shared" si="1482"/>
        <v>2700</v>
      </c>
      <c r="J493" s="618" t="str">
        <f t="shared" si="1482"/>
        <v/>
      </c>
      <c r="K493" s="618" t="str">
        <f t="shared" si="1482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3">IF(T492="","",T489*T492)</f>
        <v/>
      </c>
      <c r="U493" s="618" t="str">
        <f t="shared" si="1483"/>
        <v/>
      </c>
      <c r="V493" s="618" t="str">
        <f t="shared" si="1483"/>
        <v/>
      </c>
      <c r="W493" s="618" t="str">
        <f t="shared" si="1483"/>
        <v/>
      </c>
      <c r="X493" s="618" t="str">
        <f t="shared" si="1483"/>
        <v/>
      </c>
      <c r="Y493" s="618" t="str">
        <f t="shared" si="1483"/>
        <v/>
      </c>
      <c r="Z493" s="618" t="str">
        <f t="shared" si="1483"/>
        <v/>
      </c>
      <c r="AA493" s="618" t="str">
        <f t="shared" si="1483"/>
        <v/>
      </c>
      <c r="AB493" s="618" t="str">
        <f t="shared" si="1483"/>
        <v/>
      </c>
      <c r="AC493" s="618" t="str">
        <f t="shared" si="1483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4">IF(AL492="","",AL489*AL492)</f>
        <v/>
      </c>
      <c r="AM493" s="618" t="str">
        <f t="shared" si="1484"/>
        <v/>
      </c>
      <c r="AN493" s="618" t="str">
        <f t="shared" si="1484"/>
        <v/>
      </c>
      <c r="AO493" s="618" t="str">
        <f t="shared" si="1484"/>
        <v/>
      </c>
      <c r="AP493" s="618" t="str">
        <f t="shared" si="1484"/>
        <v/>
      </c>
      <c r="AQ493" s="618" t="str">
        <f t="shared" si="1484"/>
        <v/>
      </c>
      <c r="AR493" s="618" t="str">
        <f t="shared" si="1484"/>
        <v/>
      </c>
      <c r="AS493" s="618" t="str">
        <f t="shared" si="1484"/>
        <v/>
      </c>
      <c r="AT493" s="618" t="str">
        <f t="shared" si="1484"/>
        <v/>
      </c>
      <c r="AU493" s="618" t="str">
        <f t="shared" si="1484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5">IF(BD492="","",BD489*BD492)</f>
        <v>4536</v>
      </c>
      <c r="BE493" s="618">
        <f t="shared" si="1485"/>
        <v>1071</v>
      </c>
      <c r="BF493" s="618">
        <f t="shared" si="1485"/>
        <v>1071</v>
      </c>
      <c r="BG493" s="618">
        <f t="shared" si="1485"/>
        <v>1008</v>
      </c>
      <c r="BH493" s="618">
        <f t="shared" si="1485"/>
        <v>1008</v>
      </c>
      <c r="BI493" s="618">
        <f t="shared" si="1485"/>
        <v>1008</v>
      </c>
      <c r="BJ493" s="618">
        <f t="shared" si="1485"/>
        <v>1008</v>
      </c>
      <c r="BK493" s="618">
        <f t="shared" si="1485"/>
        <v>1008</v>
      </c>
      <c r="BL493" s="618">
        <f t="shared" si="1485"/>
        <v>2016</v>
      </c>
      <c r="BM493" s="618">
        <f t="shared" si="1485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6">IF(BV492="","",BV487*BV488*BV492)</f>
        <v/>
      </c>
      <c r="BW493" s="618" t="str">
        <f t="shared" si="1486"/>
        <v/>
      </c>
      <c r="BX493" s="618" t="str">
        <f t="shared" si="1486"/>
        <v/>
      </c>
      <c r="BY493" s="618">
        <f>IF(BY492="","",BY487*BY488*BY492)</f>
        <v>1440</v>
      </c>
      <c r="BZ493" s="586" t="str">
        <f t="shared" si="1393"/>
        <v/>
      </c>
      <c r="CA493" s="586" t="str">
        <f t="shared" si="1394"/>
        <v/>
      </c>
      <c r="CB493" s="586" t="str">
        <f t="shared" si="1395"/>
        <v/>
      </c>
      <c r="CC493" s="676">
        <f t="shared" si="1396"/>
        <v>1157.625</v>
      </c>
      <c r="CD493" s="1316" t="str">
        <f t="shared" si="1481"/>
        <v/>
      </c>
      <c r="CE493" s="1317" t="str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7" t="str">
        <f t="shared" si="1487"/>
        <v/>
      </c>
      <c r="CG493" s="1317" t="str">
        <f t="shared" si="1487"/>
        <v/>
      </c>
      <c r="CH493" s="1318" t="str">
        <f t="shared" si="1487"/>
        <v/>
      </c>
      <c r="CI493" s="1318" t="str">
        <f t="shared" si="1487"/>
        <v/>
      </c>
      <c r="CJ493" s="1317" t="str">
        <f t="shared" si="1487"/>
        <v/>
      </c>
      <c r="CK493" s="1317" t="str">
        <f t="shared" si="1487"/>
        <v/>
      </c>
      <c r="CL493" s="1317" t="str">
        <f t="shared" si="1487"/>
        <v/>
      </c>
      <c r="CM493" s="1316" t="str">
        <f t="shared" si="1487"/>
        <v/>
      </c>
      <c r="CN493" s="538" t="str">
        <f t="shared" si="1448"/>
        <v/>
      </c>
      <c r="CO493" s="539" t="str">
        <f t="shared" si="1449"/>
        <v/>
      </c>
      <c r="CP493" s="539" t="str">
        <f t="shared" si="1450"/>
        <v/>
      </c>
      <c r="CQ493" s="539">
        <f t="shared" si="1451"/>
        <v>1008</v>
      </c>
      <c r="CR493" s="539">
        <f t="shared" si="1452"/>
        <v>1008</v>
      </c>
      <c r="CS493" s="539">
        <f t="shared" si="1453"/>
        <v>1008</v>
      </c>
      <c r="CT493" s="540">
        <f t="shared" si="1454"/>
        <v>1008</v>
      </c>
      <c r="CU493" s="540">
        <f t="shared" si="1455"/>
        <v>1008</v>
      </c>
      <c r="CV493" s="540">
        <f t="shared" si="1456"/>
        <v>1071</v>
      </c>
      <c r="CW493" s="539">
        <f t="shared" si="1457"/>
        <v>1071</v>
      </c>
      <c r="CX493" s="539">
        <f t="shared" si="1458"/>
        <v>1071</v>
      </c>
      <c r="CY493" s="539">
        <f t="shared" si="1459"/>
        <v>2016</v>
      </c>
      <c r="CZ493" s="539">
        <f t="shared" si="1460"/>
        <v>4536</v>
      </c>
      <c r="DA493" s="539" t="str">
        <f t="shared" si="1461"/>
        <v/>
      </c>
      <c r="DB493" s="538" t="str">
        <f t="shared" si="1462"/>
        <v/>
      </c>
      <c r="DC493" s="537" t="str">
        <f t="shared" si="1463"/>
        <v/>
      </c>
      <c r="DD493" s="641">
        <f t="shared" si="1464"/>
        <v>2</v>
      </c>
      <c r="DE493" s="95">
        <f t="shared" si="1465"/>
        <v>0</v>
      </c>
      <c r="DF493" s="95">
        <f t="shared" si="1466"/>
        <v>0</v>
      </c>
      <c r="DG493" s="95">
        <f t="shared" si="1467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66" t="s">
        <v>942</v>
      </c>
      <c r="B494" s="629" t="s">
        <v>720</v>
      </c>
      <c r="C494" s="629" t="s">
        <v>720</v>
      </c>
      <c r="D494" s="629" t="s">
        <v>720</v>
      </c>
      <c r="E494" s="629" t="s">
        <v>720</v>
      </c>
      <c r="F494" s="629" t="s">
        <v>720</v>
      </c>
      <c r="G494" s="629" t="s">
        <v>720</v>
      </c>
      <c r="H494" s="629" t="s">
        <v>720</v>
      </c>
      <c r="I494" s="629" t="s">
        <v>720</v>
      </c>
      <c r="J494" s="629" t="s">
        <v>720</v>
      </c>
      <c r="K494" s="629" t="s">
        <v>720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720</v>
      </c>
      <c r="U494" s="629" t="s">
        <v>720</v>
      </c>
      <c r="V494" s="629" t="s">
        <v>720</v>
      </c>
      <c r="W494" s="629" t="s">
        <v>720</v>
      </c>
      <c r="X494" s="629" t="s">
        <v>720</v>
      </c>
      <c r="Y494" s="629" t="s">
        <v>720</v>
      </c>
      <c r="Z494" s="629" t="s">
        <v>720</v>
      </c>
      <c r="AA494" s="629" t="s">
        <v>720</v>
      </c>
      <c r="AB494" s="629" t="s">
        <v>720</v>
      </c>
      <c r="AC494" s="629" t="s">
        <v>720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720</v>
      </c>
      <c r="AM494" s="629" t="s">
        <v>720</v>
      </c>
      <c r="AN494" s="629" t="s">
        <v>720</v>
      </c>
      <c r="AO494" s="629" t="s">
        <v>720</v>
      </c>
      <c r="AP494" s="629" t="s">
        <v>720</v>
      </c>
      <c r="AQ494" s="629" t="s">
        <v>720</v>
      </c>
      <c r="AR494" s="629" t="s">
        <v>720</v>
      </c>
      <c r="AS494" s="629" t="s">
        <v>720</v>
      </c>
      <c r="AT494" s="629" t="s">
        <v>720</v>
      </c>
      <c r="AU494" s="629" t="s">
        <v>720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720</v>
      </c>
      <c r="BE494" s="629" t="s">
        <v>720</v>
      </c>
      <c r="BF494" s="629" t="s">
        <v>720</v>
      </c>
      <c r="BG494" s="629" t="s">
        <v>720</v>
      </c>
      <c r="BH494" s="629" t="s">
        <v>720</v>
      </c>
      <c r="BI494" s="629" t="s">
        <v>720</v>
      </c>
      <c r="BJ494" s="629" t="s">
        <v>720</v>
      </c>
      <c r="BK494" s="629" t="s">
        <v>720</v>
      </c>
      <c r="BL494" s="629" t="s">
        <v>720</v>
      </c>
      <c r="BM494" s="629" t="s">
        <v>720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720</v>
      </c>
      <c r="BW494" s="629" t="s">
        <v>720</v>
      </c>
      <c r="BX494" s="629" t="s">
        <v>720</v>
      </c>
      <c r="BY494" s="629" t="s">
        <v>720</v>
      </c>
      <c r="BZ494" s="578" t="str">
        <f t="shared" si="1393"/>
        <v/>
      </c>
      <c r="CA494" s="578" t="str">
        <f t="shared" si="1394"/>
        <v/>
      </c>
      <c r="CB494" s="578" t="str">
        <f t="shared" si="1395"/>
        <v/>
      </c>
      <c r="CC494" s="675" t="str">
        <f t="shared" si="1396"/>
        <v/>
      </c>
      <c r="CD494" s="1322"/>
      <c r="CE494" s="1322"/>
      <c r="CF494" s="1322"/>
      <c r="CG494" s="1322"/>
      <c r="CH494" s="1322"/>
      <c r="CI494" s="1322"/>
      <c r="CJ494" s="1322"/>
      <c r="CK494" s="1322"/>
      <c r="CL494" s="1322"/>
      <c r="CM494" s="1322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3"/>
        <v>0.70000000000000007</v>
      </c>
      <c r="CA495" s="586">
        <f t="shared" si="1394"/>
        <v>0.70000000000000007</v>
      </c>
      <c r="CB495" s="586">
        <f t="shared" si="1395"/>
        <v>0.70000000000000007</v>
      </c>
      <c r="CC495" s="676">
        <f t="shared" si="1396"/>
        <v>0.70000000000000007</v>
      </c>
      <c r="CD495" s="1316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7">
        <f t="shared" si="1488"/>
        <v>0.7</v>
      </c>
      <c r="CF495" s="1317">
        <f t="shared" si="1488"/>
        <v>0.7</v>
      </c>
      <c r="CG495" s="1317">
        <f t="shared" si="1488"/>
        <v>0.7</v>
      </c>
      <c r="CH495" s="1318">
        <f t="shared" si="1488"/>
        <v>0.7</v>
      </c>
      <c r="CI495" s="1318">
        <f t="shared" si="1488"/>
        <v>0.7</v>
      </c>
      <c r="CJ495" s="1317">
        <f t="shared" si="1488"/>
        <v>0.7</v>
      </c>
      <c r="CK495" s="1317">
        <f t="shared" si="1488"/>
        <v>0.7</v>
      </c>
      <c r="CL495" s="1317">
        <f t="shared" si="1488"/>
        <v>0.7</v>
      </c>
      <c r="CM495" s="1316">
        <f t="shared" si="1488"/>
        <v>0.7</v>
      </c>
      <c r="CN495" s="538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5">COUNT(B495:R495)</f>
        <v>10</v>
      </c>
      <c r="DE495" s="95">
        <f t="shared" ref="DE495:DE526" si="1506">COUNT(T495:AJ495)</f>
        <v>10</v>
      </c>
      <c r="DF495" s="95">
        <f t="shared" ref="DF495:DF526" si="1507">COUNT(AL495:BB495)</f>
        <v>10</v>
      </c>
      <c r="DG495" s="95">
        <f t="shared" ref="DG495:DG526" si="1508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3"/>
        <v/>
      </c>
      <c r="CA496" s="586" t="str">
        <f t="shared" si="1394"/>
        <v/>
      </c>
      <c r="CB496" s="586" t="str">
        <f t="shared" si="1395"/>
        <v/>
      </c>
      <c r="CC496" s="676">
        <f t="shared" si="1396"/>
        <v>15</v>
      </c>
      <c r="CD496" s="1316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7" t="str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7" t="str">
        <f t="shared" si="1510"/>
        <v/>
      </c>
      <c r="CG496" s="1317" t="str">
        <f t="shared" si="1510"/>
        <v/>
      </c>
      <c r="CH496" s="1318" t="str">
        <f t="shared" si="1510"/>
        <v/>
      </c>
      <c r="CI496" s="1318" t="str">
        <f t="shared" si="1510"/>
        <v/>
      </c>
      <c r="CJ496" s="1317" t="str">
        <f t="shared" si="1510"/>
        <v/>
      </c>
      <c r="CK496" s="1317" t="str">
        <f t="shared" si="1510"/>
        <v/>
      </c>
      <c r="CL496" s="1317" t="str">
        <f t="shared" si="1510"/>
        <v/>
      </c>
      <c r="CM496" s="1316" t="str">
        <f t="shared" si="1510"/>
        <v/>
      </c>
      <c r="CN496" s="538" t="str">
        <f t="shared" si="1489"/>
        <v/>
      </c>
      <c r="CO496" s="539" t="str">
        <f t="shared" si="1490"/>
        <v/>
      </c>
      <c r="CP496" s="539" t="str">
        <f t="shared" si="1491"/>
        <v/>
      </c>
      <c r="CQ496" s="539">
        <f t="shared" si="1492"/>
        <v>10</v>
      </c>
      <c r="CR496" s="539">
        <f t="shared" si="1493"/>
        <v>15</v>
      </c>
      <c r="CS496" s="539">
        <f t="shared" si="1494"/>
        <v>15</v>
      </c>
      <c r="CT496" s="540">
        <f t="shared" si="1495"/>
        <v>15</v>
      </c>
      <c r="CU496" s="540">
        <f t="shared" si="1496"/>
        <v>15</v>
      </c>
      <c r="CV496" s="540">
        <f t="shared" si="1497"/>
        <v>15</v>
      </c>
      <c r="CW496" s="539">
        <f t="shared" si="1498"/>
        <v>15</v>
      </c>
      <c r="CX496" s="539">
        <f t="shared" si="1499"/>
        <v>15</v>
      </c>
      <c r="CY496" s="539">
        <f t="shared" si="1500"/>
        <v>15</v>
      </c>
      <c r="CZ496" s="539">
        <f t="shared" si="1501"/>
        <v>30</v>
      </c>
      <c r="DA496" s="539" t="str">
        <f t="shared" si="1502"/>
        <v/>
      </c>
      <c r="DB496" s="538" t="str">
        <f t="shared" si="1503"/>
        <v/>
      </c>
      <c r="DC496" s="537" t="str">
        <f t="shared" si="1504"/>
        <v/>
      </c>
      <c r="DD496" s="641">
        <f t="shared" si="1505"/>
        <v>0</v>
      </c>
      <c r="DE496" s="95">
        <f t="shared" si="1506"/>
        <v>0</v>
      </c>
      <c r="DF496" s="95">
        <f t="shared" si="1507"/>
        <v>0</v>
      </c>
      <c r="DG496" s="95">
        <f t="shared" si="1508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3"/>
        <v/>
      </c>
      <c r="CA497" s="586" t="str">
        <f t="shared" si="1394"/>
        <v/>
      </c>
      <c r="CB497" s="586" t="str">
        <f t="shared" si="1395"/>
        <v/>
      </c>
      <c r="CC497" s="676">
        <f t="shared" si="1396"/>
        <v>12</v>
      </c>
      <c r="CD497" s="1316" t="str">
        <f t="shared" si="1509"/>
        <v/>
      </c>
      <c r="CE497" s="1317" t="str">
        <f t="shared" si="1510"/>
        <v/>
      </c>
      <c r="CF497" s="1317" t="str">
        <f t="shared" si="1510"/>
        <v/>
      </c>
      <c r="CG497" s="1317" t="str">
        <f t="shared" si="1510"/>
        <v/>
      </c>
      <c r="CH497" s="1318" t="str">
        <f t="shared" si="1510"/>
        <v/>
      </c>
      <c r="CI497" s="1318" t="str">
        <f t="shared" si="1510"/>
        <v/>
      </c>
      <c r="CJ497" s="1317" t="str">
        <f t="shared" si="1510"/>
        <v/>
      </c>
      <c r="CK497" s="1317" t="str">
        <f t="shared" si="1510"/>
        <v/>
      </c>
      <c r="CL497" s="1317" t="str">
        <f t="shared" si="1510"/>
        <v/>
      </c>
      <c r="CM497" s="1316" t="str">
        <f t="shared" si="1510"/>
        <v/>
      </c>
      <c r="CN497" s="538" t="str">
        <f t="shared" si="1489"/>
        <v/>
      </c>
      <c r="CO497" s="539" t="str">
        <f t="shared" si="1490"/>
        <v/>
      </c>
      <c r="CP497" s="539" t="str">
        <f t="shared" si="1491"/>
        <v/>
      </c>
      <c r="CQ497" s="539">
        <f t="shared" si="1492"/>
        <v>12</v>
      </c>
      <c r="CR497" s="539">
        <f t="shared" si="1493"/>
        <v>12</v>
      </c>
      <c r="CS497" s="539">
        <f t="shared" si="1494"/>
        <v>12</v>
      </c>
      <c r="CT497" s="540">
        <f t="shared" si="1495"/>
        <v>12</v>
      </c>
      <c r="CU497" s="540">
        <f t="shared" si="1496"/>
        <v>12</v>
      </c>
      <c r="CV497" s="540">
        <f t="shared" si="1497"/>
        <v>12</v>
      </c>
      <c r="CW497" s="539">
        <f t="shared" si="1498"/>
        <v>12</v>
      </c>
      <c r="CX497" s="539">
        <f t="shared" si="1499"/>
        <v>12</v>
      </c>
      <c r="CY497" s="539">
        <f t="shared" si="1500"/>
        <v>12</v>
      </c>
      <c r="CZ497" s="539">
        <f t="shared" si="1501"/>
        <v>12</v>
      </c>
      <c r="DA497" s="539" t="str">
        <f t="shared" si="1502"/>
        <v/>
      </c>
      <c r="DB497" s="538" t="str">
        <f t="shared" si="1503"/>
        <v/>
      </c>
      <c r="DC497" s="537" t="str">
        <f t="shared" si="1504"/>
        <v/>
      </c>
      <c r="DD497" s="641">
        <f t="shared" si="1505"/>
        <v>0</v>
      </c>
      <c r="DE497" s="95">
        <f t="shared" si="1506"/>
        <v>0</v>
      </c>
      <c r="DF497" s="95">
        <f t="shared" si="1507"/>
        <v>0</v>
      </c>
      <c r="DG497" s="95">
        <f t="shared" si="1508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267</v>
      </c>
      <c r="B498" s="618" t="str">
        <f t="shared" ref="B498:K498" si="1511">IF(B496="","",B495*B496*B497)</f>
        <v/>
      </c>
      <c r="C498" s="618" t="str">
        <f t="shared" si="1511"/>
        <v/>
      </c>
      <c r="D498" s="618" t="str">
        <f t="shared" si="1511"/>
        <v/>
      </c>
      <c r="E498" s="618" t="str">
        <f t="shared" si="1511"/>
        <v/>
      </c>
      <c r="F498" s="618" t="str">
        <f t="shared" si="1511"/>
        <v/>
      </c>
      <c r="G498" s="618" t="str">
        <f t="shared" si="1511"/>
        <v/>
      </c>
      <c r="H498" s="618" t="str">
        <f t="shared" si="1511"/>
        <v/>
      </c>
      <c r="I498" s="618" t="str">
        <f t="shared" si="1511"/>
        <v/>
      </c>
      <c r="J498" s="618" t="str">
        <f t="shared" si="1511"/>
        <v/>
      </c>
      <c r="K498" s="618" t="str">
        <f t="shared" si="1511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2">IF(T496="","",T495*T496*T497)</f>
        <v/>
      </c>
      <c r="U498" s="618" t="str">
        <f t="shared" si="1512"/>
        <v/>
      </c>
      <c r="V498" s="618" t="str">
        <f t="shared" si="1512"/>
        <v/>
      </c>
      <c r="W498" s="618" t="str">
        <f t="shared" si="1512"/>
        <v/>
      </c>
      <c r="X498" s="618" t="str">
        <f t="shared" si="1512"/>
        <v/>
      </c>
      <c r="Y498" s="618" t="str">
        <f t="shared" si="1512"/>
        <v/>
      </c>
      <c r="Z498" s="618" t="str">
        <f t="shared" si="1512"/>
        <v/>
      </c>
      <c r="AA498" s="618" t="str">
        <f t="shared" si="1512"/>
        <v/>
      </c>
      <c r="AB498" s="618" t="str">
        <f t="shared" si="1512"/>
        <v/>
      </c>
      <c r="AC498" s="618" t="str">
        <f t="shared" si="1512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3">IF(AL496="","",AL495*AL496*AL497)</f>
        <v/>
      </c>
      <c r="AM498" s="618" t="str">
        <f t="shared" si="1513"/>
        <v/>
      </c>
      <c r="AN498" s="618" t="str">
        <f t="shared" si="1513"/>
        <v/>
      </c>
      <c r="AO498" s="618" t="str">
        <f t="shared" si="1513"/>
        <v/>
      </c>
      <c r="AP498" s="618" t="str">
        <f t="shared" si="1513"/>
        <v/>
      </c>
      <c r="AQ498" s="618" t="str">
        <f t="shared" si="1513"/>
        <v/>
      </c>
      <c r="AR498" s="618" t="str">
        <f t="shared" si="1513"/>
        <v/>
      </c>
      <c r="AS498" s="618" t="str">
        <f t="shared" si="1513"/>
        <v/>
      </c>
      <c r="AT498" s="618" t="str">
        <f t="shared" si="1513"/>
        <v/>
      </c>
      <c r="AU498" s="618" t="str">
        <f t="shared" si="1513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4">IF(BD496="","",BD495*BD496*BD497)</f>
        <v>84</v>
      </c>
      <c r="BE498" s="618">
        <f t="shared" si="1514"/>
        <v>126</v>
      </c>
      <c r="BF498" s="618">
        <f t="shared" si="1514"/>
        <v>126</v>
      </c>
      <c r="BG498" s="618">
        <f t="shared" si="1514"/>
        <v>126</v>
      </c>
      <c r="BH498" s="618">
        <f t="shared" si="1514"/>
        <v>126</v>
      </c>
      <c r="BI498" s="618">
        <f t="shared" si="1514"/>
        <v>126</v>
      </c>
      <c r="BJ498" s="618">
        <f t="shared" si="1514"/>
        <v>126</v>
      </c>
      <c r="BK498" s="618">
        <f t="shared" si="1514"/>
        <v>126</v>
      </c>
      <c r="BL498" s="618">
        <f t="shared" si="1514"/>
        <v>252</v>
      </c>
      <c r="BM498" s="618">
        <f t="shared" si="1514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3"/>
        <v/>
      </c>
      <c r="CA498" s="586" t="str">
        <f t="shared" si="1394"/>
        <v/>
      </c>
      <c r="CB498" s="586" t="str">
        <f t="shared" si="1395"/>
        <v/>
      </c>
      <c r="CC498" s="676">
        <f t="shared" si="1396"/>
        <v>126</v>
      </c>
      <c r="CD498" s="1316" t="str">
        <f t="shared" si="1509"/>
        <v/>
      </c>
      <c r="CE498" s="1317" t="str">
        <f t="shared" si="1510"/>
        <v/>
      </c>
      <c r="CF498" s="1317" t="str">
        <f t="shared" si="1510"/>
        <v/>
      </c>
      <c r="CG498" s="1317" t="str">
        <f t="shared" si="1510"/>
        <v/>
      </c>
      <c r="CH498" s="1318" t="str">
        <f t="shared" si="1510"/>
        <v/>
      </c>
      <c r="CI498" s="1318" t="str">
        <f t="shared" si="1510"/>
        <v/>
      </c>
      <c r="CJ498" s="1317" t="str">
        <f t="shared" si="1510"/>
        <v/>
      </c>
      <c r="CK498" s="1317" t="str">
        <f t="shared" si="1510"/>
        <v/>
      </c>
      <c r="CL498" s="1317" t="str">
        <f t="shared" si="1510"/>
        <v/>
      </c>
      <c r="CM498" s="1316" t="str">
        <f t="shared" si="1510"/>
        <v/>
      </c>
      <c r="CN498" s="538" t="str">
        <f t="shared" si="1489"/>
        <v/>
      </c>
      <c r="CO498" s="539" t="str">
        <f t="shared" si="1490"/>
        <v/>
      </c>
      <c r="CP498" s="539" t="str">
        <f t="shared" si="1491"/>
        <v/>
      </c>
      <c r="CQ498" s="539">
        <f t="shared" si="1492"/>
        <v>84</v>
      </c>
      <c r="CR498" s="539">
        <f t="shared" si="1493"/>
        <v>126</v>
      </c>
      <c r="CS498" s="539">
        <f t="shared" si="1494"/>
        <v>126</v>
      </c>
      <c r="CT498" s="540">
        <f t="shared" si="1495"/>
        <v>126</v>
      </c>
      <c r="CU498" s="540">
        <f t="shared" si="1496"/>
        <v>126</v>
      </c>
      <c r="CV498" s="540">
        <f t="shared" si="1497"/>
        <v>126</v>
      </c>
      <c r="CW498" s="539">
        <f t="shared" si="1498"/>
        <v>126</v>
      </c>
      <c r="CX498" s="539">
        <f t="shared" si="1499"/>
        <v>126</v>
      </c>
      <c r="CY498" s="539">
        <f t="shared" si="1500"/>
        <v>126</v>
      </c>
      <c r="CZ498" s="539">
        <f t="shared" si="1501"/>
        <v>252</v>
      </c>
      <c r="DA498" s="539" t="str">
        <f t="shared" si="1502"/>
        <v/>
      </c>
      <c r="DB498" s="538" t="str">
        <f t="shared" si="1503"/>
        <v/>
      </c>
      <c r="DC498" s="537" t="str">
        <f t="shared" si="1504"/>
        <v/>
      </c>
      <c r="DD498" s="641">
        <f t="shared" si="1505"/>
        <v>0</v>
      </c>
      <c r="DE498" s="95">
        <f t="shared" si="1506"/>
        <v>0</v>
      </c>
      <c r="DF498" s="95">
        <f t="shared" si="1507"/>
        <v>0</v>
      </c>
      <c r="DG498" s="95">
        <f t="shared" si="1508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284</v>
      </c>
      <c r="B499" s="747">
        <f>2680*$K$1</f>
        <v>11220.624</v>
      </c>
      <c r="C499" s="747">
        <f t="shared" ref="C499:K499" si="1515">2680*$K$1</f>
        <v>11220.624</v>
      </c>
      <c r="D499" s="747">
        <f t="shared" si="1515"/>
        <v>11220.624</v>
      </c>
      <c r="E499" s="747">
        <f t="shared" si="1515"/>
        <v>11220.624</v>
      </c>
      <c r="F499" s="747">
        <f t="shared" si="1515"/>
        <v>11220.624</v>
      </c>
      <c r="G499" s="747">
        <f t="shared" si="1515"/>
        <v>11220.624</v>
      </c>
      <c r="H499" s="747">
        <f t="shared" si="1515"/>
        <v>11220.624</v>
      </c>
      <c r="I499" s="747">
        <f t="shared" si="1515"/>
        <v>11220.624</v>
      </c>
      <c r="J499" s="747">
        <f t="shared" si="1515"/>
        <v>11220.624</v>
      </c>
      <c r="K499" s="747">
        <f t="shared" si="1515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6">2680*$K$1</f>
        <v>11220.624</v>
      </c>
      <c r="V499" s="747">
        <f t="shared" si="1516"/>
        <v>11220.624</v>
      </c>
      <c r="W499" s="747">
        <f t="shared" si="1516"/>
        <v>11220.624</v>
      </c>
      <c r="X499" s="747">
        <f t="shared" si="1516"/>
        <v>11220.624</v>
      </c>
      <c r="Y499" s="747">
        <f t="shared" si="1516"/>
        <v>11220.624</v>
      </c>
      <c r="Z499" s="747">
        <f t="shared" si="1516"/>
        <v>11220.624</v>
      </c>
      <c r="AA499" s="747">
        <f t="shared" si="1516"/>
        <v>11220.624</v>
      </c>
      <c r="AB499" s="747">
        <f t="shared" si="1516"/>
        <v>11220.624</v>
      </c>
      <c r="AC499" s="747">
        <f t="shared" si="1516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7">2680*$K$1</f>
        <v>11220.624</v>
      </c>
      <c r="AN499" s="747">
        <f t="shared" si="1517"/>
        <v>11220.624</v>
      </c>
      <c r="AO499" s="747">
        <f t="shared" si="1517"/>
        <v>11220.624</v>
      </c>
      <c r="AP499" s="747">
        <f t="shared" si="1517"/>
        <v>11220.624</v>
      </c>
      <c r="AQ499" s="747">
        <f t="shared" si="1517"/>
        <v>11220.624</v>
      </c>
      <c r="AR499" s="747">
        <f t="shared" si="1517"/>
        <v>11220.624</v>
      </c>
      <c r="AS499" s="747">
        <f t="shared" si="1517"/>
        <v>11220.624</v>
      </c>
      <c r="AT499" s="747">
        <f t="shared" si="1517"/>
        <v>11220.624</v>
      </c>
      <c r="AU499" s="747">
        <f t="shared" si="1517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8">2680*$K$1</f>
        <v>11220.624</v>
      </c>
      <c r="BF499" s="747">
        <f t="shared" si="1518"/>
        <v>11220.624</v>
      </c>
      <c r="BG499" s="747">
        <f t="shared" si="1518"/>
        <v>11220.624</v>
      </c>
      <c r="BH499" s="747">
        <f t="shared" si="1518"/>
        <v>11220.624</v>
      </c>
      <c r="BI499" s="747">
        <f t="shared" si="1518"/>
        <v>11220.624</v>
      </c>
      <c r="BJ499" s="747">
        <f t="shared" si="1518"/>
        <v>11220.624</v>
      </c>
      <c r="BK499" s="747">
        <f t="shared" si="1518"/>
        <v>11220.624</v>
      </c>
      <c r="BL499" s="747">
        <f t="shared" si="1518"/>
        <v>11220.624</v>
      </c>
      <c r="BM499" s="747">
        <f t="shared" si="1518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8"/>
        <v>11220.624</v>
      </c>
      <c r="BW499" s="747">
        <f t="shared" si="1518"/>
        <v>11220.624</v>
      </c>
      <c r="BX499" s="747">
        <f t="shared" si="1518"/>
        <v>11220.624</v>
      </c>
      <c r="BY499" s="747">
        <f t="shared" si="1518"/>
        <v>11220.624</v>
      </c>
      <c r="BZ499" s="586">
        <f t="shared" si="1393"/>
        <v>11220.623999999998</v>
      </c>
      <c r="CA499" s="586">
        <f t="shared" si="1394"/>
        <v>11220.623999999998</v>
      </c>
      <c r="CB499" s="586">
        <f t="shared" si="1395"/>
        <v>11220.623999999998</v>
      </c>
      <c r="CC499" s="676">
        <f t="shared" si="1396"/>
        <v>11220.623999999998</v>
      </c>
      <c r="CD499" s="1316">
        <f t="shared" si="1509"/>
        <v>11220.624</v>
      </c>
      <c r="CE499" s="1317">
        <f t="shared" si="1510"/>
        <v>11220.624</v>
      </c>
      <c r="CF499" s="1317">
        <f t="shared" si="1510"/>
        <v>11220.624</v>
      </c>
      <c r="CG499" s="1317">
        <f t="shared" si="1510"/>
        <v>11220.624</v>
      </c>
      <c r="CH499" s="1318">
        <f t="shared" si="1510"/>
        <v>11220.624</v>
      </c>
      <c r="CI499" s="1318">
        <f t="shared" si="1510"/>
        <v>11220.624</v>
      </c>
      <c r="CJ499" s="1317">
        <f t="shared" si="1510"/>
        <v>11220.624</v>
      </c>
      <c r="CK499" s="1317">
        <f t="shared" si="1510"/>
        <v>11220.624</v>
      </c>
      <c r="CL499" s="1317">
        <f t="shared" si="1510"/>
        <v>11220.624</v>
      </c>
      <c r="CM499" s="1316">
        <f t="shared" si="1510"/>
        <v>11220.624</v>
      </c>
      <c r="CN499" s="538" t="str">
        <f t="shared" si="1489"/>
        <v/>
      </c>
      <c r="CO499" s="539" t="str">
        <f t="shared" si="1490"/>
        <v/>
      </c>
      <c r="CP499" s="539" t="str">
        <f t="shared" si="1491"/>
        <v/>
      </c>
      <c r="CQ499" s="539">
        <f t="shared" si="1492"/>
        <v>11220.624</v>
      </c>
      <c r="CR499" s="539">
        <f t="shared" si="1493"/>
        <v>11220.624</v>
      </c>
      <c r="CS499" s="539">
        <f t="shared" si="1494"/>
        <v>11220.624</v>
      </c>
      <c r="CT499" s="540">
        <f t="shared" si="1495"/>
        <v>11220.624</v>
      </c>
      <c r="CU499" s="540">
        <f t="shared" si="1496"/>
        <v>11220.624</v>
      </c>
      <c r="CV499" s="540">
        <f t="shared" si="1497"/>
        <v>11220.624</v>
      </c>
      <c r="CW499" s="539">
        <f t="shared" si="1498"/>
        <v>11220.624</v>
      </c>
      <c r="CX499" s="539">
        <f t="shared" si="1499"/>
        <v>11220.624</v>
      </c>
      <c r="CY499" s="539">
        <f t="shared" si="1500"/>
        <v>11220.624</v>
      </c>
      <c r="CZ499" s="539">
        <f t="shared" si="1501"/>
        <v>11220.624</v>
      </c>
      <c r="DA499" s="539" t="str">
        <f t="shared" si="1502"/>
        <v/>
      </c>
      <c r="DB499" s="538" t="str">
        <f t="shared" si="1503"/>
        <v/>
      </c>
      <c r="DC499" s="537" t="str">
        <f t="shared" si="1504"/>
        <v/>
      </c>
      <c r="DD499" s="641">
        <f t="shared" si="1505"/>
        <v>10</v>
      </c>
      <c r="DE499" s="95">
        <f t="shared" si="1506"/>
        <v>10</v>
      </c>
      <c r="DF499" s="95">
        <f t="shared" si="1507"/>
        <v>10</v>
      </c>
      <c r="DG499" s="95">
        <f t="shared" si="1508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227</v>
      </c>
      <c r="B500" s="621" t="str">
        <f t="shared" ref="B500:K500" si="1519">IF(B498="","",B498*B499/B$46/365/$G$1)</f>
        <v/>
      </c>
      <c r="C500" s="621" t="str">
        <f t="shared" si="1519"/>
        <v/>
      </c>
      <c r="D500" s="621" t="str">
        <f t="shared" si="1519"/>
        <v/>
      </c>
      <c r="E500" s="621" t="str">
        <f t="shared" si="1519"/>
        <v/>
      </c>
      <c r="F500" s="621" t="str">
        <f t="shared" si="1519"/>
        <v/>
      </c>
      <c r="G500" s="621" t="str">
        <f t="shared" si="1519"/>
        <v/>
      </c>
      <c r="H500" s="621" t="str">
        <f t="shared" si="1519"/>
        <v/>
      </c>
      <c r="I500" s="621" t="str">
        <f t="shared" si="1519"/>
        <v/>
      </c>
      <c r="J500" s="621" t="str">
        <f t="shared" si="1519"/>
        <v/>
      </c>
      <c r="K500" s="621" t="str">
        <f t="shared" si="1519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20">IF(T498="","",T498*T499/T$46/365/$G$1)</f>
        <v/>
      </c>
      <c r="U500" s="621" t="str">
        <f t="shared" si="1520"/>
        <v/>
      </c>
      <c r="V500" s="621" t="str">
        <f t="shared" si="1520"/>
        <v/>
      </c>
      <c r="W500" s="621" t="str">
        <f t="shared" si="1520"/>
        <v/>
      </c>
      <c r="X500" s="621" t="str">
        <f t="shared" si="1520"/>
        <v/>
      </c>
      <c r="Y500" s="621" t="str">
        <f t="shared" si="1520"/>
        <v/>
      </c>
      <c r="Z500" s="621" t="str">
        <f t="shared" si="1520"/>
        <v/>
      </c>
      <c r="AA500" s="621" t="str">
        <f t="shared" si="1520"/>
        <v/>
      </c>
      <c r="AB500" s="621" t="str">
        <f t="shared" si="1520"/>
        <v/>
      </c>
      <c r="AC500" s="621" t="str">
        <f t="shared" si="1520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21">IF(AL498="","",AL498*AL499/AL$46/365/$G$1)</f>
        <v/>
      </c>
      <c r="AM500" s="621" t="str">
        <f t="shared" si="1521"/>
        <v/>
      </c>
      <c r="AN500" s="621" t="str">
        <f t="shared" si="1521"/>
        <v/>
      </c>
      <c r="AO500" s="621" t="str">
        <f t="shared" si="1521"/>
        <v/>
      </c>
      <c r="AP500" s="621" t="str">
        <f t="shared" si="1521"/>
        <v/>
      </c>
      <c r="AQ500" s="621" t="str">
        <f t="shared" si="1521"/>
        <v/>
      </c>
      <c r="AR500" s="621" t="str">
        <f t="shared" si="1521"/>
        <v/>
      </c>
      <c r="AS500" s="621" t="str">
        <f t="shared" si="1521"/>
        <v/>
      </c>
      <c r="AT500" s="621" t="str">
        <f t="shared" si="1521"/>
        <v/>
      </c>
      <c r="AU500" s="621" t="str">
        <f t="shared" si="1521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2">IF(BD498="","",BD498*BD499/BD$46/365/$G$1)</f>
        <v>2.4453414694894149E-2</v>
      </c>
      <c r="BE500" s="621">
        <f t="shared" si="1522"/>
        <v>5.5020183063511835E-2</v>
      </c>
      <c r="BF500" s="621">
        <f t="shared" si="1522"/>
        <v>3.6680122042341223E-2</v>
      </c>
      <c r="BG500" s="621">
        <f t="shared" si="1522"/>
        <v>6.2880209215442101E-2</v>
      </c>
      <c r="BH500" s="621">
        <f t="shared" si="1522"/>
        <v>4.0014678591644967E-2</v>
      </c>
      <c r="BI500" s="621">
        <f t="shared" si="1522"/>
        <v>4.4016146450809465E-2</v>
      </c>
      <c r="BJ500" s="621">
        <f t="shared" si="1522"/>
        <v>5.5020183063511835E-2</v>
      </c>
      <c r="BK500" s="621">
        <f t="shared" si="1522"/>
        <v>6.2880209215442101E-2</v>
      </c>
      <c r="BL500" s="621">
        <f t="shared" si="1522"/>
        <v>8.0029357183289934E-2</v>
      </c>
      <c r="BM500" s="621">
        <f t="shared" si="1522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3"/>
        <v/>
      </c>
      <c r="CA500" s="611" t="str">
        <f t="shared" si="1394"/>
        <v/>
      </c>
      <c r="CB500" s="611" t="str">
        <f t="shared" si="1395"/>
        <v/>
      </c>
      <c r="CC500" s="611">
        <f t="shared" si="1396"/>
        <v>5.2423992607268211E-2</v>
      </c>
      <c r="CD500" s="1319" t="str">
        <f t="shared" si="1509"/>
        <v/>
      </c>
      <c r="CE500" s="1320" t="str">
        <f t="shared" si="1510"/>
        <v/>
      </c>
      <c r="CF500" s="1320" t="str">
        <f t="shared" si="1510"/>
        <v/>
      </c>
      <c r="CG500" s="1320" t="str">
        <f t="shared" si="1510"/>
        <v/>
      </c>
      <c r="CH500" s="1321" t="str">
        <f t="shared" si="1510"/>
        <v/>
      </c>
      <c r="CI500" s="1321" t="str">
        <f t="shared" si="1510"/>
        <v/>
      </c>
      <c r="CJ500" s="1320" t="str">
        <f t="shared" si="1510"/>
        <v/>
      </c>
      <c r="CK500" s="1320" t="str">
        <f t="shared" si="1510"/>
        <v/>
      </c>
      <c r="CL500" s="1320" t="str">
        <f t="shared" si="1510"/>
        <v/>
      </c>
      <c r="CM500" s="1319" t="str">
        <f t="shared" si="1510"/>
        <v/>
      </c>
      <c r="CN500" s="526" t="str">
        <f t="shared" si="1489"/>
        <v/>
      </c>
      <c r="CO500" s="527" t="str">
        <f t="shared" si="1490"/>
        <v/>
      </c>
      <c r="CP500" s="527" t="str">
        <f t="shared" si="1491"/>
        <v/>
      </c>
      <c r="CQ500" s="527">
        <f t="shared" si="1492"/>
        <v>2.4453414694894149E-2</v>
      </c>
      <c r="CR500" s="527">
        <f t="shared" si="1493"/>
        <v>3.6680122042341223E-2</v>
      </c>
      <c r="CS500" s="527">
        <f t="shared" si="1494"/>
        <v>4.0014678591644967E-2</v>
      </c>
      <c r="CT500" s="528">
        <f t="shared" si="1495"/>
        <v>4.4016146450809465E-2</v>
      </c>
      <c r="CU500" s="528">
        <f t="shared" si="1496"/>
        <v>5.5020183063511835E-2</v>
      </c>
      <c r="CV500" s="528">
        <f t="shared" si="1497"/>
        <v>5.5020183063511835E-2</v>
      </c>
      <c r="CW500" s="527">
        <f t="shared" si="1498"/>
        <v>6.2880209215442101E-2</v>
      </c>
      <c r="CX500" s="527">
        <f t="shared" si="1499"/>
        <v>6.2880209215442101E-2</v>
      </c>
      <c r="CY500" s="527">
        <f t="shared" si="1500"/>
        <v>6.2880209215442101E-2</v>
      </c>
      <c r="CZ500" s="527">
        <f t="shared" si="1501"/>
        <v>8.0029357183289934E-2</v>
      </c>
      <c r="DA500" s="527" t="str">
        <f t="shared" si="1502"/>
        <v/>
      </c>
      <c r="DB500" s="526" t="str">
        <f t="shared" si="1503"/>
        <v/>
      </c>
      <c r="DC500" s="525" t="str">
        <f t="shared" si="1504"/>
        <v/>
      </c>
      <c r="DD500" s="641">
        <f t="shared" si="1505"/>
        <v>0</v>
      </c>
      <c r="DE500" s="95">
        <f t="shared" si="1506"/>
        <v>0</v>
      </c>
      <c r="DF500" s="95">
        <f t="shared" si="1507"/>
        <v>0</v>
      </c>
      <c r="DG500" s="95">
        <f t="shared" si="1508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0" t="s">
        <v>285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3"/>
        <v/>
      </c>
      <c r="CA501" s="586" t="str">
        <f t="shared" si="1394"/>
        <v/>
      </c>
      <c r="CB501" s="586" t="str">
        <f t="shared" si="1395"/>
        <v/>
      </c>
      <c r="CC501" s="676">
        <f t="shared" si="1396"/>
        <v>8.8125</v>
      </c>
      <c r="CD501" s="1316" t="str">
        <f t="shared" si="1509"/>
        <v/>
      </c>
      <c r="CE501" s="1317" t="str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7" t="str">
        <f t="shared" si="1523"/>
        <v/>
      </c>
      <c r="CG501" s="1317" t="str">
        <f t="shared" si="1523"/>
        <v/>
      </c>
      <c r="CH501" s="1318" t="str">
        <f t="shared" si="1523"/>
        <v/>
      </c>
      <c r="CI501" s="1318" t="str">
        <f t="shared" si="1523"/>
        <v/>
      </c>
      <c r="CJ501" s="1317" t="str">
        <f t="shared" si="1523"/>
        <v/>
      </c>
      <c r="CK501" s="1317" t="str">
        <f t="shared" si="1523"/>
        <v/>
      </c>
      <c r="CL501" s="1317" t="str">
        <f t="shared" si="1523"/>
        <v/>
      </c>
      <c r="CM501" s="1316" t="str">
        <f t="shared" si="1523"/>
        <v/>
      </c>
      <c r="CN501" s="538" t="str">
        <f t="shared" si="1489"/>
        <v/>
      </c>
      <c r="CO501" s="539" t="str">
        <f t="shared" si="1490"/>
        <v/>
      </c>
      <c r="CP501" s="539" t="str">
        <f t="shared" si="1491"/>
        <v/>
      </c>
      <c r="CQ501" s="539">
        <f t="shared" si="1492"/>
        <v>8</v>
      </c>
      <c r="CR501" s="539">
        <f t="shared" si="1493"/>
        <v>8.5</v>
      </c>
      <c r="CS501" s="539">
        <f t="shared" si="1494"/>
        <v>8.5</v>
      </c>
      <c r="CT501" s="540">
        <f t="shared" si="1495"/>
        <v>8.5</v>
      </c>
      <c r="CU501" s="540">
        <f t="shared" si="1496"/>
        <v>9</v>
      </c>
      <c r="CV501" s="540">
        <f t="shared" si="1497"/>
        <v>9</v>
      </c>
      <c r="CW501" s="539">
        <f t="shared" si="1498"/>
        <v>9</v>
      </c>
      <c r="CX501" s="539">
        <f t="shared" si="1499"/>
        <v>9</v>
      </c>
      <c r="CY501" s="539">
        <f t="shared" si="1500"/>
        <v>9</v>
      </c>
      <c r="CZ501" s="539">
        <f t="shared" si="1501"/>
        <v>9</v>
      </c>
      <c r="DA501" s="539" t="str">
        <f t="shared" si="1502"/>
        <v/>
      </c>
      <c r="DB501" s="538" t="str">
        <f t="shared" si="1503"/>
        <v/>
      </c>
      <c r="DC501" s="537" t="str">
        <f t="shared" si="1504"/>
        <v/>
      </c>
      <c r="DD501" s="641">
        <f t="shared" si="1505"/>
        <v>0</v>
      </c>
      <c r="DE501" s="95">
        <f t="shared" si="1506"/>
        <v>0</v>
      </c>
      <c r="DF501" s="95">
        <f t="shared" si="1507"/>
        <v>0</v>
      </c>
      <c r="DG501" s="95">
        <f t="shared" si="1508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286</v>
      </c>
      <c r="B502" s="618" t="str">
        <f t="shared" ref="B502:K502" si="1524">IF(B501="","",B496*B501*B497)</f>
        <v/>
      </c>
      <c r="C502" s="618" t="str">
        <f t="shared" si="1524"/>
        <v/>
      </c>
      <c r="D502" s="618" t="str">
        <f t="shared" si="1524"/>
        <v/>
      </c>
      <c r="E502" s="618" t="str">
        <f t="shared" si="1524"/>
        <v/>
      </c>
      <c r="F502" s="618" t="str">
        <f t="shared" si="1524"/>
        <v/>
      </c>
      <c r="G502" s="618" t="str">
        <f t="shared" si="1524"/>
        <v/>
      </c>
      <c r="H502" s="618" t="str">
        <f t="shared" si="1524"/>
        <v/>
      </c>
      <c r="I502" s="618" t="str">
        <f t="shared" si="1524"/>
        <v/>
      </c>
      <c r="J502" s="618" t="str">
        <f t="shared" si="1524"/>
        <v/>
      </c>
      <c r="K502" s="618" t="str">
        <f t="shared" si="1524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5">IF(T501="","",T496*T501*T497)</f>
        <v/>
      </c>
      <c r="U502" s="618" t="str">
        <f t="shared" si="1525"/>
        <v/>
      </c>
      <c r="V502" s="618" t="str">
        <f t="shared" si="1525"/>
        <v/>
      </c>
      <c r="W502" s="618" t="str">
        <f t="shared" si="1525"/>
        <v/>
      </c>
      <c r="X502" s="618" t="str">
        <f t="shared" si="1525"/>
        <v/>
      </c>
      <c r="Y502" s="618" t="str">
        <f t="shared" si="1525"/>
        <v/>
      </c>
      <c r="Z502" s="618" t="str">
        <f t="shared" si="1525"/>
        <v/>
      </c>
      <c r="AA502" s="618" t="str">
        <f t="shared" si="1525"/>
        <v/>
      </c>
      <c r="AB502" s="618" t="str">
        <f t="shared" si="1525"/>
        <v/>
      </c>
      <c r="AC502" s="618" t="str">
        <f t="shared" si="1525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6">IF(AL501="","",AL496*AL501*AL497)</f>
        <v/>
      </c>
      <c r="AM502" s="618" t="str">
        <f t="shared" si="1526"/>
        <v/>
      </c>
      <c r="AN502" s="618" t="str">
        <f t="shared" si="1526"/>
        <v/>
      </c>
      <c r="AO502" s="618" t="str">
        <f t="shared" si="1526"/>
        <v/>
      </c>
      <c r="AP502" s="618" t="str">
        <f t="shared" si="1526"/>
        <v/>
      </c>
      <c r="AQ502" s="618" t="str">
        <f t="shared" si="1526"/>
        <v/>
      </c>
      <c r="AR502" s="618" t="str">
        <f t="shared" si="1526"/>
        <v/>
      </c>
      <c r="AS502" s="618" t="str">
        <f t="shared" si="1526"/>
        <v/>
      </c>
      <c r="AT502" s="618" t="str">
        <f t="shared" si="1526"/>
        <v/>
      </c>
      <c r="AU502" s="618" t="str">
        <f t="shared" si="1526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7">IF(BD501="","",BD496*BD501*BD497)</f>
        <v>1080</v>
      </c>
      <c r="BE502" s="618">
        <f t="shared" si="1527"/>
        <v>1530</v>
      </c>
      <c r="BF502" s="618">
        <f t="shared" si="1527"/>
        <v>1620</v>
      </c>
      <c r="BG502" s="618">
        <f t="shared" si="1527"/>
        <v>1440</v>
      </c>
      <c r="BH502" s="618">
        <f t="shared" si="1527"/>
        <v>1620</v>
      </c>
      <c r="BI502" s="618">
        <f t="shared" si="1527"/>
        <v>1530</v>
      </c>
      <c r="BJ502" s="618">
        <f t="shared" si="1527"/>
        <v>1620</v>
      </c>
      <c r="BK502" s="618">
        <f t="shared" si="1527"/>
        <v>1530</v>
      </c>
      <c r="BL502" s="618">
        <f t="shared" si="1527"/>
        <v>3240</v>
      </c>
      <c r="BM502" s="618">
        <f t="shared" si="1527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3"/>
        <v/>
      </c>
      <c r="CA502" s="586" t="str">
        <f t="shared" si="1394"/>
        <v/>
      </c>
      <c r="CB502" s="586" t="str">
        <f t="shared" si="1395"/>
        <v/>
      </c>
      <c r="CC502" s="676">
        <f t="shared" si="1396"/>
        <v>1563.75</v>
      </c>
      <c r="CD502" s="1316" t="str">
        <f t="shared" si="1509"/>
        <v/>
      </c>
      <c r="CE502" s="1317" t="str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7" t="str">
        <f t="shared" si="1528"/>
        <v/>
      </c>
      <c r="CG502" s="1317" t="str">
        <f t="shared" si="1528"/>
        <v/>
      </c>
      <c r="CH502" s="1318" t="str">
        <f t="shared" si="1528"/>
        <v/>
      </c>
      <c r="CI502" s="1318" t="str">
        <f t="shared" si="1528"/>
        <v/>
      </c>
      <c r="CJ502" s="1317" t="str">
        <f t="shared" si="1528"/>
        <v/>
      </c>
      <c r="CK502" s="1317" t="str">
        <f t="shared" si="1528"/>
        <v/>
      </c>
      <c r="CL502" s="1317" t="str">
        <f t="shared" si="1528"/>
        <v/>
      </c>
      <c r="CM502" s="1316" t="str">
        <f t="shared" si="1528"/>
        <v/>
      </c>
      <c r="CN502" s="538" t="str">
        <f t="shared" si="1489"/>
        <v/>
      </c>
      <c r="CO502" s="539" t="str">
        <f t="shared" si="1490"/>
        <v/>
      </c>
      <c r="CP502" s="539" t="str">
        <f t="shared" si="1491"/>
        <v/>
      </c>
      <c r="CQ502" s="539">
        <f t="shared" si="1492"/>
        <v>1080</v>
      </c>
      <c r="CR502" s="539">
        <f t="shared" si="1493"/>
        <v>1440</v>
      </c>
      <c r="CS502" s="539">
        <f t="shared" si="1494"/>
        <v>1530</v>
      </c>
      <c r="CT502" s="540">
        <f t="shared" si="1495"/>
        <v>1530</v>
      </c>
      <c r="CU502" s="540">
        <f t="shared" si="1496"/>
        <v>1530</v>
      </c>
      <c r="CV502" s="540">
        <f t="shared" si="1497"/>
        <v>1620</v>
      </c>
      <c r="CW502" s="539">
        <f t="shared" si="1498"/>
        <v>1620</v>
      </c>
      <c r="CX502" s="539">
        <f t="shared" si="1499"/>
        <v>1620</v>
      </c>
      <c r="CY502" s="539">
        <f t="shared" si="1500"/>
        <v>1620</v>
      </c>
      <c r="CZ502" s="539">
        <f t="shared" si="1501"/>
        <v>3240</v>
      </c>
      <c r="DA502" s="539" t="str">
        <f t="shared" si="1502"/>
        <v/>
      </c>
      <c r="DB502" s="538" t="str">
        <f t="shared" si="1503"/>
        <v/>
      </c>
      <c r="DC502" s="537" t="str">
        <f t="shared" si="1504"/>
        <v/>
      </c>
      <c r="DD502" s="641">
        <f t="shared" si="1505"/>
        <v>0</v>
      </c>
      <c r="DE502" s="95">
        <f t="shared" si="1506"/>
        <v>0</v>
      </c>
      <c r="DF502" s="95">
        <f t="shared" si="1507"/>
        <v>0</v>
      </c>
      <c r="DG502" s="95">
        <f t="shared" si="1508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2" t="s">
        <v>722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3"/>
        <v/>
      </c>
      <c r="CA503" s="586" t="str">
        <f t="shared" si="1394"/>
        <v/>
      </c>
      <c r="CB503" s="586" t="str">
        <f t="shared" si="1395"/>
        <v/>
      </c>
      <c r="CC503" s="676" t="str">
        <f t="shared" si="1396"/>
        <v/>
      </c>
      <c r="CD503" s="1316" t="str">
        <f t="shared" si="1509"/>
        <v/>
      </c>
      <c r="CE503" s="1317" t="str">
        <f t="shared" si="1528"/>
        <v/>
      </c>
      <c r="CF503" s="1317" t="str">
        <f t="shared" si="1528"/>
        <v/>
      </c>
      <c r="CG503" s="1317" t="str">
        <f t="shared" si="1528"/>
        <v/>
      </c>
      <c r="CH503" s="1318" t="str">
        <f t="shared" si="1528"/>
        <v/>
      </c>
      <c r="CI503" s="1318" t="str">
        <f t="shared" si="1528"/>
        <v/>
      </c>
      <c r="CJ503" s="1317" t="str">
        <f t="shared" si="1528"/>
        <v/>
      </c>
      <c r="CK503" s="1317" t="str">
        <f t="shared" si="1528"/>
        <v/>
      </c>
      <c r="CL503" s="1317" t="str">
        <f t="shared" si="1528"/>
        <v/>
      </c>
      <c r="CM503" s="1316" t="str">
        <f t="shared" si="1528"/>
        <v/>
      </c>
      <c r="CN503" s="538" t="str">
        <f t="shared" si="1489"/>
        <v/>
      </c>
      <c r="CO503" s="539" t="str">
        <f t="shared" si="1490"/>
        <v/>
      </c>
      <c r="CP503" s="539" t="str">
        <f t="shared" si="1491"/>
        <v/>
      </c>
      <c r="CQ503" s="539" t="str">
        <f t="shared" si="1492"/>
        <v/>
      </c>
      <c r="CR503" s="539" t="str">
        <f t="shared" si="1493"/>
        <v/>
      </c>
      <c r="CS503" s="539" t="str">
        <f t="shared" si="1494"/>
        <v/>
      </c>
      <c r="CT503" s="540" t="str">
        <f t="shared" si="1495"/>
        <v/>
      </c>
      <c r="CU503" s="540" t="str">
        <f t="shared" si="1496"/>
        <v/>
      </c>
      <c r="CV503" s="540" t="str">
        <f t="shared" si="1497"/>
        <v/>
      </c>
      <c r="CW503" s="539" t="str">
        <f t="shared" si="1498"/>
        <v/>
      </c>
      <c r="CX503" s="539" t="str">
        <f t="shared" si="1499"/>
        <v/>
      </c>
      <c r="CY503" s="539" t="str">
        <f t="shared" si="1500"/>
        <v/>
      </c>
      <c r="CZ503" s="539" t="str">
        <f t="shared" si="1501"/>
        <v/>
      </c>
      <c r="DA503" s="539" t="str">
        <f t="shared" si="1502"/>
        <v/>
      </c>
      <c r="DB503" s="538" t="str">
        <f t="shared" si="1503"/>
        <v/>
      </c>
      <c r="DC503" s="537" t="str">
        <f t="shared" si="1504"/>
        <v/>
      </c>
      <c r="DD503" s="641">
        <f t="shared" si="1505"/>
        <v>0</v>
      </c>
      <c r="DE503" s="95">
        <f t="shared" si="1506"/>
        <v>0</v>
      </c>
      <c r="DF503" s="95">
        <f t="shared" si="1507"/>
        <v>0</v>
      </c>
      <c r="DG503" s="95">
        <f t="shared" si="1508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289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9">IF(DD504&lt;3,"",(SUM(B504:R504)-MIN(B504:R504)-MAX(B504:R504))/(DD504-2))</f>
        <v/>
      </c>
      <c r="CA504" s="586" t="str">
        <f t="shared" ref="CA504:CA526" si="1530">IF(DE504&lt;3,"",(SUM(T504:AJ504)-MIN(T504:AJ504)-MAX(T504:AJ504))/(DE504-2))</f>
        <v/>
      </c>
      <c r="CB504" s="586" t="str">
        <f t="shared" ref="CB504:CB526" si="1531">IF(DF504&lt;3,"",(SUM(AL504:BB504)-MIN(AL504:BB504)-MAX(AL504:BB504))/(DF504-2))</f>
        <v/>
      </c>
      <c r="CC504" s="676" t="str">
        <f t="shared" ref="CC504:CC526" si="1532">IF(DG504&lt;3,"",(SUM(BD504:BT504)-MIN(BD504:BT504)-MAX(BD504:BT504))/(DG504-2))</f>
        <v/>
      </c>
      <c r="CD504" s="1316" t="str">
        <f t="shared" si="1509"/>
        <v/>
      </c>
      <c r="CE504" s="1317" t="str">
        <f t="shared" si="1528"/>
        <v/>
      </c>
      <c r="CF504" s="1317" t="str">
        <f t="shared" si="1528"/>
        <v/>
      </c>
      <c r="CG504" s="1317" t="str">
        <f t="shared" si="1528"/>
        <v/>
      </c>
      <c r="CH504" s="1318" t="str">
        <f t="shared" si="1528"/>
        <v/>
      </c>
      <c r="CI504" s="1318" t="str">
        <f t="shared" si="1528"/>
        <v/>
      </c>
      <c r="CJ504" s="1317" t="str">
        <f t="shared" si="1528"/>
        <v/>
      </c>
      <c r="CK504" s="1317" t="str">
        <f t="shared" si="1528"/>
        <v/>
      </c>
      <c r="CL504" s="1317" t="str">
        <f t="shared" si="1528"/>
        <v/>
      </c>
      <c r="CM504" s="1316" t="str">
        <f t="shared" si="1528"/>
        <v/>
      </c>
      <c r="CN504" s="538" t="str">
        <f t="shared" si="1489"/>
        <v/>
      </c>
      <c r="CO504" s="539" t="str">
        <f t="shared" si="1490"/>
        <v/>
      </c>
      <c r="CP504" s="539" t="str">
        <f t="shared" si="1491"/>
        <v/>
      </c>
      <c r="CQ504" s="539" t="str">
        <f t="shared" si="1492"/>
        <v/>
      </c>
      <c r="CR504" s="539" t="str">
        <f t="shared" si="1493"/>
        <v/>
      </c>
      <c r="CS504" s="539" t="str">
        <f t="shared" si="1494"/>
        <v/>
      </c>
      <c r="CT504" s="540" t="str">
        <f t="shared" si="1495"/>
        <v/>
      </c>
      <c r="CU504" s="540" t="str">
        <f t="shared" si="1496"/>
        <v/>
      </c>
      <c r="CV504" s="540" t="str">
        <f t="shared" si="1497"/>
        <v/>
      </c>
      <c r="CW504" s="539" t="str">
        <f t="shared" si="1498"/>
        <v/>
      </c>
      <c r="CX504" s="539" t="str">
        <f t="shared" si="1499"/>
        <v/>
      </c>
      <c r="CY504" s="539" t="str">
        <f t="shared" si="1500"/>
        <v/>
      </c>
      <c r="CZ504" s="539" t="str">
        <f t="shared" si="1501"/>
        <v/>
      </c>
      <c r="DA504" s="539" t="str">
        <f t="shared" si="1502"/>
        <v/>
      </c>
      <c r="DB504" s="538" t="str">
        <f t="shared" si="1503"/>
        <v/>
      </c>
      <c r="DC504" s="537" t="str">
        <f t="shared" si="1504"/>
        <v/>
      </c>
      <c r="DD504" s="641">
        <f t="shared" si="1505"/>
        <v>0</v>
      </c>
      <c r="DE504" s="95">
        <f t="shared" si="1506"/>
        <v>0</v>
      </c>
      <c r="DF504" s="95">
        <f t="shared" si="1507"/>
        <v>0</v>
      </c>
      <c r="DG504" s="95">
        <f t="shared" si="1508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284</v>
      </c>
      <c r="B505" s="747">
        <f>4000*$K$1</f>
        <v>16747.2</v>
      </c>
      <c r="C505" s="747">
        <f t="shared" ref="C505:K505" si="1533">4000*$K$1</f>
        <v>16747.2</v>
      </c>
      <c r="D505" s="747">
        <f t="shared" si="1533"/>
        <v>16747.2</v>
      </c>
      <c r="E505" s="747">
        <f t="shared" si="1533"/>
        <v>16747.2</v>
      </c>
      <c r="F505" s="747">
        <f t="shared" si="1533"/>
        <v>16747.2</v>
      </c>
      <c r="G505" s="747">
        <f t="shared" si="1533"/>
        <v>16747.2</v>
      </c>
      <c r="H505" s="747">
        <f t="shared" si="1533"/>
        <v>16747.2</v>
      </c>
      <c r="I505" s="747">
        <f t="shared" si="1533"/>
        <v>16747.2</v>
      </c>
      <c r="J505" s="747">
        <f t="shared" si="1533"/>
        <v>16747.2</v>
      </c>
      <c r="K505" s="747">
        <f t="shared" si="1533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4">4000*$K$1</f>
        <v>16747.2</v>
      </c>
      <c r="V505" s="747">
        <f t="shared" si="1534"/>
        <v>16747.2</v>
      </c>
      <c r="W505" s="747">
        <f t="shared" si="1534"/>
        <v>16747.2</v>
      </c>
      <c r="X505" s="747">
        <f t="shared" si="1534"/>
        <v>16747.2</v>
      </c>
      <c r="Y505" s="747">
        <f t="shared" si="1534"/>
        <v>16747.2</v>
      </c>
      <c r="Z505" s="747">
        <f t="shared" si="1534"/>
        <v>16747.2</v>
      </c>
      <c r="AA505" s="747">
        <f t="shared" si="1534"/>
        <v>16747.2</v>
      </c>
      <c r="AB505" s="747">
        <f t="shared" si="1534"/>
        <v>16747.2</v>
      </c>
      <c r="AC505" s="747">
        <f t="shared" si="1534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5">4000*$K$1</f>
        <v>16747.2</v>
      </c>
      <c r="AN505" s="747">
        <f t="shared" si="1535"/>
        <v>16747.2</v>
      </c>
      <c r="AO505" s="747">
        <f t="shared" si="1535"/>
        <v>16747.2</v>
      </c>
      <c r="AP505" s="747">
        <f t="shared" si="1535"/>
        <v>16747.2</v>
      </c>
      <c r="AQ505" s="747">
        <f t="shared" si="1535"/>
        <v>16747.2</v>
      </c>
      <c r="AR505" s="747">
        <f t="shared" si="1535"/>
        <v>16747.2</v>
      </c>
      <c r="AS505" s="747">
        <f t="shared" si="1535"/>
        <v>16747.2</v>
      </c>
      <c r="AT505" s="747">
        <f t="shared" si="1535"/>
        <v>16747.2</v>
      </c>
      <c r="AU505" s="747">
        <f t="shared" si="1535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6">4000*$K$1</f>
        <v>16747.2</v>
      </c>
      <c r="BF505" s="747">
        <f t="shared" si="1536"/>
        <v>16747.2</v>
      </c>
      <c r="BG505" s="747">
        <f t="shared" si="1536"/>
        <v>16747.2</v>
      </c>
      <c r="BH505" s="747">
        <f t="shared" si="1536"/>
        <v>16747.2</v>
      </c>
      <c r="BI505" s="747">
        <f t="shared" si="1536"/>
        <v>16747.2</v>
      </c>
      <c r="BJ505" s="747">
        <f t="shared" si="1536"/>
        <v>16747.2</v>
      </c>
      <c r="BK505" s="747">
        <f t="shared" si="1536"/>
        <v>16747.2</v>
      </c>
      <c r="BL505" s="747">
        <f t="shared" si="1536"/>
        <v>16747.2</v>
      </c>
      <c r="BM505" s="747">
        <f t="shared" si="1536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6"/>
        <v>16747.2</v>
      </c>
      <c r="BW505" s="747">
        <f t="shared" si="1536"/>
        <v>16747.2</v>
      </c>
      <c r="BX505" s="747">
        <f t="shared" si="1536"/>
        <v>16747.2</v>
      </c>
      <c r="BY505" s="747">
        <f t="shared" si="1536"/>
        <v>16747.2</v>
      </c>
      <c r="BZ505" s="586">
        <f t="shared" si="1529"/>
        <v>16747.2</v>
      </c>
      <c r="CA505" s="586">
        <f t="shared" si="1530"/>
        <v>16747.2</v>
      </c>
      <c r="CB505" s="586">
        <f t="shared" si="1531"/>
        <v>16747.2</v>
      </c>
      <c r="CC505" s="676">
        <f t="shared" si="1532"/>
        <v>16747.2</v>
      </c>
      <c r="CD505" s="1316">
        <f t="shared" si="1509"/>
        <v>16747.2</v>
      </c>
      <c r="CE505" s="1317">
        <f t="shared" si="1528"/>
        <v>16747.2</v>
      </c>
      <c r="CF505" s="1317">
        <f t="shared" si="1528"/>
        <v>16747.2</v>
      </c>
      <c r="CG505" s="1317">
        <f t="shared" si="1528"/>
        <v>16747.2</v>
      </c>
      <c r="CH505" s="1318">
        <f t="shared" si="1528"/>
        <v>16747.2</v>
      </c>
      <c r="CI505" s="1318">
        <f t="shared" si="1528"/>
        <v>16747.2</v>
      </c>
      <c r="CJ505" s="1317">
        <f t="shared" si="1528"/>
        <v>16747.2</v>
      </c>
      <c r="CK505" s="1317">
        <f t="shared" si="1528"/>
        <v>16747.2</v>
      </c>
      <c r="CL505" s="1317">
        <f t="shared" si="1528"/>
        <v>16747.2</v>
      </c>
      <c r="CM505" s="1316">
        <f t="shared" si="1528"/>
        <v>16747.2</v>
      </c>
      <c r="CN505" s="538" t="str">
        <f t="shared" si="1489"/>
        <v/>
      </c>
      <c r="CO505" s="539" t="str">
        <f t="shared" si="1490"/>
        <v/>
      </c>
      <c r="CP505" s="539" t="str">
        <f t="shared" si="1491"/>
        <v/>
      </c>
      <c r="CQ505" s="539">
        <f t="shared" si="1492"/>
        <v>16747.2</v>
      </c>
      <c r="CR505" s="539">
        <f t="shared" si="1493"/>
        <v>16747.2</v>
      </c>
      <c r="CS505" s="539">
        <f t="shared" si="1494"/>
        <v>16747.2</v>
      </c>
      <c r="CT505" s="540">
        <f t="shared" si="1495"/>
        <v>16747.2</v>
      </c>
      <c r="CU505" s="540">
        <f t="shared" si="1496"/>
        <v>16747.2</v>
      </c>
      <c r="CV505" s="540">
        <f t="shared" si="1497"/>
        <v>16747.2</v>
      </c>
      <c r="CW505" s="539">
        <f t="shared" si="1498"/>
        <v>16747.2</v>
      </c>
      <c r="CX505" s="539">
        <f t="shared" si="1499"/>
        <v>16747.2</v>
      </c>
      <c r="CY505" s="539">
        <f t="shared" si="1500"/>
        <v>16747.2</v>
      </c>
      <c r="CZ505" s="539">
        <f t="shared" si="1501"/>
        <v>16747.2</v>
      </c>
      <c r="DA505" s="539" t="str">
        <f t="shared" si="1502"/>
        <v/>
      </c>
      <c r="DB505" s="538" t="str">
        <f t="shared" si="1503"/>
        <v/>
      </c>
      <c r="DC505" s="537" t="str">
        <f t="shared" si="1504"/>
        <v/>
      </c>
      <c r="DD505" s="641">
        <f t="shared" si="1505"/>
        <v>10</v>
      </c>
      <c r="DE505" s="95">
        <f t="shared" si="1506"/>
        <v>10</v>
      </c>
      <c r="DF505" s="95">
        <f t="shared" si="1507"/>
        <v>10</v>
      </c>
      <c r="DG505" s="95">
        <f t="shared" si="1508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227</v>
      </c>
      <c r="B506" s="749" t="str">
        <f t="shared" ref="B506:K506" si="1537">IF(B503="","",B503*B504*B505/B$46/365/$G$1)</f>
        <v/>
      </c>
      <c r="C506" s="621" t="str">
        <f t="shared" si="1537"/>
        <v/>
      </c>
      <c r="D506" s="749" t="str">
        <f t="shared" si="1537"/>
        <v/>
      </c>
      <c r="E506" s="621" t="str">
        <f t="shared" si="1537"/>
        <v/>
      </c>
      <c r="F506" s="749" t="str">
        <f t="shared" si="1537"/>
        <v/>
      </c>
      <c r="G506" s="621" t="str">
        <f t="shared" si="1537"/>
        <v/>
      </c>
      <c r="H506" s="749" t="str">
        <f t="shared" si="1537"/>
        <v/>
      </c>
      <c r="I506" s="621" t="str">
        <f t="shared" si="1537"/>
        <v/>
      </c>
      <c r="J506" s="749" t="str">
        <f t="shared" si="1537"/>
        <v/>
      </c>
      <c r="K506" s="749" t="str">
        <f t="shared" si="1537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8">IF(T503="","",T503*T504*T505/T$46/365/$G$1)</f>
        <v/>
      </c>
      <c r="U506" s="621" t="str">
        <f t="shared" si="1538"/>
        <v/>
      </c>
      <c r="V506" s="621" t="str">
        <f t="shared" si="1538"/>
        <v/>
      </c>
      <c r="W506" s="621" t="str">
        <f t="shared" si="1538"/>
        <v/>
      </c>
      <c r="X506" s="621" t="str">
        <f t="shared" si="1538"/>
        <v/>
      </c>
      <c r="Y506" s="621" t="str">
        <f t="shared" si="1538"/>
        <v/>
      </c>
      <c r="Z506" s="621" t="str">
        <f t="shared" si="1538"/>
        <v/>
      </c>
      <c r="AA506" s="621" t="str">
        <f t="shared" si="1538"/>
        <v/>
      </c>
      <c r="AB506" s="621" t="str">
        <f t="shared" si="1538"/>
        <v/>
      </c>
      <c r="AC506" s="621" t="str">
        <f t="shared" si="1538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9">IF(AL503="","",AL503*AL504*AL505/AL$46/365/$G$1)</f>
        <v/>
      </c>
      <c r="AM506" s="621" t="str">
        <f t="shared" si="1539"/>
        <v/>
      </c>
      <c r="AN506" s="621" t="str">
        <f t="shared" si="1539"/>
        <v/>
      </c>
      <c r="AO506" s="621" t="str">
        <f t="shared" si="1539"/>
        <v/>
      </c>
      <c r="AP506" s="621" t="str">
        <f t="shared" si="1539"/>
        <v/>
      </c>
      <c r="AQ506" s="621" t="str">
        <f t="shared" si="1539"/>
        <v/>
      </c>
      <c r="AR506" s="621" t="str">
        <f t="shared" si="1539"/>
        <v/>
      </c>
      <c r="AS506" s="621" t="str">
        <f t="shared" si="1539"/>
        <v/>
      </c>
      <c r="AT506" s="621" t="str">
        <f t="shared" si="1539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9"/>
        <v/>
      </c>
      <c r="CA506" s="611" t="str">
        <f t="shared" si="1530"/>
        <v/>
      </c>
      <c r="CB506" s="611" t="str">
        <f t="shared" si="1531"/>
        <v/>
      </c>
      <c r="CC506" s="611" t="str">
        <f t="shared" si="1532"/>
        <v/>
      </c>
      <c r="CD506" s="1319" t="str">
        <f t="shared" si="1509"/>
        <v/>
      </c>
      <c r="CE506" s="1320" t="str">
        <f t="shared" si="1528"/>
        <v/>
      </c>
      <c r="CF506" s="1320" t="str">
        <f t="shared" si="1528"/>
        <v/>
      </c>
      <c r="CG506" s="1320" t="str">
        <f t="shared" si="1528"/>
        <v/>
      </c>
      <c r="CH506" s="1321" t="str">
        <f t="shared" si="1528"/>
        <v/>
      </c>
      <c r="CI506" s="1321" t="str">
        <f t="shared" si="1528"/>
        <v/>
      </c>
      <c r="CJ506" s="1320" t="str">
        <f t="shared" si="1528"/>
        <v/>
      </c>
      <c r="CK506" s="1320" t="str">
        <f t="shared" si="1528"/>
        <v/>
      </c>
      <c r="CL506" s="1320" t="str">
        <f t="shared" si="1528"/>
        <v/>
      </c>
      <c r="CM506" s="1319" t="str">
        <f t="shared" si="1528"/>
        <v/>
      </c>
      <c r="CN506" s="526" t="str">
        <f t="shared" si="1489"/>
        <v/>
      </c>
      <c r="CO506" s="527" t="str">
        <f t="shared" si="1490"/>
        <v/>
      </c>
      <c r="CP506" s="527" t="str">
        <f t="shared" si="1491"/>
        <v/>
      </c>
      <c r="CQ506" s="527" t="str">
        <f t="shared" si="1492"/>
        <v/>
      </c>
      <c r="CR506" s="527" t="str">
        <f t="shared" si="1493"/>
        <v/>
      </c>
      <c r="CS506" s="527" t="str">
        <f t="shared" si="1494"/>
        <v/>
      </c>
      <c r="CT506" s="528" t="str">
        <f t="shared" si="1495"/>
        <v/>
      </c>
      <c r="CU506" s="528" t="str">
        <f t="shared" si="1496"/>
        <v/>
      </c>
      <c r="CV506" s="528" t="str">
        <f t="shared" si="1497"/>
        <v/>
      </c>
      <c r="CW506" s="527" t="str">
        <f t="shared" si="1498"/>
        <v/>
      </c>
      <c r="CX506" s="527" t="str">
        <f t="shared" si="1499"/>
        <v/>
      </c>
      <c r="CY506" s="527" t="str">
        <f t="shared" si="1500"/>
        <v/>
      </c>
      <c r="CZ506" s="527" t="str">
        <f t="shared" si="1501"/>
        <v/>
      </c>
      <c r="DA506" s="527" t="str">
        <f t="shared" si="1502"/>
        <v/>
      </c>
      <c r="DB506" s="526" t="str">
        <f t="shared" si="1503"/>
        <v/>
      </c>
      <c r="DC506" s="525" t="str">
        <f t="shared" si="1504"/>
        <v/>
      </c>
      <c r="DD506" s="641">
        <f t="shared" si="1505"/>
        <v>0</v>
      </c>
      <c r="DE506" s="95">
        <f t="shared" si="1506"/>
        <v>0</v>
      </c>
      <c r="DF506" s="95">
        <f t="shared" si="1507"/>
        <v>0</v>
      </c>
      <c r="DG506" s="95">
        <f t="shared" si="1508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1" t="s">
        <v>288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9"/>
        <v/>
      </c>
      <c r="CA507" s="586" t="str">
        <f t="shared" si="1530"/>
        <v/>
      </c>
      <c r="CB507" s="586" t="str">
        <f t="shared" si="1531"/>
        <v/>
      </c>
      <c r="CC507" s="676" t="str">
        <f t="shared" si="1532"/>
        <v/>
      </c>
      <c r="CD507" s="1316" t="str">
        <f t="shared" si="1509"/>
        <v/>
      </c>
      <c r="CE507" s="1317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7" t="str">
        <f t="shared" si="1540"/>
        <v/>
      </c>
      <c r="CG507" s="1317" t="str">
        <f t="shared" si="1540"/>
        <v/>
      </c>
      <c r="CH507" s="1318" t="str">
        <f t="shared" si="1540"/>
        <v/>
      </c>
      <c r="CI507" s="1318" t="str">
        <f t="shared" si="1540"/>
        <v/>
      </c>
      <c r="CJ507" s="1317" t="str">
        <f t="shared" si="1540"/>
        <v/>
      </c>
      <c r="CK507" s="1317" t="str">
        <f t="shared" si="1540"/>
        <v/>
      </c>
      <c r="CL507" s="1317" t="str">
        <f t="shared" si="1540"/>
        <v/>
      </c>
      <c r="CM507" s="1316" t="str">
        <f t="shared" si="1540"/>
        <v/>
      </c>
      <c r="CN507" s="538" t="str">
        <f t="shared" si="1489"/>
        <v/>
      </c>
      <c r="CO507" s="539" t="str">
        <f t="shared" si="1490"/>
        <v/>
      </c>
      <c r="CP507" s="539" t="str">
        <f t="shared" si="1491"/>
        <v/>
      </c>
      <c r="CQ507" s="539" t="str">
        <f t="shared" si="1492"/>
        <v/>
      </c>
      <c r="CR507" s="539" t="str">
        <f t="shared" si="1493"/>
        <v/>
      </c>
      <c r="CS507" s="539" t="str">
        <f t="shared" si="1494"/>
        <v/>
      </c>
      <c r="CT507" s="540" t="str">
        <f t="shared" si="1495"/>
        <v/>
      </c>
      <c r="CU507" s="540" t="str">
        <f t="shared" si="1496"/>
        <v/>
      </c>
      <c r="CV507" s="540" t="str">
        <f t="shared" si="1497"/>
        <v/>
      </c>
      <c r="CW507" s="539" t="str">
        <f t="shared" si="1498"/>
        <v/>
      </c>
      <c r="CX507" s="539" t="str">
        <f t="shared" si="1499"/>
        <v/>
      </c>
      <c r="CY507" s="539" t="str">
        <f t="shared" si="1500"/>
        <v/>
      </c>
      <c r="CZ507" s="539" t="str">
        <f t="shared" si="1501"/>
        <v/>
      </c>
      <c r="DA507" s="539" t="str">
        <f t="shared" si="1502"/>
        <v/>
      </c>
      <c r="DB507" s="538" t="str">
        <f t="shared" si="1503"/>
        <v/>
      </c>
      <c r="DC507" s="537" t="str">
        <f t="shared" si="1504"/>
        <v/>
      </c>
      <c r="DD507" s="641">
        <f t="shared" si="1505"/>
        <v>0</v>
      </c>
      <c r="DE507" s="95">
        <f t="shared" si="1506"/>
        <v>0</v>
      </c>
      <c r="DF507" s="95">
        <f t="shared" si="1507"/>
        <v>0</v>
      </c>
      <c r="DG507" s="95">
        <f t="shared" si="1508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286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41">IF(D507="","",D503*D504*D507)</f>
        <v/>
      </c>
      <c r="E508" s="618" t="str">
        <f t="shared" si="1541"/>
        <v/>
      </c>
      <c r="F508" s="618" t="str">
        <f t="shared" si="1541"/>
        <v/>
      </c>
      <c r="G508" s="618" t="str">
        <f t="shared" si="1541"/>
        <v/>
      </c>
      <c r="H508" s="618" t="str">
        <f t="shared" si="1541"/>
        <v/>
      </c>
      <c r="I508" s="618" t="str">
        <f t="shared" si="1541"/>
        <v/>
      </c>
      <c r="J508" s="618" t="str">
        <f t="shared" si="1541"/>
        <v/>
      </c>
      <c r="K508" s="618" t="str">
        <f t="shared" si="1541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2">IF(V507="","",V503*V504*V507)</f>
        <v/>
      </c>
      <c r="W508" s="618" t="str">
        <f t="shared" si="1542"/>
        <v/>
      </c>
      <c r="X508" s="618" t="str">
        <f t="shared" si="1542"/>
        <v/>
      </c>
      <c r="Y508" s="618" t="str">
        <f t="shared" si="1542"/>
        <v/>
      </c>
      <c r="Z508" s="618" t="str">
        <f t="shared" si="1542"/>
        <v/>
      </c>
      <c r="AA508" s="618" t="str">
        <f t="shared" si="1542"/>
        <v/>
      </c>
      <c r="AB508" s="618" t="str">
        <f t="shared" si="1542"/>
        <v/>
      </c>
      <c r="AC508" s="618" t="str">
        <f t="shared" si="1542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3">IF(AN507="","",AN503*AN504*AN507)</f>
        <v/>
      </c>
      <c r="AO508" s="618" t="str">
        <f t="shared" si="1543"/>
        <v/>
      </c>
      <c r="AP508" s="618" t="str">
        <f t="shared" si="1543"/>
        <v/>
      </c>
      <c r="AQ508" s="618" t="str">
        <f t="shared" si="1543"/>
        <v/>
      </c>
      <c r="AR508" s="618" t="str">
        <f t="shared" si="1543"/>
        <v/>
      </c>
      <c r="AS508" s="618" t="str">
        <f t="shared" si="1543"/>
        <v/>
      </c>
      <c r="AT508" s="618" t="str">
        <f t="shared" si="1543"/>
        <v/>
      </c>
      <c r="AU508" s="618" t="str">
        <f t="shared" si="1543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4">IF(BF507="","",BF503*BF504*BF507)</f>
        <v/>
      </c>
      <c r="BG508" s="618" t="str">
        <f t="shared" si="1544"/>
        <v/>
      </c>
      <c r="BH508" s="618" t="str">
        <f t="shared" si="1544"/>
        <v/>
      </c>
      <c r="BI508" s="618" t="str">
        <f t="shared" si="1544"/>
        <v/>
      </c>
      <c r="BJ508" s="618" t="str">
        <f t="shared" si="1544"/>
        <v/>
      </c>
      <c r="BK508" s="618" t="str">
        <f t="shared" si="1544"/>
        <v/>
      </c>
      <c r="BL508" s="618" t="str">
        <f t="shared" si="1544"/>
        <v/>
      </c>
      <c r="BM508" s="618" t="str">
        <f t="shared" si="1544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9"/>
        <v/>
      </c>
      <c r="CA508" s="586" t="str">
        <f t="shared" si="1530"/>
        <v/>
      </c>
      <c r="CB508" s="586" t="str">
        <f t="shared" si="1531"/>
        <v/>
      </c>
      <c r="CC508" s="676" t="str">
        <f t="shared" si="1532"/>
        <v/>
      </c>
      <c r="CD508" s="1316" t="str">
        <f t="shared" si="1509"/>
        <v/>
      </c>
      <c r="CE508" s="1317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7" t="str">
        <f t="shared" si="1545"/>
        <v/>
      </c>
      <c r="CG508" s="1317" t="str">
        <f t="shared" si="1545"/>
        <v/>
      </c>
      <c r="CH508" s="1318" t="str">
        <f t="shared" si="1545"/>
        <v/>
      </c>
      <c r="CI508" s="1318" t="str">
        <f t="shared" si="1545"/>
        <v/>
      </c>
      <c r="CJ508" s="1317" t="str">
        <f t="shared" si="1545"/>
        <v/>
      </c>
      <c r="CK508" s="1317" t="str">
        <f t="shared" si="1545"/>
        <v/>
      </c>
      <c r="CL508" s="1317" t="str">
        <f t="shared" si="1545"/>
        <v/>
      </c>
      <c r="CM508" s="1316" t="str">
        <f t="shared" si="1545"/>
        <v/>
      </c>
      <c r="CN508" s="538" t="str">
        <f t="shared" si="1489"/>
        <v/>
      </c>
      <c r="CO508" s="539" t="str">
        <f t="shared" si="1490"/>
        <v/>
      </c>
      <c r="CP508" s="539" t="str">
        <f t="shared" si="1491"/>
        <v/>
      </c>
      <c r="CQ508" s="539" t="str">
        <f t="shared" si="1492"/>
        <v/>
      </c>
      <c r="CR508" s="539" t="str">
        <f t="shared" si="1493"/>
        <v/>
      </c>
      <c r="CS508" s="539" t="str">
        <f t="shared" si="1494"/>
        <v/>
      </c>
      <c r="CT508" s="540" t="str">
        <f t="shared" si="1495"/>
        <v/>
      </c>
      <c r="CU508" s="540" t="str">
        <f t="shared" si="1496"/>
        <v/>
      </c>
      <c r="CV508" s="540" t="str">
        <f t="shared" si="1497"/>
        <v/>
      </c>
      <c r="CW508" s="539" t="str">
        <f t="shared" si="1498"/>
        <v/>
      </c>
      <c r="CX508" s="539" t="str">
        <f t="shared" si="1499"/>
        <v/>
      </c>
      <c r="CY508" s="539" t="str">
        <f t="shared" si="1500"/>
        <v/>
      </c>
      <c r="CZ508" s="539" t="str">
        <f t="shared" si="1501"/>
        <v/>
      </c>
      <c r="DA508" s="539" t="str">
        <f t="shared" si="1502"/>
        <v/>
      </c>
      <c r="DB508" s="538" t="str">
        <f t="shared" si="1503"/>
        <v/>
      </c>
      <c r="DC508" s="537" t="str">
        <f t="shared" si="1504"/>
        <v/>
      </c>
      <c r="DD508" s="641">
        <f t="shared" si="1505"/>
        <v>0</v>
      </c>
      <c r="DE508" s="95">
        <f t="shared" si="1506"/>
        <v>0</v>
      </c>
      <c r="DF508" s="95">
        <f t="shared" si="1507"/>
        <v>0</v>
      </c>
      <c r="DG508" s="95">
        <f t="shared" si="1508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2" t="s">
        <v>723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9"/>
        <v>10</v>
      </c>
      <c r="CA509" s="586">
        <f t="shared" si="1530"/>
        <v>10</v>
      </c>
      <c r="CB509" s="586">
        <f t="shared" si="1531"/>
        <v>10</v>
      </c>
      <c r="CC509" s="676">
        <f t="shared" si="1532"/>
        <v>10</v>
      </c>
      <c r="CD509" s="1316">
        <f t="shared" si="1509"/>
        <v>10</v>
      </c>
      <c r="CE509" s="1317">
        <f t="shared" si="1545"/>
        <v>10</v>
      </c>
      <c r="CF509" s="1317">
        <f t="shared" si="1545"/>
        <v>10</v>
      </c>
      <c r="CG509" s="1317">
        <f t="shared" si="1545"/>
        <v>10</v>
      </c>
      <c r="CH509" s="1318">
        <f t="shared" si="1545"/>
        <v>10</v>
      </c>
      <c r="CI509" s="1318">
        <f t="shared" si="1545"/>
        <v>10</v>
      </c>
      <c r="CJ509" s="1317">
        <f t="shared" si="1545"/>
        <v>10</v>
      </c>
      <c r="CK509" s="1317">
        <f t="shared" si="1545"/>
        <v>10</v>
      </c>
      <c r="CL509" s="1317">
        <f t="shared" si="1545"/>
        <v>10</v>
      </c>
      <c r="CM509" s="1316">
        <f t="shared" si="1545"/>
        <v>10</v>
      </c>
      <c r="CN509" s="538" t="str">
        <f t="shared" si="1489"/>
        <v/>
      </c>
      <c r="CO509" s="539" t="str">
        <f t="shared" si="1490"/>
        <v/>
      </c>
      <c r="CP509" s="539" t="str">
        <f t="shared" si="1491"/>
        <v/>
      </c>
      <c r="CQ509" s="539">
        <f t="shared" si="1492"/>
        <v>10</v>
      </c>
      <c r="CR509" s="539">
        <f t="shared" si="1493"/>
        <v>10</v>
      </c>
      <c r="CS509" s="539">
        <f t="shared" si="1494"/>
        <v>10</v>
      </c>
      <c r="CT509" s="540">
        <f t="shared" si="1495"/>
        <v>10</v>
      </c>
      <c r="CU509" s="540">
        <f t="shared" si="1496"/>
        <v>10</v>
      </c>
      <c r="CV509" s="540">
        <f t="shared" si="1497"/>
        <v>10</v>
      </c>
      <c r="CW509" s="539">
        <f t="shared" si="1498"/>
        <v>10</v>
      </c>
      <c r="CX509" s="539">
        <f t="shared" si="1499"/>
        <v>10</v>
      </c>
      <c r="CY509" s="539">
        <f t="shared" si="1500"/>
        <v>10</v>
      </c>
      <c r="CZ509" s="539">
        <f t="shared" si="1501"/>
        <v>10</v>
      </c>
      <c r="DA509" s="539" t="str">
        <f t="shared" si="1502"/>
        <v/>
      </c>
      <c r="DB509" s="538" t="str">
        <f t="shared" si="1503"/>
        <v/>
      </c>
      <c r="DC509" s="537" t="str">
        <f t="shared" si="1504"/>
        <v/>
      </c>
      <c r="DD509" s="641">
        <f t="shared" si="1505"/>
        <v>10</v>
      </c>
      <c r="DE509" s="95">
        <f t="shared" si="1506"/>
        <v>10</v>
      </c>
      <c r="DF509" s="95">
        <f t="shared" si="1507"/>
        <v>10</v>
      </c>
      <c r="DG509" s="95">
        <f t="shared" si="1508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289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9"/>
        <v>11.25</v>
      </c>
      <c r="CA510" s="586">
        <f t="shared" si="1530"/>
        <v>12</v>
      </c>
      <c r="CB510" s="586">
        <f t="shared" si="1531"/>
        <v>11.25</v>
      </c>
      <c r="CC510" s="676">
        <f t="shared" si="1532"/>
        <v>12</v>
      </c>
      <c r="CD510" s="1316">
        <f t="shared" si="1509"/>
        <v>6</v>
      </c>
      <c r="CE510" s="1317">
        <f t="shared" si="1545"/>
        <v>6</v>
      </c>
      <c r="CF510" s="1317">
        <f t="shared" si="1545"/>
        <v>12</v>
      </c>
      <c r="CG510" s="1317">
        <f t="shared" si="1545"/>
        <v>12</v>
      </c>
      <c r="CH510" s="1318">
        <f t="shared" si="1545"/>
        <v>12</v>
      </c>
      <c r="CI510" s="1318">
        <f t="shared" si="1545"/>
        <v>12</v>
      </c>
      <c r="CJ510" s="1317">
        <f t="shared" si="1545"/>
        <v>12</v>
      </c>
      <c r="CK510" s="1317">
        <f t="shared" si="1545"/>
        <v>12</v>
      </c>
      <c r="CL510" s="1317">
        <f t="shared" si="1545"/>
        <v>12</v>
      </c>
      <c r="CM510" s="1316">
        <f t="shared" si="1545"/>
        <v>12</v>
      </c>
      <c r="CN510" s="538" t="str">
        <f t="shared" si="1489"/>
        <v/>
      </c>
      <c r="CO510" s="539" t="str">
        <f t="shared" si="1490"/>
        <v/>
      </c>
      <c r="CP510" s="539" t="str">
        <f t="shared" si="1491"/>
        <v/>
      </c>
      <c r="CQ510" s="539">
        <f t="shared" si="1492"/>
        <v>10</v>
      </c>
      <c r="CR510" s="539">
        <f t="shared" si="1493"/>
        <v>12</v>
      </c>
      <c r="CS510" s="539">
        <f t="shared" si="1494"/>
        <v>12</v>
      </c>
      <c r="CT510" s="540">
        <f t="shared" si="1495"/>
        <v>12</v>
      </c>
      <c r="CU510" s="540">
        <f t="shared" si="1496"/>
        <v>12</v>
      </c>
      <c r="CV510" s="540">
        <f t="shared" si="1497"/>
        <v>12</v>
      </c>
      <c r="CW510" s="539">
        <f t="shared" si="1498"/>
        <v>12</v>
      </c>
      <c r="CX510" s="539">
        <f t="shared" si="1499"/>
        <v>12</v>
      </c>
      <c r="CY510" s="539">
        <f t="shared" si="1500"/>
        <v>12</v>
      </c>
      <c r="CZ510" s="539">
        <f t="shared" si="1501"/>
        <v>12</v>
      </c>
      <c r="DA510" s="539" t="str">
        <f t="shared" si="1502"/>
        <v/>
      </c>
      <c r="DB510" s="538" t="str">
        <f t="shared" si="1503"/>
        <v/>
      </c>
      <c r="DC510" s="537" t="str">
        <f t="shared" si="1504"/>
        <v/>
      </c>
      <c r="DD510" s="641">
        <f t="shared" si="1505"/>
        <v>10</v>
      </c>
      <c r="DE510" s="95">
        <f t="shared" si="1506"/>
        <v>10</v>
      </c>
      <c r="DF510" s="95">
        <f t="shared" si="1507"/>
        <v>10</v>
      </c>
      <c r="DG510" s="95">
        <f t="shared" si="1508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284</v>
      </c>
      <c r="B511" s="747">
        <f>4050*$K$1</f>
        <v>16956.54</v>
      </c>
      <c r="C511" s="747">
        <f t="shared" ref="C511:K511" si="1546">4050*$K$1</f>
        <v>16956.54</v>
      </c>
      <c r="D511" s="747">
        <f t="shared" si="1546"/>
        <v>16956.54</v>
      </c>
      <c r="E511" s="747">
        <f t="shared" si="1546"/>
        <v>16956.54</v>
      </c>
      <c r="F511" s="747">
        <f t="shared" si="1546"/>
        <v>16956.54</v>
      </c>
      <c r="G511" s="747">
        <f t="shared" si="1546"/>
        <v>16956.54</v>
      </c>
      <c r="H511" s="747">
        <f t="shared" si="1546"/>
        <v>16956.54</v>
      </c>
      <c r="I511" s="747">
        <f t="shared" si="1546"/>
        <v>16956.54</v>
      </c>
      <c r="J511" s="747">
        <f t="shared" si="1546"/>
        <v>16956.54</v>
      </c>
      <c r="K511" s="747">
        <f t="shared" si="1546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7">4050*$K$1</f>
        <v>16956.54</v>
      </c>
      <c r="V511" s="747">
        <f t="shared" si="1547"/>
        <v>16956.54</v>
      </c>
      <c r="W511" s="747">
        <f t="shared" si="1547"/>
        <v>16956.54</v>
      </c>
      <c r="X511" s="747">
        <f t="shared" si="1547"/>
        <v>16956.54</v>
      </c>
      <c r="Y511" s="747">
        <f t="shared" si="1547"/>
        <v>16956.54</v>
      </c>
      <c r="Z511" s="747">
        <f t="shared" si="1547"/>
        <v>16956.54</v>
      </c>
      <c r="AA511" s="747">
        <f t="shared" si="1547"/>
        <v>16956.54</v>
      </c>
      <c r="AB511" s="747">
        <f t="shared" si="1547"/>
        <v>16956.54</v>
      </c>
      <c r="AC511" s="747">
        <f t="shared" si="1547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8">4050*$K$1</f>
        <v>16956.54</v>
      </c>
      <c r="AN511" s="747">
        <f t="shared" si="1548"/>
        <v>16956.54</v>
      </c>
      <c r="AO511" s="747">
        <f t="shared" si="1548"/>
        <v>16956.54</v>
      </c>
      <c r="AP511" s="747">
        <f t="shared" si="1548"/>
        <v>16956.54</v>
      </c>
      <c r="AQ511" s="747">
        <f t="shared" si="1548"/>
        <v>16956.54</v>
      </c>
      <c r="AR511" s="747">
        <f t="shared" si="1548"/>
        <v>16956.54</v>
      </c>
      <c r="AS511" s="747">
        <f t="shared" si="1548"/>
        <v>16956.54</v>
      </c>
      <c r="AT511" s="747">
        <f t="shared" si="1548"/>
        <v>16956.54</v>
      </c>
      <c r="AU511" s="747">
        <f t="shared" si="1548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9">4050*$K$1</f>
        <v>16956.54</v>
      </c>
      <c r="BF511" s="747">
        <f t="shared" si="1549"/>
        <v>16956.54</v>
      </c>
      <c r="BG511" s="747">
        <f t="shared" si="1549"/>
        <v>16956.54</v>
      </c>
      <c r="BH511" s="747">
        <f t="shared" si="1549"/>
        <v>16956.54</v>
      </c>
      <c r="BI511" s="747">
        <f t="shared" si="1549"/>
        <v>16956.54</v>
      </c>
      <c r="BJ511" s="747">
        <f t="shared" si="1549"/>
        <v>16956.54</v>
      </c>
      <c r="BK511" s="747">
        <f t="shared" si="1549"/>
        <v>16956.54</v>
      </c>
      <c r="BL511" s="747">
        <f t="shared" si="1549"/>
        <v>16956.54</v>
      </c>
      <c r="BM511" s="747">
        <f t="shared" si="1549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9"/>
        <v>16956.54</v>
      </c>
      <c r="BW511" s="747">
        <f t="shared" si="1549"/>
        <v>16956.54</v>
      </c>
      <c r="BX511" s="747">
        <f t="shared" si="1549"/>
        <v>16956.54</v>
      </c>
      <c r="BY511" s="747">
        <f t="shared" si="1549"/>
        <v>16956.54</v>
      </c>
      <c r="BZ511" s="586">
        <f t="shared" si="1529"/>
        <v>16956.540000000005</v>
      </c>
      <c r="CA511" s="586">
        <f t="shared" si="1530"/>
        <v>16956.540000000005</v>
      </c>
      <c r="CB511" s="586">
        <f t="shared" si="1531"/>
        <v>16956.540000000005</v>
      </c>
      <c r="CC511" s="676">
        <f t="shared" si="1532"/>
        <v>16956.540000000005</v>
      </c>
      <c r="CD511" s="1316">
        <f t="shared" si="1509"/>
        <v>16956.54</v>
      </c>
      <c r="CE511" s="1317">
        <f t="shared" si="1545"/>
        <v>16956.54</v>
      </c>
      <c r="CF511" s="1317">
        <f t="shared" si="1545"/>
        <v>16956.54</v>
      </c>
      <c r="CG511" s="1317">
        <f t="shared" si="1545"/>
        <v>16956.54</v>
      </c>
      <c r="CH511" s="1318">
        <f t="shared" si="1545"/>
        <v>16956.54</v>
      </c>
      <c r="CI511" s="1318">
        <f t="shared" si="1545"/>
        <v>16956.54</v>
      </c>
      <c r="CJ511" s="1317">
        <f t="shared" si="1545"/>
        <v>16956.54</v>
      </c>
      <c r="CK511" s="1317">
        <f t="shared" si="1545"/>
        <v>16956.54</v>
      </c>
      <c r="CL511" s="1317">
        <f t="shared" si="1545"/>
        <v>16956.54</v>
      </c>
      <c r="CM511" s="1316">
        <f t="shared" si="1545"/>
        <v>16956.54</v>
      </c>
      <c r="CN511" s="538" t="str">
        <f t="shared" si="1489"/>
        <v/>
      </c>
      <c r="CO511" s="539" t="str">
        <f t="shared" si="1490"/>
        <v/>
      </c>
      <c r="CP511" s="539" t="str">
        <f t="shared" si="1491"/>
        <v/>
      </c>
      <c r="CQ511" s="539">
        <f t="shared" si="1492"/>
        <v>16956.54</v>
      </c>
      <c r="CR511" s="539">
        <f t="shared" si="1493"/>
        <v>16956.54</v>
      </c>
      <c r="CS511" s="539">
        <f t="shared" si="1494"/>
        <v>16956.54</v>
      </c>
      <c r="CT511" s="540">
        <f t="shared" si="1495"/>
        <v>16956.54</v>
      </c>
      <c r="CU511" s="540">
        <f t="shared" si="1496"/>
        <v>16956.54</v>
      </c>
      <c r="CV511" s="540">
        <f t="shared" si="1497"/>
        <v>16956.54</v>
      </c>
      <c r="CW511" s="539">
        <f t="shared" si="1498"/>
        <v>16956.54</v>
      </c>
      <c r="CX511" s="539">
        <f t="shared" si="1499"/>
        <v>16956.54</v>
      </c>
      <c r="CY511" s="539">
        <f t="shared" si="1500"/>
        <v>16956.54</v>
      </c>
      <c r="CZ511" s="539">
        <f t="shared" si="1501"/>
        <v>16956.54</v>
      </c>
      <c r="DA511" s="539" t="str">
        <f t="shared" si="1502"/>
        <v/>
      </c>
      <c r="DB511" s="538" t="str">
        <f t="shared" si="1503"/>
        <v/>
      </c>
      <c r="DC511" s="537" t="str">
        <f t="shared" si="1504"/>
        <v/>
      </c>
      <c r="DD511" s="641">
        <f t="shared" si="1505"/>
        <v>10</v>
      </c>
      <c r="DE511" s="95">
        <f t="shared" si="1506"/>
        <v>10</v>
      </c>
      <c r="DF511" s="95">
        <f t="shared" si="1507"/>
        <v>10</v>
      </c>
      <c r="DG511" s="95">
        <f t="shared" si="1508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227</v>
      </c>
      <c r="B512" s="749">
        <f t="shared" ref="B512:K512" si="1550">IF(B509="","",B509*B510*B511/B$46/365/$G$1)</f>
        <v>6.3349464508094644E-2</v>
      </c>
      <c r="C512" s="621">
        <f t="shared" si="1550"/>
        <v>9.0499235011563775E-2</v>
      </c>
      <c r="D512" s="749">
        <f t="shared" si="1550"/>
        <v>3.9593415317559152E-2</v>
      </c>
      <c r="E512" s="621">
        <f t="shared" si="1550"/>
        <v>6.3349464508094644E-2</v>
      </c>
      <c r="F512" s="749">
        <f t="shared" si="1550"/>
        <v>9.0499235011563775E-2</v>
      </c>
      <c r="G512" s="621">
        <f t="shared" si="1550"/>
        <v>7.9186830635118305E-2</v>
      </c>
      <c r="H512" s="621">
        <f t="shared" si="1550"/>
        <v>7.0388293897882939E-2</v>
      </c>
      <c r="I512" s="749">
        <f t="shared" si="1550"/>
        <v>6.3349464508094644E-2</v>
      </c>
      <c r="J512" s="749">
        <f t="shared" si="1550"/>
        <v>7.9186830635118305E-2</v>
      </c>
      <c r="K512" s="621">
        <f t="shared" si="1550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51">IF(T509="","",T509*T510*T511/T$46/365/$G$1)</f>
        <v>7.9186830635118305E-2</v>
      </c>
      <c r="U512" s="621">
        <f t="shared" si="1551"/>
        <v>9.0499235011563775E-2</v>
      </c>
      <c r="V512" s="621">
        <f t="shared" si="1551"/>
        <v>7.0388293897882939E-2</v>
      </c>
      <c r="W512" s="621">
        <f t="shared" si="1551"/>
        <v>6.3349464508094644E-2</v>
      </c>
      <c r="X512" s="621">
        <f t="shared" si="1551"/>
        <v>7.9186830635118305E-2</v>
      </c>
      <c r="Y512" s="621">
        <f t="shared" si="1551"/>
        <v>6.3349464508094644E-2</v>
      </c>
      <c r="Z512" s="621">
        <f t="shared" si="1551"/>
        <v>7.0388293897882944E-3</v>
      </c>
      <c r="AA512" s="621">
        <f t="shared" si="1551"/>
        <v>6.3349464508094644E-2</v>
      </c>
      <c r="AB512" s="621">
        <f t="shared" si="1551"/>
        <v>7.9186830635118305E-2</v>
      </c>
      <c r="AC512" s="621">
        <f t="shared" si="1551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2">IF(AL509="","",AL509*AL510*AL511/AL$46/365/$G$1)</f>
        <v>9.0499235011563775E-2</v>
      </c>
      <c r="AM512" s="621">
        <f t="shared" si="1552"/>
        <v>7.9186830635118305E-2</v>
      </c>
      <c r="AN512" s="621">
        <f t="shared" si="1552"/>
        <v>0.12669892901618929</v>
      </c>
      <c r="AO512" s="621">
        <f t="shared" si="1552"/>
        <v>6.3349464508094644E-2</v>
      </c>
      <c r="AP512" s="621">
        <f t="shared" si="1552"/>
        <v>6.3349464508094644E-2</v>
      </c>
      <c r="AQ512" s="621">
        <f t="shared" si="1552"/>
        <v>6.3349464508094644E-2</v>
      </c>
      <c r="AR512" s="621">
        <f t="shared" si="1552"/>
        <v>9.0499235011563775E-2</v>
      </c>
      <c r="AS512" s="621">
        <f t="shared" si="1552"/>
        <v>6.3349464508094644E-2</v>
      </c>
      <c r="AT512" s="621">
        <f t="shared" si="1552"/>
        <v>6.3349464508094644E-2</v>
      </c>
      <c r="AU512" s="621">
        <f t="shared" si="1552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3">IF(BD509="","",BD509*BD510*BD511/BD$46/365/$G$1)</f>
        <v>5.2791220423412201E-2</v>
      </c>
      <c r="BE512" s="621">
        <f t="shared" si="1553"/>
        <v>7.9186830635118305E-2</v>
      </c>
      <c r="BF512" s="621">
        <f t="shared" si="1553"/>
        <v>5.2791220423412201E-2</v>
      </c>
      <c r="BG512" s="621">
        <f t="shared" si="1553"/>
        <v>9.0499235011563775E-2</v>
      </c>
      <c r="BH512" s="621">
        <f t="shared" si="1553"/>
        <v>5.7590422280086047E-2</v>
      </c>
      <c r="BI512" s="621">
        <f t="shared" si="1553"/>
        <v>5.2791220423412201E-2</v>
      </c>
      <c r="BJ512" s="621">
        <f t="shared" si="1553"/>
        <v>7.9186830635118305E-2</v>
      </c>
      <c r="BK512" s="621">
        <f t="shared" si="1553"/>
        <v>9.0499235011563775E-2</v>
      </c>
      <c r="BL512" s="621">
        <f t="shared" si="1553"/>
        <v>5.7590422280086047E-2</v>
      </c>
      <c r="BM512" s="621">
        <f t="shared" si="1553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9"/>
        <v>7.4976102339441381E-2</v>
      </c>
      <c r="CA512" s="611">
        <f t="shared" si="1530"/>
        <v>7.1231487001868002E-2</v>
      </c>
      <c r="CB512" s="611">
        <f t="shared" si="1531"/>
        <v>7.2116577899839884E-2</v>
      </c>
      <c r="CC512" s="679">
        <f t="shared" si="1532"/>
        <v>7.0016927087545075E-2</v>
      </c>
      <c r="CD512" s="1319">
        <f t="shared" si="1509"/>
        <v>6.3349464508094644E-2</v>
      </c>
      <c r="CE512" s="1320">
        <f t="shared" si="1545"/>
        <v>6.3349464508094644E-2</v>
      </c>
      <c r="CF512" s="1320">
        <f t="shared" si="1545"/>
        <v>6.3349464508094644E-2</v>
      </c>
      <c r="CG512" s="1320">
        <f t="shared" si="1545"/>
        <v>6.3349464508094644E-2</v>
      </c>
      <c r="CH512" s="1321">
        <f t="shared" si="1545"/>
        <v>6.3349464508094644E-2</v>
      </c>
      <c r="CI512" s="1321">
        <f t="shared" si="1545"/>
        <v>6.3349464508094644E-2</v>
      </c>
      <c r="CJ512" s="1320">
        <f t="shared" si="1545"/>
        <v>7.9186830635118305E-2</v>
      </c>
      <c r="CK512" s="1320">
        <f t="shared" si="1545"/>
        <v>9.0499235011563775E-2</v>
      </c>
      <c r="CL512" s="1320">
        <f t="shared" si="1545"/>
        <v>9.0499235011563775E-2</v>
      </c>
      <c r="CM512" s="1319">
        <f t="shared" si="1545"/>
        <v>0.12669892901618929</v>
      </c>
      <c r="CN512" s="526" t="str">
        <f t="shared" si="1489"/>
        <v/>
      </c>
      <c r="CO512" s="527" t="str">
        <f t="shared" si="1490"/>
        <v/>
      </c>
      <c r="CP512" s="527" t="str">
        <f t="shared" si="1491"/>
        <v/>
      </c>
      <c r="CQ512" s="527">
        <f t="shared" si="1492"/>
        <v>5.2791220423412201E-2</v>
      </c>
      <c r="CR512" s="527">
        <f t="shared" si="1493"/>
        <v>5.2791220423412201E-2</v>
      </c>
      <c r="CS512" s="527">
        <f t="shared" si="1494"/>
        <v>5.2791220423412201E-2</v>
      </c>
      <c r="CT512" s="528">
        <f t="shared" si="1495"/>
        <v>5.7590422280086047E-2</v>
      </c>
      <c r="CU512" s="528">
        <f t="shared" si="1496"/>
        <v>5.7590422280086047E-2</v>
      </c>
      <c r="CV512" s="528">
        <f t="shared" si="1497"/>
        <v>7.9186830635118305E-2</v>
      </c>
      <c r="CW512" s="527">
        <f t="shared" si="1498"/>
        <v>7.9186830635118305E-2</v>
      </c>
      <c r="CX512" s="527">
        <f t="shared" si="1499"/>
        <v>9.0499235011563775E-2</v>
      </c>
      <c r="CY512" s="527">
        <f t="shared" si="1500"/>
        <v>9.0499235011563775E-2</v>
      </c>
      <c r="CZ512" s="527">
        <f t="shared" si="1501"/>
        <v>9.0499235011563775E-2</v>
      </c>
      <c r="DA512" s="527" t="str">
        <f t="shared" si="1502"/>
        <v/>
      </c>
      <c r="DB512" s="526" t="str">
        <f t="shared" si="1503"/>
        <v/>
      </c>
      <c r="DC512" s="525" t="str">
        <f t="shared" si="1504"/>
        <v/>
      </c>
      <c r="DD512" s="641">
        <f t="shared" si="1505"/>
        <v>10</v>
      </c>
      <c r="DE512" s="95">
        <f t="shared" si="1506"/>
        <v>10</v>
      </c>
      <c r="DF512" s="95">
        <f t="shared" si="1507"/>
        <v>10</v>
      </c>
      <c r="DG512" s="95">
        <f t="shared" si="1508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1" t="s">
        <v>288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9"/>
        <v>6.625</v>
      </c>
      <c r="CA513" s="586">
        <f t="shared" si="1530"/>
        <v>8.0625</v>
      </c>
      <c r="CB513" s="586">
        <f t="shared" si="1531"/>
        <v>7.6875</v>
      </c>
      <c r="CC513" s="676">
        <f t="shared" si="1532"/>
        <v>7.3000000000000007</v>
      </c>
      <c r="CD513" s="1316">
        <f t="shared" si="1509"/>
        <v>6</v>
      </c>
      <c r="CE513" s="1317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17">
        <f t="shared" si="1554"/>
        <v>7</v>
      </c>
      <c r="CG513" s="1317">
        <f t="shared" si="1554"/>
        <v>7</v>
      </c>
      <c r="CH513" s="1318">
        <f t="shared" si="1554"/>
        <v>8</v>
      </c>
      <c r="CI513" s="1318">
        <f t="shared" si="1554"/>
        <v>8</v>
      </c>
      <c r="CJ513" s="1317">
        <f t="shared" si="1554"/>
        <v>8</v>
      </c>
      <c r="CK513" s="1317">
        <f t="shared" si="1554"/>
        <v>8.5</v>
      </c>
      <c r="CL513" s="1317">
        <f t="shared" si="1554"/>
        <v>9</v>
      </c>
      <c r="CM513" s="1316">
        <f t="shared" si="1554"/>
        <v>9</v>
      </c>
      <c r="CN513" s="538" t="str">
        <f t="shared" si="1489"/>
        <v/>
      </c>
      <c r="CO513" s="539" t="str">
        <f t="shared" si="1490"/>
        <v/>
      </c>
      <c r="CP513" s="539" t="str">
        <f t="shared" si="1491"/>
        <v/>
      </c>
      <c r="CQ513" s="539">
        <f t="shared" si="1492"/>
        <v>5</v>
      </c>
      <c r="CR513" s="539">
        <f t="shared" si="1493"/>
        <v>6</v>
      </c>
      <c r="CS513" s="539">
        <f t="shared" si="1494"/>
        <v>6</v>
      </c>
      <c r="CT513" s="540">
        <f t="shared" si="1495"/>
        <v>6</v>
      </c>
      <c r="CU513" s="540">
        <f t="shared" si="1496"/>
        <v>6.2</v>
      </c>
      <c r="CV513" s="540">
        <f t="shared" si="1497"/>
        <v>7</v>
      </c>
      <c r="CW513" s="539">
        <f t="shared" si="1498"/>
        <v>8</v>
      </c>
      <c r="CX513" s="539">
        <f t="shared" si="1499"/>
        <v>9.5</v>
      </c>
      <c r="CY513" s="539">
        <f t="shared" si="1500"/>
        <v>9.6999999999999993</v>
      </c>
      <c r="CZ513" s="539">
        <f t="shared" si="1501"/>
        <v>10</v>
      </c>
      <c r="DA513" s="539" t="str">
        <f t="shared" si="1502"/>
        <v/>
      </c>
      <c r="DB513" s="538" t="str">
        <f t="shared" si="1503"/>
        <v/>
      </c>
      <c r="DC513" s="537" t="str">
        <f t="shared" si="1504"/>
        <v/>
      </c>
      <c r="DD513" s="641">
        <f t="shared" si="1505"/>
        <v>10</v>
      </c>
      <c r="DE513" s="95">
        <f t="shared" si="1506"/>
        <v>10</v>
      </c>
      <c r="DF513" s="95">
        <f t="shared" si="1507"/>
        <v>10</v>
      </c>
      <c r="DG513" s="95">
        <f t="shared" si="1508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286</v>
      </c>
      <c r="B514" s="746">
        <f t="shared" ref="B514:K514" si="1555">IF(B513="","",B509*B510*B513)</f>
        <v>840</v>
      </c>
      <c r="C514" s="746">
        <f t="shared" si="1555"/>
        <v>960</v>
      </c>
      <c r="D514" s="746">
        <f t="shared" si="1555"/>
        <v>480</v>
      </c>
      <c r="E514" s="746">
        <f t="shared" si="1555"/>
        <v>660</v>
      </c>
      <c r="F514" s="746">
        <f t="shared" si="1555"/>
        <v>720</v>
      </c>
      <c r="G514" s="746">
        <f t="shared" si="1555"/>
        <v>960</v>
      </c>
      <c r="H514" s="746">
        <f t="shared" si="1555"/>
        <v>720</v>
      </c>
      <c r="I514" s="746">
        <f t="shared" si="1555"/>
        <v>360</v>
      </c>
      <c r="J514" s="746">
        <f t="shared" si="1555"/>
        <v>660</v>
      </c>
      <c r="K514" s="746">
        <f t="shared" si="1555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6">IF(T513="","",T509*T510*T513)</f>
        <v>600</v>
      </c>
      <c r="U514" s="746">
        <f t="shared" si="1556"/>
        <v>720</v>
      </c>
      <c r="V514" s="746">
        <f t="shared" si="1556"/>
        <v>900</v>
      </c>
      <c r="W514" s="746">
        <f t="shared" si="1556"/>
        <v>840</v>
      </c>
      <c r="X514" s="746">
        <f t="shared" si="1556"/>
        <v>1020</v>
      </c>
      <c r="Y514" s="746">
        <f t="shared" si="1556"/>
        <v>1020</v>
      </c>
      <c r="Z514" s="746">
        <f t="shared" si="1556"/>
        <v>108</v>
      </c>
      <c r="AA514" s="746">
        <f t="shared" si="1556"/>
        <v>1080</v>
      </c>
      <c r="AB514" s="746">
        <f t="shared" si="1556"/>
        <v>1140</v>
      </c>
      <c r="AC514" s="746">
        <f t="shared" si="1556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7">IF(AL513="","",AL509*AL510*AL513)</f>
        <v>1020</v>
      </c>
      <c r="AM514" s="746">
        <f t="shared" si="1557"/>
        <v>1080</v>
      </c>
      <c r="AN514" s="746">
        <f t="shared" si="1557"/>
        <v>840</v>
      </c>
      <c r="AO514" s="746">
        <f t="shared" si="1557"/>
        <v>720</v>
      </c>
      <c r="AP514" s="746">
        <f t="shared" si="1557"/>
        <v>840</v>
      </c>
      <c r="AQ514" s="746">
        <f t="shared" si="1557"/>
        <v>480</v>
      </c>
      <c r="AR514" s="746">
        <f t="shared" si="1557"/>
        <v>960</v>
      </c>
      <c r="AS514" s="746">
        <f t="shared" si="1557"/>
        <v>720</v>
      </c>
      <c r="AT514" s="746">
        <f t="shared" si="1557"/>
        <v>540</v>
      </c>
      <c r="AU514" s="746">
        <f t="shared" si="1557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8">IF(BD513="","",BD509*BD510*BD513)</f>
        <v>960</v>
      </c>
      <c r="BE514" s="746">
        <f t="shared" si="1558"/>
        <v>720</v>
      </c>
      <c r="BF514" s="746">
        <f t="shared" si="1558"/>
        <v>1140</v>
      </c>
      <c r="BG514" s="746">
        <f t="shared" si="1558"/>
        <v>600</v>
      </c>
      <c r="BH514" s="746">
        <f t="shared" si="1558"/>
        <v>720</v>
      </c>
      <c r="BI514" s="746">
        <f t="shared" si="1558"/>
        <v>1000</v>
      </c>
      <c r="BJ514" s="746">
        <f t="shared" si="1558"/>
        <v>720</v>
      </c>
      <c r="BK514" s="746">
        <f t="shared" si="1558"/>
        <v>1164</v>
      </c>
      <c r="BL514" s="746">
        <f t="shared" si="1558"/>
        <v>744</v>
      </c>
      <c r="BM514" s="746">
        <f t="shared" si="1558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9"/>
        <v>727.5</v>
      </c>
      <c r="CA514" s="586">
        <f t="shared" si="1530"/>
        <v>910.3125</v>
      </c>
      <c r="CB514" s="586">
        <f t="shared" si="1531"/>
        <v>825</v>
      </c>
      <c r="CC514" s="676">
        <f t="shared" si="1532"/>
        <v>855.5</v>
      </c>
      <c r="CD514" s="1316">
        <f t="shared" si="1509"/>
        <v>480</v>
      </c>
      <c r="CE514" s="1317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317">
        <f t="shared" si="1559"/>
        <v>720</v>
      </c>
      <c r="CG514" s="1317">
        <f t="shared" si="1559"/>
        <v>720</v>
      </c>
      <c r="CH514" s="1318">
        <f t="shared" si="1559"/>
        <v>840</v>
      </c>
      <c r="CI514" s="1318">
        <f t="shared" si="1559"/>
        <v>840</v>
      </c>
      <c r="CJ514" s="1317">
        <f t="shared" si="1559"/>
        <v>960</v>
      </c>
      <c r="CK514" s="1317">
        <f t="shared" si="1559"/>
        <v>960</v>
      </c>
      <c r="CL514" s="1317">
        <f t="shared" si="1559"/>
        <v>1020</v>
      </c>
      <c r="CM514" s="1316">
        <f t="shared" si="1559"/>
        <v>1080</v>
      </c>
      <c r="CN514" s="538" t="str">
        <f t="shared" si="1489"/>
        <v/>
      </c>
      <c r="CO514" s="539" t="str">
        <f t="shared" si="1490"/>
        <v/>
      </c>
      <c r="CP514" s="539" t="str">
        <f t="shared" si="1491"/>
        <v/>
      </c>
      <c r="CQ514" s="539">
        <f t="shared" si="1492"/>
        <v>600</v>
      </c>
      <c r="CR514" s="539">
        <f t="shared" si="1493"/>
        <v>720</v>
      </c>
      <c r="CS514" s="539">
        <f t="shared" si="1494"/>
        <v>720</v>
      </c>
      <c r="CT514" s="540">
        <f t="shared" si="1495"/>
        <v>720</v>
      </c>
      <c r="CU514" s="540">
        <f t="shared" si="1496"/>
        <v>744</v>
      </c>
      <c r="CV514" s="540">
        <f t="shared" si="1497"/>
        <v>840</v>
      </c>
      <c r="CW514" s="539">
        <f t="shared" si="1498"/>
        <v>960</v>
      </c>
      <c r="CX514" s="539">
        <f t="shared" si="1499"/>
        <v>1000</v>
      </c>
      <c r="CY514" s="539">
        <f t="shared" si="1500"/>
        <v>1140</v>
      </c>
      <c r="CZ514" s="539">
        <f t="shared" si="1501"/>
        <v>1164</v>
      </c>
      <c r="DA514" s="539" t="str">
        <f t="shared" si="1502"/>
        <v/>
      </c>
      <c r="DB514" s="538" t="str">
        <f t="shared" si="1503"/>
        <v/>
      </c>
      <c r="DC514" s="537" t="str">
        <f t="shared" si="1504"/>
        <v/>
      </c>
      <c r="DD514" s="641">
        <f t="shared" si="1505"/>
        <v>10</v>
      </c>
      <c r="DE514" s="95">
        <f t="shared" si="1506"/>
        <v>10</v>
      </c>
      <c r="DF514" s="95">
        <f t="shared" si="1507"/>
        <v>10</v>
      </c>
      <c r="DG514" s="95">
        <f t="shared" si="1508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394" t="s">
        <v>290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9"/>
        <v>5</v>
      </c>
      <c r="CA515" s="586">
        <f t="shared" si="1530"/>
        <v>5</v>
      </c>
      <c r="CB515" s="586">
        <f t="shared" si="1531"/>
        <v>5</v>
      </c>
      <c r="CC515" s="676">
        <f t="shared" si="1532"/>
        <v>5</v>
      </c>
      <c r="CD515" s="1316">
        <f t="shared" si="1509"/>
        <v>5</v>
      </c>
      <c r="CE515" s="1317">
        <f t="shared" si="1559"/>
        <v>5</v>
      </c>
      <c r="CF515" s="1317">
        <f t="shared" si="1559"/>
        <v>5</v>
      </c>
      <c r="CG515" s="1317">
        <f t="shared" si="1559"/>
        <v>5</v>
      </c>
      <c r="CH515" s="1318">
        <f t="shared" si="1559"/>
        <v>5</v>
      </c>
      <c r="CI515" s="1318">
        <f t="shared" si="1559"/>
        <v>5</v>
      </c>
      <c r="CJ515" s="1317">
        <f t="shared" si="1559"/>
        <v>5</v>
      </c>
      <c r="CK515" s="1317">
        <f t="shared" si="1559"/>
        <v>5</v>
      </c>
      <c r="CL515" s="1317">
        <f t="shared" si="1559"/>
        <v>5</v>
      </c>
      <c r="CM515" s="1316">
        <f t="shared" si="1559"/>
        <v>5</v>
      </c>
      <c r="CN515" s="538" t="str">
        <f t="shared" si="1489"/>
        <v/>
      </c>
      <c r="CO515" s="539" t="str">
        <f t="shared" si="1490"/>
        <v/>
      </c>
      <c r="CP515" s="539" t="str">
        <f t="shared" si="1491"/>
        <v/>
      </c>
      <c r="CQ515" s="539">
        <f t="shared" si="1492"/>
        <v>5</v>
      </c>
      <c r="CR515" s="539">
        <f t="shared" si="1493"/>
        <v>5</v>
      </c>
      <c r="CS515" s="539">
        <f t="shared" si="1494"/>
        <v>5</v>
      </c>
      <c r="CT515" s="540">
        <f t="shared" si="1495"/>
        <v>5</v>
      </c>
      <c r="CU515" s="540">
        <f t="shared" si="1496"/>
        <v>5</v>
      </c>
      <c r="CV515" s="540">
        <f t="shared" si="1497"/>
        <v>5</v>
      </c>
      <c r="CW515" s="539">
        <f t="shared" si="1498"/>
        <v>5</v>
      </c>
      <c r="CX515" s="539">
        <f t="shared" si="1499"/>
        <v>5</v>
      </c>
      <c r="CY515" s="539">
        <f t="shared" si="1500"/>
        <v>5</v>
      </c>
      <c r="CZ515" s="539">
        <f t="shared" si="1501"/>
        <v>5</v>
      </c>
      <c r="DA515" s="539" t="str">
        <f t="shared" si="1502"/>
        <v/>
      </c>
      <c r="DB515" s="538" t="str">
        <f t="shared" si="1503"/>
        <v/>
      </c>
      <c r="DC515" s="537" t="str">
        <f t="shared" si="1504"/>
        <v/>
      </c>
      <c r="DD515" s="641">
        <f t="shared" si="1505"/>
        <v>10</v>
      </c>
      <c r="DE515" s="95">
        <f t="shared" si="1506"/>
        <v>10</v>
      </c>
      <c r="DF515" s="95">
        <f t="shared" si="1507"/>
        <v>10</v>
      </c>
      <c r="DG515" s="95">
        <f t="shared" si="1508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289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9"/>
        <v>11.25</v>
      </c>
      <c r="CA516" s="586">
        <f t="shared" si="1530"/>
        <v>12</v>
      </c>
      <c r="CB516" s="586">
        <f t="shared" si="1531"/>
        <v>11.625</v>
      </c>
      <c r="CC516" s="676">
        <f t="shared" si="1532"/>
        <v>12</v>
      </c>
      <c r="CD516" s="1316">
        <f t="shared" si="1509"/>
        <v>6</v>
      </c>
      <c r="CE516" s="1317">
        <f t="shared" si="1559"/>
        <v>9</v>
      </c>
      <c r="CF516" s="1317">
        <f t="shared" si="1559"/>
        <v>12</v>
      </c>
      <c r="CG516" s="1317">
        <f t="shared" si="1559"/>
        <v>12</v>
      </c>
      <c r="CH516" s="1318">
        <f t="shared" si="1559"/>
        <v>12</v>
      </c>
      <c r="CI516" s="1318">
        <f t="shared" si="1559"/>
        <v>12</v>
      </c>
      <c r="CJ516" s="1317">
        <f t="shared" si="1559"/>
        <v>12</v>
      </c>
      <c r="CK516" s="1317">
        <f t="shared" si="1559"/>
        <v>12</v>
      </c>
      <c r="CL516" s="1317">
        <f t="shared" si="1559"/>
        <v>12</v>
      </c>
      <c r="CM516" s="1316">
        <f t="shared" si="1559"/>
        <v>12</v>
      </c>
      <c r="CN516" s="538" t="str">
        <f t="shared" si="1489"/>
        <v/>
      </c>
      <c r="CO516" s="539" t="str">
        <f t="shared" si="1490"/>
        <v/>
      </c>
      <c r="CP516" s="539" t="str">
        <f t="shared" si="1491"/>
        <v/>
      </c>
      <c r="CQ516" s="539">
        <f t="shared" si="1492"/>
        <v>10</v>
      </c>
      <c r="CR516" s="539">
        <f t="shared" si="1493"/>
        <v>12</v>
      </c>
      <c r="CS516" s="539">
        <f t="shared" si="1494"/>
        <v>12</v>
      </c>
      <c r="CT516" s="540">
        <f t="shared" si="1495"/>
        <v>12</v>
      </c>
      <c r="CU516" s="540">
        <f t="shared" si="1496"/>
        <v>12</v>
      </c>
      <c r="CV516" s="540">
        <f t="shared" si="1497"/>
        <v>12</v>
      </c>
      <c r="CW516" s="539">
        <f t="shared" si="1498"/>
        <v>12</v>
      </c>
      <c r="CX516" s="539">
        <f t="shared" si="1499"/>
        <v>12</v>
      </c>
      <c r="CY516" s="539">
        <f t="shared" si="1500"/>
        <v>12</v>
      </c>
      <c r="CZ516" s="539">
        <f t="shared" si="1501"/>
        <v>12</v>
      </c>
      <c r="DA516" s="539" t="str">
        <f t="shared" si="1502"/>
        <v/>
      </c>
      <c r="DB516" s="538" t="str">
        <f t="shared" si="1503"/>
        <v/>
      </c>
      <c r="DC516" s="537" t="str">
        <f t="shared" si="1504"/>
        <v/>
      </c>
      <c r="DD516" s="641">
        <f t="shared" si="1505"/>
        <v>10</v>
      </c>
      <c r="DE516" s="95">
        <f t="shared" si="1506"/>
        <v>10</v>
      </c>
      <c r="DF516" s="95">
        <f t="shared" si="1507"/>
        <v>10</v>
      </c>
      <c r="DG516" s="95">
        <f t="shared" si="1508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284</v>
      </c>
      <c r="B517" s="747">
        <f>9000*$K$1</f>
        <v>37681.199999999997</v>
      </c>
      <c r="C517" s="747">
        <f t="shared" ref="C517:K517" si="1560">9000*$K$1</f>
        <v>37681.199999999997</v>
      </c>
      <c r="D517" s="747">
        <f t="shared" si="1560"/>
        <v>37681.199999999997</v>
      </c>
      <c r="E517" s="747">
        <f t="shared" si="1560"/>
        <v>37681.199999999997</v>
      </c>
      <c r="F517" s="747">
        <f t="shared" si="1560"/>
        <v>37681.199999999997</v>
      </c>
      <c r="G517" s="747">
        <f t="shared" si="1560"/>
        <v>37681.199999999997</v>
      </c>
      <c r="H517" s="747">
        <f t="shared" si="1560"/>
        <v>37681.199999999997</v>
      </c>
      <c r="I517" s="747">
        <f t="shared" si="1560"/>
        <v>37681.199999999997</v>
      </c>
      <c r="J517" s="747">
        <f t="shared" si="1560"/>
        <v>37681.199999999997</v>
      </c>
      <c r="K517" s="747">
        <f t="shared" si="1560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61">9000*$K$1</f>
        <v>37681.199999999997</v>
      </c>
      <c r="V517" s="747">
        <f t="shared" si="1561"/>
        <v>37681.199999999997</v>
      </c>
      <c r="W517" s="747">
        <f t="shared" si="1561"/>
        <v>37681.199999999997</v>
      </c>
      <c r="X517" s="747">
        <f t="shared" si="1561"/>
        <v>37681.199999999997</v>
      </c>
      <c r="Y517" s="747">
        <f t="shared" si="1561"/>
        <v>37681.199999999997</v>
      </c>
      <c r="Z517" s="747">
        <f t="shared" si="1561"/>
        <v>37681.199999999997</v>
      </c>
      <c r="AA517" s="747">
        <f t="shared" si="1561"/>
        <v>37681.199999999997</v>
      </c>
      <c r="AB517" s="747">
        <f t="shared" si="1561"/>
        <v>37681.199999999997</v>
      </c>
      <c r="AC517" s="747">
        <f t="shared" si="1561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2">9000*$K$1</f>
        <v>37681.199999999997</v>
      </c>
      <c r="AN517" s="747">
        <f t="shared" si="1562"/>
        <v>37681.199999999997</v>
      </c>
      <c r="AO517" s="747">
        <f t="shared" si="1562"/>
        <v>37681.199999999997</v>
      </c>
      <c r="AP517" s="747">
        <f t="shared" si="1562"/>
        <v>37681.199999999997</v>
      </c>
      <c r="AQ517" s="747">
        <f t="shared" si="1562"/>
        <v>37681.199999999997</v>
      </c>
      <c r="AR517" s="747">
        <f t="shared" si="1562"/>
        <v>37681.199999999997</v>
      </c>
      <c r="AS517" s="747">
        <f t="shared" si="1562"/>
        <v>37681.199999999997</v>
      </c>
      <c r="AT517" s="747">
        <f t="shared" si="1562"/>
        <v>37681.199999999997</v>
      </c>
      <c r="AU517" s="747">
        <f t="shared" si="1562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3">9000*$K$1</f>
        <v>37681.199999999997</v>
      </c>
      <c r="BF517" s="747">
        <f t="shared" si="1563"/>
        <v>37681.199999999997</v>
      </c>
      <c r="BG517" s="747">
        <f t="shared" si="1563"/>
        <v>37681.199999999997</v>
      </c>
      <c r="BH517" s="747">
        <f t="shared" si="1563"/>
        <v>37681.199999999997</v>
      </c>
      <c r="BI517" s="747">
        <f t="shared" si="1563"/>
        <v>37681.199999999997</v>
      </c>
      <c r="BJ517" s="747">
        <f t="shared" si="1563"/>
        <v>37681.199999999997</v>
      </c>
      <c r="BK517" s="747">
        <f t="shared" si="1563"/>
        <v>37681.199999999997</v>
      </c>
      <c r="BL517" s="747">
        <f t="shared" si="1563"/>
        <v>37681.199999999997</v>
      </c>
      <c r="BM517" s="747">
        <f t="shared" si="1563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3"/>
        <v>37681.199999999997</v>
      </c>
      <c r="BW517" s="747">
        <f t="shared" si="1563"/>
        <v>37681.199999999997</v>
      </c>
      <c r="BX517" s="747">
        <f t="shared" si="1563"/>
        <v>37681.199999999997</v>
      </c>
      <c r="BY517" s="747">
        <f t="shared" si="1563"/>
        <v>37681.199999999997</v>
      </c>
      <c r="BZ517" s="586">
        <f t="shared" si="1529"/>
        <v>37681.200000000004</v>
      </c>
      <c r="CA517" s="586">
        <f t="shared" si="1530"/>
        <v>37681.200000000004</v>
      </c>
      <c r="CB517" s="586">
        <f t="shared" si="1531"/>
        <v>37681.200000000004</v>
      </c>
      <c r="CC517" s="676">
        <f t="shared" si="1532"/>
        <v>37681.200000000004</v>
      </c>
      <c r="CD517" s="1316">
        <f t="shared" si="1509"/>
        <v>37681.199999999997</v>
      </c>
      <c r="CE517" s="1317">
        <f t="shared" si="1559"/>
        <v>37681.199999999997</v>
      </c>
      <c r="CF517" s="1317">
        <f t="shared" si="1559"/>
        <v>37681.199999999997</v>
      </c>
      <c r="CG517" s="1317">
        <f t="shared" si="1559"/>
        <v>37681.199999999997</v>
      </c>
      <c r="CH517" s="1318">
        <f t="shared" si="1559"/>
        <v>37681.199999999997</v>
      </c>
      <c r="CI517" s="1318">
        <f t="shared" si="1559"/>
        <v>37681.199999999997</v>
      </c>
      <c r="CJ517" s="1317">
        <f t="shared" si="1559"/>
        <v>37681.199999999997</v>
      </c>
      <c r="CK517" s="1317">
        <f t="shared" si="1559"/>
        <v>37681.199999999997</v>
      </c>
      <c r="CL517" s="1317">
        <f t="shared" si="1559"/>
        <v>37681.199999999997</v>
      </c>
      <c r="CM517" s="1316">
        <f t="shared" si="1559"/>
        <v>37681.199999999997</v>
      </c>
      <c r="CN517" s="538" t="str">
        <f t="shared" si="1489"/>
        <v/>
      </c>
      <c r="CO517" s="539" t="str">
        <f t="shared" si="1490"/>
        <v/>
      </c>
      <c r="CP517" s="539" t="str">
        <f t="shared" si="1491"/>
        <v/>
      </c>
      <c r="CQ517" s="539">
        <f t="shared" si="1492"/>
        <v>37681.199999999997</v>
      </c>
      <c r="CR517" s="539">
        <f t="shared" si="1493"/>
        <v>37681.199999999997</v>
      </c>
      <c r="CS517" s="539">
        <f t="shared" si="1494"/>
        <v>37681.199999999997</v>
      </c>
      <c r="CT517" s="540">
        <f t="shared" si="1495"/>
        <v>37681.199999999997</v>
      </c>
      <c r="CU517" s="540">
        <f t="shared" si="1496"/>
        <v>37681.199999999997</v>
      </c>
      <c r="CV517" s="540">
        <f t="shared" si="1497"/>
        <v>37681.199999999997</v>
      </c>
      <c r="CW517" s="539">
        <f t="shared" si="1498"/>
        <v>37681.199999999997</v>
      </c>
      <c r="CX517" s="539">
        <f t="shared" si="1499"/>
        <v>37681.199999999997</v>
      </c>
      <c r="CY517" s="539">
        <f t="shared" si="1500"/>
        <v>37681.199999999997</v>
      </c>
      <c r="CZ517" s="539">
        <f t="shared" si="1501"/>
        <v>37681.199999999997</v>
      </c>
      <c r="DA517" s="539" t="str">
        <f t="shared" si="1502"/>
        <v/>
      </c>
      <c r="DB517" s="538" t="str">
        <f t="shared" si="1503"/>
        <v/>
      </c>
      <c r="DC517" s="537" t="str">
        <f t="shared" si="1504"/>
        <v/>
      </c>
      <c r="DD517" s="641">
        <f t="shared" si="1505"/>
        <v>10</v>
      </c>
      <c r="DE517" s="95">
        <f t="shared" si="1506"/>
        <v>10</v>
      </c>
      <c r="DF517" s="95">
        <f t="shared" si="1507"/>
        <v>10</v>
      </c>
      <c r="DG517" s="95">
        <f t="shared" si="1508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227</v>
      </c>
      <c r="B518" s="749">
        <f t="shared" ref="B518:K518" si="1564">IF(B515="","",B515*B516*B517/B$46/365/$G$1)</f>
        <v>7.0388293897882939E-2</v>
      </c>
      <c r="C518" s="621">
        <f t="shared" si="1564"/>
        <v>0.10055470556840419</v>
      </c>
      <c r="D518" s="749">
        <f t="shared" si="1564"/>
        <v>4.3992683686176835E-2</v>
      </c>
      <c r="E518" s="621">
        <f t="shared" si="1564"/>
        <v>7.0388293897882939E-2</v>
      </c>
      <c r="F518" s="749">
        <f t="shared" si="1564"/>
        <v>0.10055470556840419</v>
      </c>
      <c r="G518" s="621">
        <f t="shared" si="1564"/>
        <v>8.7985367372353671E-2</v>
      </c>
      <c r="H518" s="749">
        <f t="shared" si="1564"/>
        <v>7.8209215442092153E-2</v>
      </c>
      <c r="I518" s="621">
        <f t="shared" si="1564"/>
        <v>5.6310635118306342E-2</v>
      </c>
      <c r="J518" s="749">
        <f t="shared" si="1564"/>
        <v>8.7985367372353671E-2</v>
      </c>
      <c r="K518" s="621">
        <f t="shared" si="1564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5">IF(T515="","",T515*T516*T517/T$46/365/$G$1)</f>
        <v>8.7985367372353671E-2</v>
      </c>
      <c r="U518" s="621">
        <f t="shared" si="1565"/>
        <v>0.10055470556840419</v>
      </c>
      <c r="V518" s="749">
        <f t="shared" si="1565"/>
        <v>7.8209215442092153E-2</v>
      </c>
      <c r="W518" s="621">
        <f t="shared" si="1565"/>
        <v>7.0388293897882939E-2</v>
      </c>
      <c r="X518" s="749">
        <f t="shared" si="1565"/>
        <v>8.7985367372353671E-2</v>
      </c>
      <c r="Y518" s="621">
        <f t="shared" si="1565"/>
        <v>7.0388293897882939E-2</v>
      </c>
      <c r="Z518" s="749">
        <f t="shared" si="1565"/>
        <v>7.8209215442092153E-2</v>
      </c>
      <c r="AA518" s="621">
        <f t="shared" si="1565"/>
        <v>7.0388293897882939E-2</v>
      </c>
      <c r="AB518" s="749">
        <f t="shared" si="1565"/>
        <v>8.7985367372353671E-2</v>
      </c>
      <c r="AC518" s="621">
        <f t="shared" si="1565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6">IF(AL515="","",AL515*AL516*AL517/AL$46/365/$G$1)</f>
        <v>0.10055470556840419</v>
      </c>
      <c r="AM518" s="621">
        <f t="shared" si="1566"/>
        <v>8.7985367372353671E-2</v>
      </c>
      <c r="AN518" s="749">
        <f t="shared" si="1566"/>
        <v>0.14077658779576588</v>
      </c>
      <c r="AO518" s="621">
        <f t="shared" si="1566"/>
        <v>7.0388293897882939E-2</v>
      </c>
      <c r="AP518" s="749">
        <f t="shared" si="1566"/>
        <v>7.0388293897882939E-2</v>
      </c>
      <c r="AQ518" s="621">
        <f t="shared" si="1566"/>
        <v>0.10558244084682439</v>
      </c>
      <c r="AR518" s="749">
        <f t="shared" si="1566"/>
        <v>0.10055470556840419</v>
      </c>
      <c r="AS518" s="621">
        <f t="shared" si="1566"/>
        <v>7.0388293897882939E-2</v>
      </c>
      <c r="AT518" s="749">
        <f t="shared" si="1566"/>
        <v>7.0388293897882939E-2</v>
      </c>
      <c r="AU518" s="621">
        <f t="shared" si="1566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7">IF(BD515="","",BD515*BD516*BD517/BD$46/365/$G$1)</f>
        <v>5.8656911581569111E-2</v>
      </c>
      <c r="BE518" s="749">
        <f t="shared" si="1567"/>
        <v>8.7985367372353671E-2</v>
      </c>
      <c r="BF518" s="621">
        <f t="shared" si="1567"/>
        <v>5.8656911581569111E-2</v>
      </c>
      <c r="BG518" s="749">
        <f t="shared" si="1567"/>
        <v>0.10055470556840419</v>
      </c>
      <c r="BH518" s="621">
        <f t="shared" si="1567"/>
        <v>6.3989358088984483E-2</v>
      </c>
      <c r="BI518" s="749">
        <f t="shared" si="1567"/>
        <v>5.8656911581569104E-2</v>
      </c>
      <c r="BJ518" s="621">
        <f t="shared" si="1567"/>
        <v>8.7985367372353671E-2</v>
      </c>
      <c r="BK518" s="749">
        <f t="shared" si="1567"/>
        <v>0.10055470556840419</v>
      </c>
      <c r="BL518" s="621">
        <f t="shared" si="1567"/>
        <v>6.3989358088984483E-2</v>
      </c>
      <c r="BM518" s="749">
        <f t="shared" si="1567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9"/>
        <v>8.154707302971001E-2</v>
      </c>
      <c r="CA518" s="611">
        <f t="shared" si="1530"/>
        <v>7.9920042029887908E-2</v>
      </c>
      <c r="CB518" s="611">
        <f t="shared" si="1531"/>
        <v>8.4528799368439766E-2</v>
      </c>
      <c r="CC518" s="611">
        <f t="shared" si="1532"/>
        <v>7.7796585652827849E-2</v>
      </c>
      <c r="CD518" s="1319">
        <f t="shared" si="1509"/>
        <v>7.0388293897882939E-2</v>
      </c>
      <c r="CE518" s="1320">
        <f t="shared" si="1559"/>
        <v>7.0388293897882939E-2</v>
      </c>
      <c r="CF518" s="1320">
        <f t="shared" si="1559"/>
        <v>7.0388293897882939E-2</v>
      </c>
      <c r="CG518" s="1320">
        <f t="shared" si="1559"/>
        <v>7.0388293897882939E-2</v>
      </c>
      <c r="CH518" s="1321">
        <f t="shared" si="1559"/>
        <v>7.0388293897882939E-2</v>
      </c>
      <c r="CI518" s="1321">
        <f t="shared" si="1559"/>
        <v>8.7985367372353671E-2</v>
      </c>
      <c r="CJ518" s="1320">
        <f t="shared" si="1559"/>
        <v>0.10055470556840419</v>
      </c>
      <c r="CK518" s="1320">
        <f t="shared" si="1559"/>
        <v>0.10055470556840419</v>
      </c>
      <c r="CL518" s="1320">
        <f t="shared" si="1559"/>
        <v>0.10558244084682439</v>
      </c>
      <c r="CM518" s="1319">
        <f t="shared" si="1559"/>
        <v>0.14077658779576588</v>
      </c>
      <c r="CN518" s="526" t="str">
        <f t="shared" si="1489"/>
        <v/>
      </c>
      <c r="CO518" s="527" t="str">
        <f t="shared" si="1490"/>
        <v/>
      </c>
      <c r="CP518" s="527" t="str">
        <f t="shared" si="1491"/>
        <v/>
      </c>
      <c r="CQ518" s="527">
        <f t="shared" si="1492"/>
        <v>5.8656911581569104E-2</v>
      </c>
      <c r="CR518" s="527">
        <f t="shared" si="1493"/>
        <v>5.8656911581569111E-2</v>
      </c>
      <c r="CS518" s="527">
        <f t="shared" si="1494"/>
        <v>5.8656911581569111E-2</v>
      </c>
      <c r="CT518" s="528">
        <f t="shared" si="1495"/>
        <v>6.3989358088984483E-2</v>
      </c>
      <c r="CU518" s="528">
        <f t="shared" si="1496"/>
        <v>6.3989358088984483E-2</v>
      </c>
      <c r="CV518" s="528">
        <f t="shared" si="1497"/>
        <v>8.7985367372353671E-2</v>
      </c>
      <c r="CW518" s="527">
        <f t="shared" si="1498"/>
        <v>8.7985367372353671E-2</v>
      </c>
      <c r="CX518" s="527">
        <f t="shared" si="1499"/>
        <v>0.10055470556840419</v>
      </c>
      <c r="CY518" s="527">
        <f t="shared" si="1500"/>
        <v>0.10055470556840419</v>
      </c>
      <c r="CZ518" s="527">
        <f t="shared" si="1501"/>
        <v>0.10055470556840419</v>
      </c>
      <c r="DA518" s="527" t="str">
        <f t="shared" si="1502"/>
        <v/>
      </c>
      <c r="DB518" s="526" t="str">
        <f t="shared" si="1503"/>
        <v/>
      </c>
      <c r="DC518" s="525" t="str">
        <f t="shared" si="1504"/>
        <v/>
      </c>
      <c r="DD518" s="641">
        <f t="shared" si="1505"/>
        <v>10</v>
      </c>
      <c r="DE518" s="95">
        <f t="shared" si="1506"/>
        <v>10</v>
      </c>
      <c r="DF518" s="95">
        <f t="shared" si="1507"/>
        <v>10</v>
      </c>
      <c r="DG518" s="95">
        <f t="shared" si="1508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1" t="s">
        <v>288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9"/>
        <v>12.35</v>
      </c>
      <c r="CA519" s="586">
        <f t="shared" si="1530"/>
        <v>10.1875</v>
      </c>
      <c r="CB519" s="586">
        <f t="shared" si="1531"/>
        <v>12.7</v>
      </c>
      <c r="CC519" s="676">
        <f t="shared" si="1532"/>
        <v>11.0625</v>
      </c>
      <c r="CD519" s="1316">
        <f t="shared" si="1509"/>
        <v>10</v>
      </c>
      <c r="CE519" s="1317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17">
        <f t="shared" si="1568"/>
        <v>12</v>
      </c>
      <c r="CG519" s="1317">
        <f t="shared" si="1568"/>
        <v>12</v>
      </c>
      <c r="CH519" s="1318">
        <f t="shared" si="1568"/>
        <v>12</v>
      </c>
      <c r="CI519" s="1318">
        <f t="shared" si="1568"/>
        <v>12.6</v>
      </c>
      <c r="CJ519" s="1317">
        <f t="shared" si="1568"/>
        <v>13</v>
      </c>
      <c r="CK519" s="1317">
        <f t="shared" si="1568"/>
        <v>14</v>
      </c>
      <c r="CL519" s="1317">
        <f t="shared" si="1568"/>
        <v>14</v>
      </c>
      <c r="CM519" s="1316">
        <f t="shared" si="1568"/>
        <v>16</v>
      </c>
      <c r="CN519" s="538" t="str">
        <f t="shared" si="1489"/>
        <v/>
      </c>
      <c r="CO519" s="539" t="str">
        <f t="shared" si="1490"/>
        <v/>
      </c>
      <c r="CP519" s="539" t="str">
        <f t="shared" si="1491"/>
        <v/>
      </c>
      <c r="CQ519" s="539">
        <f t="shared" si="1492"/>
        <v>5</v>
      </c>
      <c r="CR519" s="539">
        <f t="shared" si="1493"/>
        <v>9.5</v>
      </c>
      <c r="CS519" s="539">
        <f t="shared" si="1494"/>
        <v>10</v>
      </c>
      <c r="CT519" s="540">
        <f t="shared" si="1495"/>
        <v>10</v>
      </c>
      <c r="CU519" s="540">
        <f t="shared" si="1496"/>
        <v>10</v>
      </c>
      <c r="CV519" s="540">
        <f t="shared" si="1497"/>
        <v>11</v>
      </c>
      <c r="CW519" s="539">
        <f t="shared" si="1498"/>
        <v>11</v>
      </c>
      <c r="CX519" s="539">
        <f t="shared" si="1499"/>
        <v>13</v>
      </c>
      <c r="CY519" s="539">
        <f t="shared" si="1500"/>
        <v>14</v>
      </c>
      <c r="CZ519" s="539">
        <f t="shared" si="1501"/>
        <v>14</v>
      </c>
      <c r="DA519" s="539" t="str">
        <f t="shared" si="1502"/>
        <v/>
      </c>
      <c r="DB519" s="538" t="str">
        <f t="shared" si="1503"/>
        <v/>
      </c>
      <c r="DC519" s="537" t="str">
        <f t="shared" si="1504"/>
        <v/>
      </c>
      <c r="DD519" s="641">
        <f t="shared" si="1505"/>
        <v>10</v>
      </c>
      <c r="DE519" s="95">
        <f t="shared" si="1506"/>
        <v>10</v>
      </c>
      <c r="DF519" s="95">
        <f t="shared" si="1507"/>
        <v>10</v>
      </c>
      <c r="DG519" s="95">
        <f t="shared" si="1508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286</v>
      </c>
      <c r="B520" s="746">
        <f t="shared" ref="B520:K520" si="1569">IF(B519="","",B515*B516*B519)</f>
        <v>720</v>
      </c>
      <c r="C520" s="746">
        <f t="shared" si="1569"/>
        <v>840</v>
      </c>
      <c r="D520" s="746">
        <f t="shared" si="1569"/>
        <v>390</v>
      </c>
      <c r="E520" s="746">
        <f t="shared" si="1569"/>
        <v>720</v>
      </c>
      <c r="F520" s="746">
        <f t="shared" si="1569"/>
        <v>720</v>
      </c>
      <c r="G520" s="746">
        <f t="shared" si="1569"/>
        <v>720</v>
      </c>
      <c r="H520" s="746">
        <f t="shared" si="1569"/>
        <v>720</v>
      </c>
      <c r="I520" s="746">
        <f t="shared" si="1569"/>
        <v>360</v>
      </c>
      <c r="J520" s="746">
        <f t="shared" si="1569"/>
        <v>708</v>
      </c>
      <c r="K520" s="746">
        <f t="shared" si="1569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70">IF(T519="","",T515*T516*T519)</f>
        <v>600</v>
      </c>
      <c r="U520" s="746">
        <f t="shared" si="1570"/>
        <v>660</v>
      </c>
      <c r="V520" s="746">
        <f t="shared" si="1570"/>
        <v>510</v>
      </c>
      <c r="W520" s="746">
        <f t="shared" si="1570"/>
        <v>390</v>
      </c>
      <c r="X520" s="746">
        <f t="shared" si="1570"/>
        <v>390</v>
      </c>
      <c r="Y520" s="746">
        <f t="shared" si="1570"/>
        <v>390</v>
      </c>
      <c r="Z520" s="746">
        <f t="shared" si="1570"/>
        <v>780</v>
      </c>
      <c r="AA520" s="746">
        <f t="shared" si="1570"/>
        <v>960</v>
      </c>
      <c r="AB520" s="746">
        <f t="shared" si="1570"/>
        <v>780</v>
      </c>
      <c r="AC520" s="746">
        <f t="shared" si="1570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71">IF(AL519="","",AL515*AL516*AL519)</f>
        <v>960</v>
      </c>
      <c r="AM520" s="746">
        <f t="shared" si="1571"/>
        <v>840</v>
      </c>
      <c r="AN520" s="746">
        <f t="shared" si="1571"/>
        <v>720</v>
      </c>
      <c r="AO520" s="746">
        <f t="shared" si="1571"/>
        <v>840</v>
      </c>
      <c r="AP520" s="746">
        <f t="shared" si="1571"/>
        <v>756</v>
      </c>
      <c r="AQ520" s="746">
        <f t="shared" si="1571"/>
        <v>450</v>
      </c>
      <c r="AR520" s="746">
        <f t="shared" si="1571"/>
        <v>720</v>
      </c>
      <c r="AS520" s="746">
        <f t="shared" si="1571"/>
        <v>780</v>
      </c>
      <c r="AT520" s="746">
        <f t="shared" si="1571"/>
        <v>360</v>
      </c>
      <c r="AU520" s="746">
        <f t="shared" si="1571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2">IF(BD519="","",BD515*BD516*BD519)</f>
        <v>600</v>
      </c>
      <c r="BE520" s="746">
        <f t="shared" si="1572"/>
        <v>600</v>
      </c>
      <c r="BF520" s="746">
        <f t="shared" si="1572"/>
        <v>840</v>
      </c>
      <c r="BG520" s="746">
        <f t="shared" si="1572"/>
        <v>660</v>
      </c>
      <c r="BH520" s="746">
        <f t="shared" si="1572"/>
        <v>660</v>
      </c>
      <c r="BI520" s="746">
        <f t="shared" si="1572"/>
        <v>650</v>
      </c>
      <c r="BJ520" s="746">
        <f t="shared" si="1572"/>
        <v>300</v>
      </c>
      <c r="BK520" s="746">
        <f t="shared" si="1572"/>
        <v>570</v>
      </c>
      <c r="BL520" s="746">
        <f t="shared" si="1572"/>
        <v>600</v>
      </c>
      <c r="BM520" s="746">
        <f t="shared" si="1572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9"/>
        <v>675.75</v>
      </c>
      <c r="CA520" s="586">
        <f t="shared" si="1530"/>
        <v>611.25</v>
      </c>
      <c r="CB520" s="586">
        <f t="shared" si="1531"/>
        <v>728.25</v>
      </c>
      <c r="CC520" s="676">
        <f t="shared" si="1532"/>
        <v>647.5</v>
      </c>
      <c r="CD520" s="1316">
        <f t="shared" si="1509"/>
        <v>360</v>
      </c>
      <c r="CE520" s="1317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317">
        <f t="shared" si="1573"/>
        <v>720</v>
      </c>
      <c r="CG520" s="1317">
        <f t="shared" si="1573"/>
        <v>720</v>
      </c>
      <c r="CH520" s="1318">
        <f t="shared" si="1573"/>
        <v>720</v>
      </c>
      <c r="CI520" s="1318">
        <f t="shared" si="1573"/>
        <v>756</v>
      </c>
      <c r="CJ520" s="1317">
        <f t="shared" si="1573"/>
        <v>780</v>
      </c>
      <c r="CK520" s="1317">
        <f t="shared" si="1573"/>
        <v>840</v>
      </c>
      <c r="CL520" s="1317">
        <f t="shared" si="1573"/>
        <v>840</v>
      </c>
      <c r="CM520" s="1316">
        <f t="shared" si="1573"/>
        <v>960</v>
      </c>
      <c r="CN520" s="538" t="str">
        <f t="shared" si="1489"/>
        <v/>
      </c>
      <c r="CO520" s="539" t="str">
        <f t="shared" si="1490"/>
        <v/>
      </c>
      <c r="CP520" s="539" t="str">
        <f t="shared" si="1491"/>
        <v/>
      </c>
      <c r="CQ520" s="539">
        <f t="shared" si="1492"/>
        <v>300</v>
      </c>
      <c r="CR520" s="539">
        <f t="shared" si="1493"/>
        <v>570</v>
      </c>
      <c r="CS520" s="539">
        <f t="shared" si="1494"/>
        <v>600</v>
      </c>
      <c r="CT520" s="540">
        <f t="shared" si="1495"/>
        <v>600</v>
      </c>
      <c r="CU520" s="540">
        <f t="shared" si="1496"/>
        <v>600</v>
      </c>
      <c r="CV520" s="540">
        <f t="shared" si="1497"/>
        <v>650</v>
      </c>
      <c r="CW520" s="539">
        <f t="shared" si="1498"/>
        <v>660</v>
      </c>
      <c r="CX520" s="539">
        <f t="shared" si="1499"/>
        <v>660</v>
      </c>
      <c r="CY520" s="539">
        <f t="shared" si="1500"/>
        <v>840</v>
      </c>
      <c r="CZ520" s="539">
        <f t="shared" si="1501"/>
        <v>840</v>
      </c>
      <c r="DA520" s="539" t="str">
        <f t="shared" si="1502"/>
        <v/>
      </c>
      <c r="DB520" s="538" t="str">
        <f t="shared" si="1503"/>
        <v/>
      </c>
      <c r="DC520" s="537" t="str">
        <f t="shared" si="1504"/>
        <v/>
      </c>
      <c r="DD520" s="641">
        <f t="shared" si="1505"/>
        <v>10</v>
      </c>
      <c r="DE520" s="95">
        <f t="shared" si="1506"/>
        <v>10</v>
      </c>
      <c r="DF520" s="95">
        <f t="shared" si="1507"/>
        <v>10</v>
      </c>
      <c r="DG520" s="95">
        <f t="shared" si="1508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394" t="s">
        <v>291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9"/>
        <v/>
      </c>
      <c r="CA521" s="586" t="str">
        <f t="shared" si="1530"/>
        <v/>
      </c>
      <c r="CB521" s="586" t="str">
        <f t="shared" si="1531"/>
        <v/>
      </c>
      <c r="CC521" s="676">
        <f t="shared" si="1532"/>
        <v>0</v>
      </c>
      <c r="CD521" s="1316" t="str">
        <f t="shared" si="1509"/>
        <v/>
      </c>
      <c r="CE521" s="1317" t="str">
        <f t="shared" si="1573"/>
        <v/>
      </c>
      <c r="CF521" s="1317" t="str">
        <f t="shared" si="1573"/>
        <v/>
      </c>
      <c r="CG521" s="1317" t="str">
        <f t="shared" si="1573"/>
        <v/>
      </c>
      <c r="CH521" s="1318" t="str">
        <f t="shared" si="1573"/>
        <v/>
      </c>
      <c r="CI521" s="1318" t="str">
        <f t="shared" si="1573"/>
        <v/>
      </c>
      <c r="CJ521" s="1317" t="str">
        <f t="shared" si="1573"/>
        <v/>
      </c>
      <c r="CK521" s="1317" t="str">
        <f t="shared" si="1573"/>
        <v/>
      </c>
      <c r="CL521" s="1317" t="str">
        <f t="shared" si="1573"/>
        <v/>
      </c>
      <c r="CM521" s="1316" t="str">
        <f t="shared" si="1573"/>
        <v/>
      </c>
      <c r="CN521" s="538" t="str">
        <f t="shared" si="1489"/>
        <v/>
      </c>
      <c r="CO521" s="539" t="str">
        <f t="shared" si="1490"/>
        <v/>
      </c>
      <c r="CP521" s="539" t="str">
        <f t="shared" si="1491"/>
        <v/>
      </c>
      <c r="CQ521" s="539" t="str">
        <f t="shared" si="1492"/>
        <v/>
      </c>
      <c r="CR521" s="539" t="str">
        <f t="shared" si="1493"/>
        <v/>
      </c>
      <c r="CS521" s="539">
        <f t="shared" si="1494"/>
        <v>0</v>
      </c>
      <c r="CT521" s="540">
        <f t="shared" si="1495"/>
        <v>0</v>
      </c>
      <c r="CU521" s="540">
        <f t="shared" si="1496"/>
        <v>0</v>
      </c>
      <c r="CV521" s="540">
        <f t="shared" si="1497"/>
        <v>0</v>
      </c>
      <c r="CW521" s="539">
        <f t="shared" si="1498"/>
        <v>0</v>
      </c>
      <c r="CX521" s="539" t="str">
        <f t="shared" si="1499"/>
        <v/>
      </c>
      <c r="CY521" s="539" t="str">
        <f t="shared" si="1500"/>
        <v/>
      </c>
      <c r="CZ521" s="539" t="str">
        <f t="shared" si="1501"/>
        <v/>
      </c>
      <c r="DA521" s="539" t="str">
        <f t="shared" si="1502"/>
        <v/>
      </c>
      <c r="DB521" s="538" t="str">
        <f t="shared" si="1503"/>
        <v/>
      </c>
      <c r="DC521" s="537" t="str">
        <f t="shared" si="1504"/>
        <v/>
      </c>
      <c r="DD521" s="641">
        <f t="shared" si="1505"/>
        <v>0</v>
      </c>
      <c r="DE521" s="95">
        <f t="shared" si="1506"/>
        <v>1</v>
      </c>
      <c r="DF521" s="95">
        <f t="shared" si="1507"/>
        <v>0</v>
      </c>
      <c r="DG521" s="95">
        <f t="shared" si="1508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289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9"/>
        <v/>
      </c>
      <c r="CA522" s="586" t="str">
        <f t="shared" si="1530"/>
        <v/>
      </c>
      <c r="CB522" s="586" t="str">
        <f t="shared" si="1531"/>
        <v/>
      </c>
      <c r="CC522" s="676" t="str">
        <f t="shared" si="1532"/>
        <v/>
      </c>
      <c r="CD522" s="1316" t="str">
        <f t="shared" si="1509"/>
        <v/>
      </c>
      <c r="CE522" s="1317" t="str">
        <f t="shared" si="1573"/>
        <v/>
      </c>
      <c r="CF522" s="1317" t="str">
        <f t="shared" si="1573"/>
        <v/>
      </c>
      <c r="CG522" s="1317" t="str">
        <f t="shared" si="1573"/>
        <v/>
      </c>
      <c r="CH522" s="1318" t="str">
        <f t="shared" si="1573"/>
        <v/>
      </c>
      <c r="CI522" s="1318" t="str">
        <f t="shared" si="1573"/>
        <v/>
      </c>
      <c r="CJ522" s="1317" t="str">
        <f t="shared" si="1573"/>
        <v/>
      </c>
      <c r="CK522" s="1317" t="str">
        <f t="shared" si="1573"/>
        <v/>
      </c>
      <c r="CL522" s="1317" t="str">
        <f t="shared" si="1573"/>
        <v/>
      </c>
      <c r="CM522" s="1316" t="str">
        <f t="shared" si="1573"/>
        <v/>
      </c>
      <c r="CN522" s="538" t="str">
        <f t="shared" si="1489"/>
        <v/>
      </c>
      <c r="CO522" s="539" t="str">
        <f t="shared" si="1490"/>
        <v/>
      </c>
      <c r="CP522" s="539" t="str">
        <f t="shared" si="1491"/>
        <v/>
      </c>
      <c r="CQ522" s="539" t="str">
        <f t="shared" si="1492"/>
        <v/>
      </c>
      <c r="CR522" s="539" t="str">
        <f t="shared" si="1493"/>
        <v/>
      </c>
      <c r="CS522" s="539" t="str">
        <f t="shared" si="1494"/>
        <v/>
      </c>
      <c r="CT522" s="540" t="str">
        <f t="shared" si="1495"/>
        <v/>
      </c>
      <c r="CU522" s="540" t="str">
        <f t="shared" si="1496"/>
        <v/>
      </c>
      <c r="CV522" s="540" t="str">
        <f t="shared" si="1497"/>
        <v/>
      </c>
      <c r="CW522" s="539" t="str">
        <f t="shared" si="1498"/>
        <v/>
      </c>
      <c r="CX522" s="539" t="str">
        <f t="shared" si="1499"/>
        <v/>
      </c>
      <c r="CY522" s="539" t="str">
        <f t="shared" si="1500"/>
        <v/>
      </c>
      <c r="CZ522" s="539" t="str">
        <f t="shared" si="1501"/>
        <v/>
      </c>
      <c r="DA522" s="539" t="str">
        <f t="shared" si="1502"/>
        <v/>
      </c>
      <c r="DB522" s="538" t="str">
        <f t="shared" si="1503"/>
        <v/>
      </c>
      <c r="DC522" s="537" t="str">
        <f t="shared" si="1504"/>
        <v/>
      </c>
      <c r="DD522" s="641">
        <f t="shared" si="1505"/>
        <v>0</v>
      </c>
      <c r="DE522" s="95">
        <f t="shared" si="1506"/>
        <v>1</v>
      </c>
      <c r="DF522" s="95">
        <f t="shared" si="1507"/>
        <v>0</v>
      </c>
      <c r="DG522" s="95">
        <f t="shared" si="1508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292</v>
      </c>
      <c r="B523" s="747">
        <f>640*$K$1</f>
        <v>2679.5519999999997</v>
      </c>
      <c r="C523" s="747">
        <f t="shared" ref="C523:K523" si="1574">640*$K$1</f>
        <v>2679.5519999999997</v>
      </c>
      <c r="D523" s="747">
        <f t="shared" si="1574"/>
        <v>2679.5519999999997</v>
      </c>
      <c r="E523" s="747">
        <f t="shared" si="1574"/>
        <v>2679.5519999999997</v>
      </c>
      <c r="F523" s="747">
        <f t="shared" si="1574"/>
        <v>2679.5519999999997</v>
      </c>
      <c r="G523" s="747">
        <f t="shared" si="1574"/>
        <v>2679.5519999999997</v>
      </c>
      <c r="H523" s="747">
        <f t="shared" si="1574"/>
        <v>2679.5519999999997</v>
      </c>
      <c r="I523" s="747">
        <f t="shared" si="1574"/>
        <v>2679.5519999999997</v>
      </c>
      <c r="J523" s="747">
        <f t="shared" si="1574"/>
        <v>2679.5519999999997</v>
      </c>
      <c r="K523" s="747">
        <f t="shared" si="1574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5">640*$K$1</f>
        <v>2679.5519999999997</v>
      </c>
      <c r="V523" s="747">
        <f t="shared" si="1575"/>
        <v>2679.5519999999997</v>
      </c>
      <c r="W523" s="747">
        <f t="shared" si="1575"/>
        <v>2679.5519999999997</v>
      </c>
      <c r="X523" s="747">
        <f t="shared" si="1575"/>
        <v>2679.5519999999997</v>
      </c>
      <c r="Y523" s="747">
        <f t="shared" si="1575"/>
        <v>2679.5519999999997</v>
      </c>
      <c r="Z523" s="747">
        <f t="shared" si="1575"/>
        <v>2679.5519999999997</v>
      </c>
      <c r="AA523" s="747">
        <f t="shared" si="1575"/>
        <v>2679.5519999999997</v>
      </c>
      <c r="AB523" s="747">
        <f t="shared" si="1575"/>
        <v>2679.5519999999997</v>
      </c>
      <c r="AC523" s="747">
        <f t="shared" si="1575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6">640*$K$1</f>
        <v>2679.5519999999997</v>
      </c>
      <c r="AN523" s="747">
        <f t="shared" si="1576"/>
        <v>2679.5519999999997</v>
      </c>
      <c r="AO523" s="747">
        <f t="shared" si="1576"/>
        <v>2679.5519999999997</v>
      </c>
      <c r="AP523" s="747">
        <f t="shared" si="1576"/>
        <v>2679.5519999999997</v>
      </c>
      <c r="AQ523" s="747">
        <f t="shared" si="1576"/>
        <v>2679.5519999999997</v>
      </c>
      <c r="AR523" s="747">
        <f t="shared" si="1576"/>
        <v>2679.5519999999997</v>
      </c>
      <c r="AS523" s="747">
        <f t="shared" si="1576"/>
        <v>2679.5519999999997</v>
      </c>
      <c r="AT523" s="747">
        <f t="shared" si="1576"/>
        <v>2679.5519999999997</v>
      </c>
      <c r="AU523" s="747">
        <f t="shared" si="1576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7">640*$K$1</f>
        <v>2679.5519999999997</v>
      </c>
      <c r="BF523" s="747">
        <f t="shared" si="1577"/>
        <v>2679.5519999999997</v>
      </c>
      <c r="BG523" s="747">
        <f t="shared" si="1577"/>
        <v>2679.5519999999997</v>
      </c>
      <c r="BH523" s="747">
        <f t="shared" si="1577"/>
        <v>2679.5519999999997</v>
      </c>
      <c r="BI523" s="747">
        <f t="shared" si="1577"/>
        <v>2679.5519999999997</v>
      </c>
      <c r="BJ523" s="747">
        <f t="shared" si="1577"/>
        <v>2679.5519999999997</v>
      </c>
      <c r="BK523" s="747">
        <f t="shared" si="1577"/>
        <v>2679.5519999999997</v>
      </c>
      <c r="BL523" s="747">
        <f t="shared" si="1577"/>
        <v>2679.5519999999997</v>
      </c>
      <c r="BM523" s="747">
        <f t="shared" si="1577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7"/>
        <v>2679.5519999999997</v>
      </c>
      <c r="BW523" s="747">
        <f t="shared" si="1577"/>
        <v>2679.5519999999997</v>
      </c>
      <c r="BX523" s="747">
        <f t="shared" si="1577"/>
        <v>2679.5519999999997</v>
      </c>
      <c r="BY523" s="747">
        <f t="shared" si="1577"/>
        <v>2679.5519999999997</v>
      </c>
      <c r="BZ523" s="586">
        <f t="shared" si="1529"/>
        <v>2679.5519999999997</v>
      </c>
      <c r="CA523" s="586">
        <f t="shared" si="1530"/>
        <v>2679.5519999999997</v>
      </c>
      <c r="CB523" s="586">
        <f t="shared" si="1531"/>
        <v>2679.5519999999997</v>
      </c>
      <c r="CC523" s="676">
        <f t="shared" si="1532"/>
        <v>2679.5519999999997</v>
      </c>
      <c r="CD523" s="1316">
        <f t="shared" si="1509"/>
        <v>2679.5519999999997</v>
      </c>
      <c r="CE523" s="1317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17">
        <f t="shared" si="1578"/>
        <v>2679.5519999999997</v>
      </c>
      <c r="CG523" s="1317">
        <f t="shared" si="1578"/>
        <v>2679.5519999999997</v>
      </c>
      <c r="CH523" s="1318">
        <f t="shared" si="1578"/>
        <v>2679.5519999999997</v>
      </c>
      <c r="CI523" s="1318">
        <f t="shared" si="1578"/>
        <v>2679.5519999999997</v>
      </c>
      <c r="CJ523" s="1317">
        <f t="shared" si="1578"/>
        <v>2679.5519999999997</v>
      </c>
      <c r="CK523" s="1317">
        <f t="shared" si="1578"/>
        <v>2679.5519999999997</v>
      </c>
      <c r="CL523" s="1317">
        <f t="shared" si="1578"/>
        <v>2679.5519999999997</v>
      </c>
      <c r="CM523" s="1316">
        <f t="shared" si="1578"/>
        <v>2679.5519999999997</v>
      </c>
      <c r="CN523" s="538" t="str">
        <f t="shared" si="1489"/>
        <v/>
      </c>
      <c r="CO523" s="539" t="str">
        <f t="shared" si="1490"/>
        <v/>
      </c>
      <c r="CP523" s="539" t="str">
        <f t="shared" si="1491"/>
        <v/>
      </c>
      <c r="CQ523" s="539">
        <f t="shared" si="1492"/>
        <v>2679.5519999999997</v>
      </c>
      <c r="CR523" s="539">
        <f t="shared" si="1493"/>
        <v>2679.5519999999997</v>
      </c>
      <c r="CS523" s="539">
        <f t="shared" si="1494"/>
        <v>2679.5519999999997</v>
      </c>
      <c r="CT523" s="540">
        <f t="shared" si="1495"/>
        <v>2679.5519999999997</v>
      </c>
      <c r="CU523" s="540">
        <f t="shared" si="1496"/>
        <v>2679.5519999999997</v>
      </c>
      <c r="CV523" s="540">
        <f t="shared" si="1497"/>
        <v>2679.5519999999997</v>
      </c>
      <c r="CW523" s="539">
        <f t="shared" si="1498"/>
        <v>2679.5519999999997</v>
      </c>
      <c r="CX523" s="539">
        <f t="shared" si="1499"/>
        <v>2679.5519999999997</v>
      </c>
      <c r="CY523" s="539">
        <f t="shared" si="1500"/>
        <v>2679.5519999999997</v>
      </c>
      <c r="CZ523" s="539">
        <f t="shared" si="1501"/>
        <v>2679.5519999999997</v>
      </c>
      <c r="DA523" s="539" t="str">
        <f t="shared" si="1502"/>
        <v/>
      </c>
      <c r="DB523" s="538" t="str">
        <f t="shared" si="1503"/>
        <v/>
      </c>
      <c r="DC523" s="537" t="str">
        <f t="shared" si="1504"/>
        <v/>
      </c>
      <c r="DD523" s="641">
        <f t="shared" si="1505"/>
        <v>10</v>
      </c>
      <c r="DE523" s="95">
        <f t="shared" si="1506"/>
        <v>10</v>
      </c>
      <c r="DF523" s="95">
        <f t="shared" si="1507"/>
        <v>10</v>
      </c>
      <c r="DG523" s="95">
        <f t="shared" si="1508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227</v>
      </c>
      <c r="B524" s="749" t="str">
        <f t="shared" ref="B524:K524" si="1579">IF(B521="","",B521*B522*B523/B$46/365/$G$1)</f>
        <v/>
      </c>
      <c r="C524" s="621" t="str">
        <f t="shared" si="1579"/>
        <v/>
      </c>
      <c r="D524" s="749" t="str">
        <f t="shared" si="1579"/>
        <v/>
      </c>
      <c r="E524" s="621" t="str">
        <f t="shared" si="1579"/>
        <v/>
      </c>
      <c r="F524" s="749" t="str">
        <f t="shared" si="1579"/>
        <v/>
      </c>
      <c r="G524" s="621" t="str">
        <f t="shared" si="1579"/>
        <v/>
      </c>
      <c r="H524" s="749" t="str">
        <f t="shared" si="1579"/>
        <v/>
      </c>
      <c r="I524" s="621" t="str">
        <f t="shared" si="1579"/>
        <v/>
      </c>
      <c r="J524" s="749" t="str">
        <f t="shared" si="1579"/>
        <v/>
      </c>
      <c r="K524" s="621" t="str">
        <f t="shared" si="1579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80">IF(T521="","",T521*T522*T523/T$46/365/$G$1)</f>
        <v/>
      </c>
      <c r="U524" s="621" t="str">
        <f t="shared" si="1580"/>
        <v/>
      </c>
      <c r="V524" s="749" t="str">
        <f t="shared" si="1580"/>
        <v/>
      </c>
      <c r="W524" s="621">
        <f t="shared" si="1580"/>
        <v>4.004311830635118E-3</v>
      </c>
      <c r="X524" s="749" t="str">
        <f t="shared" si="1580"/>
        <v/>
      </c>
      <c r="Y524" s="621" t="str">
        <f t="shared" si="1580"/>
        <v/>
      </c>
      <c r="Z524" s="749" t="str">
        <f t="shared" si="1580"/>
        <v/>
      </c>
      <c r="AA524" s="621" t="str">
        <f t="shared" si="1580"/>
        <v/>
      </c>
      <c r="AB524" s="749" t="str">
        <f t="shared" si="1580"/>
        <v/>
      </c>
      <c r="AC524" s="621" t="str">
        <f t="shared" si="1580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81">IF(AL521="","",AL521*AL522*AL523/AL$46/365/$G$1)</f>
        <v/>
      </c>
      <c r="AM524" s="621" t="str">
        <f t="shared" si="1581"/>
        <v/>
      </c>
      <c r="AN524" s="749" t="str">
        <f t="shared" si="1581"/>
        <v/>
      </c>
      <c r="AO524" s="621" t="str">
        <f t="shared" si="1581"/>
        <v/>
      </c>
      <c r="AP524" s="749" t="str">
        <f t="shared" si="1581"/>
        <v/>
      </c>
      <c r="AQ524" s="621" t="str">
        <f t="shared" si="1581"/>
        <v/>
      </c>
      <c r="AR524" s="749" t="str">
        <f t="shared" si="1581"/>
        <v/>
      </c>
      <c r="AS524" s="621" t="str">
        <f t="shared" si="1581"/>
        <v/>
      </c>
      <c r="AT524" s="749" t="str">
        <f t="shared" si="1581"/>
        <v/>
      </c>
      <c r="AU524" s="621" t="str">
        <f t="shared" si="1581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2">IF(BD521="","",BD521*BD522*BD523/BD$46/365/$G$1)</f>
        <v/>
      </c>
      <c r="BE524" s="749">
        <f t="shared" si="1582"/>
        <v>0</v>
      </c>
      <c r="BF524" s="621">
        <f t="shared" si="1582"/>
        <v>0</v>
      </c>
      <c r="BG524" s="749">
        <f t="shared" si="1582"/>
        <v>0</v>
      </c>
      <c r="BH524" s="621">
        <f t="shared" si="1582"/>
        <v>0</v>
      </c>
      <c r="BI524" s="749">
        <f t="shared" si="1582"/>
        <v>0</v>
      </c>
      <c r="BJ524" s="621" t="str">
        <f t="shared" si="1582"/>
        <v/>
      </c>
      <c r="BK524" s="749" t="str">
        <f t="shared" si="1582"/>
        <v/>
      </c>
      <c r="BL524" s="621" t="str">
        <f t="shared" si="1582"/>
        <v/>
      </c>
      <c r="BM524" s="749" t="str">
        <f t="shared" si="1582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9"/>
        <v/>
      </c>
      <c r="CA524" s="586" t="str">
        <f t="shared" si="1530"/>
        <v/>
      </c>
      <c r="CB524" s="586" t="str">
        <f t="shared" si="1531"/>
        <v/>
      </c>
      <c r="CC524" s="676">
        <f t="shared" si="1532"/>
        <v>0</v>
      </c>
      <c r="CD524" s="1316" t="str">
        <f t="shared" si="1509"/>
        <v/>
      </c>
      <c r="CE524" s="1317" t="str">
        <f t="shared" si="1578"/>
        <v/>
      </c>
      <c r="CF524" s="1317" t="str">
        <f t="shared" si="1578"/>
        <v/>
      </c>
      <c r="CG524" s="1317" t="str">
        <f t="shared" si="1578"/>
        <v/>
      </c>
      <c r="CH524" s="1318" t="str">
        <f t="shared" si="1578"/>
        <v/>
      </c>
      <c r="CI524" s="1318" t="str">
        <f t="shared" si="1578"/>
        <v/>
      </c>
      <c r="CJ524" s="1317" t="str">
        <f t="shared" si="1578"/>
        <v/>
      </c>
      <c r="CK524" s="1317" t="str">
        <f t="shared" si="1578"/>
        <v/>
      </c>
      <c r="CL524" s="1317" t="str">
        <f t="shared" si="1578"/>
        <v/>
      </c>
      <c r="CM524" s="1316" t="str">
        <f t="shared" si="1578"/>
        <v/>
      </c>
      <c r="CN524" s="538" t="str">
        <f t="shared" si="1489"/>
        <v/>
      </c>
      <c r="CO524" s="539" t="str">
        <f t="shared" si="1490"/>
        <v/>
      </c>
      <c r="CP524" s="539" t="str">
        <f t="shared" si="1491"/>
        <v/>
      </c>
      <c r="CQ524" s="539" t="str">
        <f t="shared" si="1492"/>
        <v/>
      </c>
      <c r="CR524" s="539" t="str">
        <f t="shared" si="1493"/>
        <v/>
      </c>
      <c r="CS524" s="539">
        <f t="shared" si="1494"/>
        <v>0</v>
      </c>
      <c r="CT524" s="540">
        <f t="shared" si="1495"/>
        <v>0</v>
      </c>
      <c r="CU524" s="540">
        <f t="shared" si="1496"/>
        <v>0</v>
      </c>
      <c r="CV524" s="540">
        <f t="shared" si="1497"/>
        <v>0</v>
      </c>
      <c r="CW524" s="539">
        <f t="shared" si="1498"/>
        <v>0</v>
      </c>
      <c r="CX524" s="539" t="str">
        <f t="shared" si="1499"/>
        <v/>
      </c>
      <c r="CY524" s="539" t="str">
        <f t="shared" si="1500"/>
        <v/>
      </c>
      <c r="CZ524" s="539" t="str">
        <f t="shared" si="1501"/>
        <v/>
      </c>
      <c r="DA524" s="539" t="str">
        <f t="shared" si="1502"/>
        <v/>
      </c>
      <c r="DB524" s="538" t="str">
        <f t="shared" si="1503"/>
        <v/>
      </c>
      <c r="DC524" s="537" t="str">
        <f t="shared" si="1504"/>
        <v/>
      </c>
      <c r="DD524" s="641">
        <f t="shared" si="1505"/>
        <v>0</v>
      </c>
      <c r="DE524" s="95">
        <f t="shared" si="1506"/>
        <v>1</v>
      </c>
      <c r="DF524" s="95">
        <f t="shared" si="1507"/>
        <v>0</v>
      </c>
      <c r="DG524" s="95">
        <f t="shared" si="1508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1" t="s">
        <v>288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9"/>
        <v/>
      </c>
      <c r="CA525" s="586" t="str">
        <f t="shared" si="1530"/>
        <v/>
      </c>
      <c r="CB525" s="586" t="str">
        <f t="shared" si="1531"/>
        <v/>
      </c>
      <c r="CC525" s="676" t="str">
        <f t="shared" si="1532"/>
        <v/>
      </c>
      <c r="CD525" s="1316" t="str">
        <f t="shared" si="1509"/>
        <v/>
      </c>
      <c r="CE525" s="1317" t="str">
        <f t="shared" si="1578"/>
        <v/>
      </c>
      <c r="CF525" s="1317" t="str">
        <f t="shared" si="1578"/>
        <v/>
      </c>
      <c r="CG525" s="1317" t="str">
        <f t="shared" si="1578"/>
        <v/>
      </c>
      <c r="CH525" s="1318" t="str">
        <f t="shared" si="1578"/>
        <v/>
      </c>
      <c r="CI525" s="1318" t="str">
        <f t="shared" si="1578"/>
        <v/>
      </c>
      <c r="CJ525" s="1317" t="str">
        <f t="shared" si="1578"/>
        <v/>
      </c>
      <c r="CK525" s="1317" t="str">
        <f t="shared" si="1578"/>
        <v/>
      </c>
      <c r="CL525" s="1317" t="str">
        <f t="shared" si="1578"/>
        <v/>
      </c>
      <c r="CM525" s="1316" t="str">
        <f t="shared" si="1578"/>
        <v/>
      </c>
      <c r="CN525" s="538" t="str">
        <f t="shared" si="1489"/>
        <v/>
      </c>
      <c r="CO525" s="539" t="str">
        <f t="shared" si="1490"/>
        <v/>
      </c>
      <c r="CP525" s="539" t="str">
        <f t="shared" si="1491"/>
        <v/>
      </c>
      <c r="CQ525" s="539" t="str">
        <f t="shared" si="1492"/>
        <v/>
      </c>
      <c r="CR525" s="539" t="str">
        <f t="shared" si="1493"/>
        <v/>
      </c>
      <c r="CS525" s="539" t="str">
        <f t="shared" si="1494"/>
        <v/>
      </c>
      <c r="CT525" s="540" t="str">
        <f t="shared" si="1495"/>
        <v/>
      </c>
      <c r="CU525" s="540" t="str">
        <f t="shared" si="1496"/>
        <v/>
      </c>
      <c r="CV525" s="540" t="str">
        <f t="shared" si="1497"/>
        <v/>
      </c>
      <c r="CW525" s="539" t="str">
        <f t="shared" si="1498"/>
        <v/>
      </c>
      <c r="CX525" s="539" t="str">
        <f t="shared" si="1499"/>
        <v/>
      </c>
      <c r="CY525" s="539" t="str">
        <f t="shared" si="1500"/>
        <v/>
      </c>
      <c r="CZ525" s="539" t="str">
        <f t="shared" si="1501"/>
        <v/>
      </c>
      <c r="DA525" s="539" t="str">
        <f t="shared" si="1502"/>
        <v/>
      </c>
      <c r="DB525" s="538" t="str">
        <f t="shared" si="1503"/>
        <v/>
      </c>
      <c r="DC525" s="537" t="str">
        <f t="shared" si="1504"/>
        <v/>
      </c>
      <c r="DD525" s="641">
        <f t="shared" si="1505"/>
        <v>0</v>
      </c>
      <c r="DE525" s="95">
        <f t="shared" si="1506"/>
        <v>0</v>
      </c>
      <c r="DF525" s="95">
        <f t="shared" si="1507"/>
        <v>0</v>
      </c>
      <c r="DG525" s="95">
        <f t="shared" si="1508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286</v>
      </c>
      <c r="B526" s="746" t="str">
        <f t="shared" ref="B526:K526" si="1583">IF(B525="","",B521*B522*B525)</f>
        <v/>
      </c>
      <c r="C526" s="746" t="str">
        <f t="shared" si="1583"/>
        <v/>
      </c>
      <c r="D526" s="746" t="str">
        <f t="shared" si="1583"/>
        <v/>
      </c>
      <c r="E526" s="746" t="str">
        <f t="shared" si="1583"/>
        <v/>
      </c>
      <c r="F526" s="746" t="str">
        <f t="shared" si="1583"/>
        <v/>
      </c>
      <c r="G526" s="746" t="str">
        <f t="shared" si="1583"/>
        <v/>
      </c>
      <c r="H526" s="746" t="str">
        <f t="shared" si="1583"/>
        <v/>
      </c>
      <c r="I526" s="746" t="str">
        <f t="shared" si="1583"/>
        <v/>
      </c>
      <c r="J526" s="746" t="str">
        <f t="shared" si="1583"/>
        <v/>
      </c>
      <c r="K526" s="746" t="str">
        <f t="shared" si="1583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4">IF(T525="","",T521*T522*T525)</f>
        <v/>
      </c>
      <c r="U526" s="746" t="str">
        <f t="shared" si="1584"/>
        <v/>
      </c>
      <c r="V526" s="746" t="str">
        <f t="shared" si="1584"/>
        <v/>
      </c>
      <c r="W526" s="746" t="str">
        <f t="shared" si="1584"/>
        <v/>
      </c>
      <c r="X526" s="746" t="str">
        <f t="shared" si="1584"/>
        <v/>
      </c>
      <c r="Y526" s="746" t="str">
        <f t="shared" si="1584"/>
        <v/>
      </c>
      <c r="Z526" s="746" t="str">
        <f t="shared" si="1584"/>
        <v/>
      </c>
      <c r="AA526" s="746" t="str">
        <f t="shared" si="1584"/>
        <v/>
      </c>
      <c r="AB526" s="746" t="str">
        <f t="shared" si="1584"/>
        <v/>
      </c>
      <c r="AC526" s="746" t="str">
        <f t="shared" si="1584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5">IF(AL525="","",AL521*AL522*AL525)</f>
        <v/>
      </c>
      <c r="AM526" s="746" t="str">
        <f t="shared" si="1585"/>
        <v/>
      </c>
      <c r="AN526" s="746" t="str">
        <f t="shared" si="1585"/>
        <v/>
      </c>
      <c r="AO526" s="746" t="str">
        <f t="shared" si="1585"/>
        <v/>
      </c>
      <c r="AP526" s="746" t="str">
        <f t="shared" si="1585"/>
        <v/>
      </c>
      <c r="AQ526" s="746" t="str">
        <f t="shared" si="1585"/>
        <v/>
      </c>
      <c r="AR526" s="746" t="str">
        <f t="shared" si="1585"/>
        <v/>
      </c>
      <c r="AS526" s="746" t="str">
        <f t="shared" si="1585"/>
        <v/>
      </c>
      <c r="AT526" s="746" t="str">
        <f t="shared" si="1585"/>
        <v/>
      </c>
      <c r="AU526" s="746" t="str">
        <f t="shared" si="1585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6">IF(BD525="","",BD521*BD522*BD525)</f>
        <v/>
      </c>
      <c r="BE526" s="746" t="str">
        <f t="shared" si="1586"/>
        <v/>
      </c>
      <c r="BF526" s="746" t="str">
        <f t="shared" si="1586"/>
        <v/>
      </c>
      <c r="BG526" s="746" t="str">
        <f t="shared" si="1586"/>
        <v/>
      </c>
      <c r="BH526" s="746" t="str">
        <f t="shared" si="1586"/>
        <v/>
      </c>
      <c r="BI526" s="746" t="str">
        <f t="shared" si="1586"/>
        <v/>
      </c>
      <c r="BJ526" s="746" t="str">
        <f t="shared" si="1586"/>
        <v/>
      </c>
      <c r="BK526" s="746" t="str">
        <f t="shared" si="1586"/>
        <v/>
      </c>
      <c r="BL526" s="746" t="str">
        <f t="shared" si="1586"/>
        <v/>
      </c>
      <c r="BM526" s="746" t="str">
        <f t="shared" si="1586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9"/>
        <v/>
      </c>
      <c r="CA526" s="586" t="str">
        <f t="shared" si="1530"/>
        <v/>
      </c>
      <c r="CB526" s="586" t="str">
        <f t="shared" si="1531"/>
        <v/>
      </c>
      <c r="CC526" s="676" t="str">
        <f t="shared" si="1532"/>
        <v/>
      </c>
      <c r="CD526" s="1316" t="str">
        <f t="shared" si="1509"/>
        <v/>
      </c>
      <c r="CE526" s="1317" t="str">
        <f t="shared" si="1578"/>
        <v/>
      </c>
      <c r="CF526" s="1317" t="str">
        <f t="shared" si="1578"/>
        <v/>
      </c>
      <c r="CG526" s="1317" t="str">
        <f t="shared" si="1578"/>
        <v/>
      </c>
      <c r="CH526" s="1318" t="str">
        <f t="shared" si="1578"/>
        <v/>
      </c>
      <c r="CI526" s="1318" t="str">
        <f t="shared" si="1578"/>
        <v/>
      </c>
      <c r="CJ526" s="1317" t="str">
        <f t="shared" si="1578"/>
        <v/>
      </c>
      <c r="CK526" s="1317" t="str">
        <f t="shared" si="1578"/>
        <v/>
      </c>
      <c r="CL526" s="1317" t="str">
        <f t="shared" si="1578"/>
        <v/>
      </c>
      <c r="CM526" s="1316" t="str">
        <f t="shared" si="1578"/>
        <v/>
      </c>
      <c r="CN526" s="538" t="str">
        <f t="shared" si="1489"/>
        <v/>
      </c>
      <c r="CO526" s="539" t="str">
        <f t="shared" si="1490"/>
        <v/>
      </c>
      <c r="CP526" s="539" t="str">
        <f t="shared" si="1491"/>
        <v/>
      </c>
      <c r="CQ526" s="539" t="str">
        <f t="shared" si="1492"/>
        <v/>
      </c>
      <c r="CR526" s="539" t="str">
        <f t="shared" si="1493"/>
        <v/>
      </c>
      <c r="CS526" s="539" t="str">
        <f t="shared" si="1494"/>
        <v/>
      </c>
      <c r="CT526" s="540" t="str">
        <f t="shared" si="1495"/>
        <v/>
      </c>
      <c r="CU526" s="540" t="str">
        <f t="shared" si="1496"/>
        <v/>
      </c>
      <c r="CV526" s="540" t="str">
        <f t="shared" si="1497"/>
        <v/>
      </c>
      <c r="CW526" s="539" t="str">
        <f t="shared" si="1498"/>
        <v/>
      </c>
      <c r="CX526" s="539" t="str">
        <f t="shared" si="1499"/>
        <v/>
      </c>
      <c r="CY526" s="539" t="str">
        <f t="shared" si="1500"/>
        <v/>
      </c>
      <c r="CZ526" s="539" t="str">
        <f t="shared" si="1501"/>
        <v/>
      </c>
      <c r="DA526" s="539" t="str">
        <f t="shared" si="1502"/>
        <v/>
      </c>
      <c r="DB526" s="538" t="str">
        <f t="shared" si="1503"/>
        <v/>
      </c>
      <c r="DC526" s="537" t="str">
        <f t="shared" si="1504"/>
        <v/>
      </c>
      <c r="DD526" s="641">
        <f t="shared" si="1505"/>
        <v>0</v>
      </c>
      <c r="DE526" s="95">
        <f t="shared" si="1506"/>
        <v>0</v>
      </c>
      <c r="DF526" s="95">
        <f t="shared" si="1507"/>
        <v>0</v>
      </c>
      <c r="DG526" s="95">
        <f t="shared" si="1508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394" t="s">
        <v>724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9"/>
        <v/>
      </c>
      <c r="CO527" s="539" t="str">
        <f t="shared" si="1490"/>
        <v/>
      </c>
      <c r="CP527" s="539" t="str">
        <f t="shared" si="1491"/>
        <v/>
      </c>
      <c r="CQ527" s="539" t="str">
        <f t="shared" si="1492"/>
        <v/>
      </c>
      <c r="CR527" s="539" t="str">
        <f t="shared" si="1493"/>
        <v/>
      </c>
      <c r="CS527" s="539" t="str">
        <f t="shared" si="1494"/>
        <v/>
      </c>
      <c r="CT527" s="540" t="str">
        <f t="shared" si="1495"/>
        <v/>
      </c>
      <c r="CU527" s="540" t="str">
        <f t="shared" si="1496"/>
        <v/>
      </c>
      <c r="CV527" s="540" t="str">
        <f t="shared" si="1497"/>
        <v/>
      </c>
      <c r="CW527" s="539" t="str">
        <f t="shared" si="1498"/>
        <v/>
      </c>
      <c r="CX527" s="539" t="str">
        <f t="shared" si="1499"/>
        <v/>
      </c>
      <c r="CY527" s="539" t="str">
        <f t="shared" si="1500"/>
        <v/>
      </c>
      <c r="CZ527" s="539" t="str">
        <f t="shared" si="1501"/>
        <v/>
      </c>
      <c r="DA527" s="539" t="str">
        <f t="shared" si="1502"/>
        <v/>
      </c>
      <c r="DB527" s="538" t="str">
        <f t="shared" si="1503"/>
        <v/>
      </c>
      <c r="DC527" s="537" t="str">
        <f t="shared" si="1504"/>
        <v/>
      </c>
      <c r="DD527" s="641">
        <f t="shared" ref="DD527:DD562" si="1587">COUNT(B527:R527)</f>
        <v>0</v>
      </c>
      <c r="DE527" s="95">
        <f t="shared" ref="DE527:DE562" si="1588">COUNT(T527:AJ527)</f>
        <v>0</v>
      </c>
      <c r="DF527" s="95">
        <f t="shared" ref="DF527:DF562" si="1589">COUNT(AL527:BB527)</f>
        <v>0</v>
      </c>
      <c r="DG527" s="95">
        <f t="shared" ref="DG527:DG562" si="1590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293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1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17">
        <f t="shared" si="1573"/>
        <v>43.2</v>
      </c>
      <c r="CF528" s="1317">
        <f t="shared" si="1573"/>
        <v>43.2</v>
      </c>
      <c r="CG528" s="1317">
        <f t="shared" si="1573"/>
        <v>43.2</v>
      </c>
      <c r="CH528" s="1318">
        <f t="shared" si="1573"/>
        <v>43.2</v>
      </c>
      <c r="CI528" s="1318">
        <f t="shared" si="1573"/>
        <v>43.2</v>
      </c>
      <c r="CJ528" s="1317">
        <f t="shared" si="1573"/>
        <v>43.2</v>
      </c>
      <c r="CK528" s="1317">
        <f t="shared" si="1573"/>
        <v>43.2</v>
      </c>
      <c r="CL528" s="1317" t="str">
        <f t="shared" si="1573"/>
        <v/>
      </c>
      <c r="CM528" s="1316" t="str">
        <f t="shared" si="1573"/>
        <v/>
      </c>
      <c r="CN528" s="538" t="str">
        <f t="shared" si="1489"/>
        <v/>
      </c>
      <c r="CO528" s="539" t="str">
        <f t="shared" si="1490"/>
        <v/>
      </c>
      <c r="CP528" s="539" t="str">
        <f t="shared" si="1491"/>
        <v/>
      </c>
      <c r="CQ528" s="539">
        <f t="shared" si="1492"/>
        <v>43.2</v>
      </c>
      <c r="CR528" s="539">
        <f t="shared" si="1493"/>
        <v>43.2</v>
      </c>
      <c r="CS528" s="539">
        <f t="shared" si="1494"/>
        <v>43.2</v>
      </c>
      <c r="CT528" s="540">
        <f t="shared" si="1495"/>
        <v>43.2</v>
      </c>
      <c r="CU528" s="540">
        <f t="shared" si="1496"/>
        <v>43.2</v>
      </c>
      <c r="CV528" s="540">
        <f t="shared" si="1497"/>
        <v>43.2</v>
      </c>
      <c r="CW528" s="539">
        <f t="shared" si="1498"/>
        <v>43.2</v>
      </c>
      <c r="CX528" s="539">
        <f t="shared" si="1499"/>
        <v>43.2</v>
      </c>
      <c r="CY528" s="539">
        <f t="shared" si="1500"/>
        <v>43.2</v>
      </c>
      <c r="CZ528" s="539">
        <f t="shared" si="1501"/>
        <v>43.2</v>
      </c>
      <c r="DA528" s="539" t="str">
        <f t="shared" si="1502"/>
        <v/>
      </c>
      <c r="DB528" s="538" t="str">
        <f t="shared" si="1503"/>
        <v/>
      </c>
      <c r="DC528" s="537" t="str">
        <f t="shared" si="1504"/>
        <v/>
      </c>
      <c r="DD528" s="641">
        <f t="shared" si="1587"/>
        <v>0</v>
      </c>
      <c r="DE528" s="95">
        <f t="shared" si="1588"/>
        <v>6</v>
      </c>
      <c r="DF528" s="95">
        <f t="shared" si="1589"/>
        <v>7</v>
      </c>
      <c r="DG528" s="95">
        <f t="shared" si="1590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284</v>
      </c>
      <c r="B529" s="747">
        <f>1580*$K$1</f>
        <v>6615.1439999999993</v>
      </c>
      <c r="C529" s="747">
        <f t="shared" ref="C529:K529" si="1591">1580*$K$1</f>
        <v>6615.1439999999993</v>
      </c>
      <c r="D529" s="747">
        <f t="shared" si="1591"/>
        <v>6615.1439999999993</v>
      </c>
      <c r="E529" s="747">
        <f t="shared" si="1591"/>
        <v>6615.1439999999993</v>
      </c>
      <c r="F529" s="747">
        <f t="shared" si="1591"/>
        <v>6615.1439999999993</v>
      </c>
      <c r="G529" s="747">
        <f t="shared" si="1591"/>
        <v>6615.1439999999993</v>
      </c>
      <c r="H529" s="747">
        <f t="shared" si="1591"/>
        <v>6615.1439999999993</v>
      </c>
      <c r="I529" s="747">
        <f t="shared" si="1591"/>
        <v>6615.1439999999993</v>
      </c>
      <c r="J529" s="747">
        <f t="shared" si="1591"/>
        <v>6615.1439999999993</v>
      </c>
      <c r="K529" s="747">
        <f t="shared" si="1591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2">1580*$K$1</f>
        <v>6615.1439999999993</v>
      </c>
      <c r="V529" s="747">
        <f t="shared" si="1592"/>
        <v>6615.1439999999993</v>
      </c>
      <c r="W529" s="747">
        <f t="shared" si="1592"/>
        <v>6615.1439999999993</v>
      </c>
      <c r="X529" s="747">
        <f t="shared" si="1592"/>
        <v>6615.1439999999993</v>
      </c>
      <c r="Y529" s="747">
        <f t="shared" si="1592"/>
        <v>6615.1439999999993</v>
      </c>
      <c r="Z529" s="747">
        <f t="shared" si="1592"/>
        <v>6615.1439999999993</v>
      </c>
      <c r="AA529" s="747">
        <f t="shared" si="1592"/>
        <v>6615.1439999999993</v>
      </c>
      <c r="AB529" s="747">
        <f t="shared" si="1592"/>
        <v>6615.1439999999993</v>
      </c>
      <c r="AC529" s="747">
        <f t="shared" si="1592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3">1580*$K$1</f>
        <v>6615.1439999999993</v>
      </c>
      <c r="AN529" s="747">
        <f t="shared" si="1593"/>
        <v>6615.1439999999993</v>
      </c>
      <c r="AO529" s="747">
        <f t="shared" si="1593"/>
        <v>6615.1439999999993</v>
      </c>
      <c r="AP529" s="747">
        <f t="shared" si="1593"/>
        <v>6615.1439999999993</v>
      </c>
      <c r="AQ529" s="747">
        <f t="shared" si="1593"/>
        <v>6615.1439999999993</v>
      </c>
      <c r="AR529" s="747">
        <f t="shared" si="1593"/>
        <v>6615.1439999999993</v>
      </c>
      <c r="AS529" s="747">
        <f t="shared" si="1593"/>
        <v>6615.1439999999993</v>
      </c>
      <c r="AT529" s="747">
        <f t="shared" si="1593"/>
        <v>6615.1439999999993</v>
      </c>
      <c r="AU529" s="747">
        <f t="shared" si="1593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4">1580*$K$1</f>
        <v>6615.1439999999993</v>
      </c>
      <c r="BF529" s="747">
        <f t="shared" si="1594"/>
        <v>6615.1439999999993</v>
      </c>
      <c r="BG529" s="747">
        <f t="shared" si="1594"/>
        <v>6615.1439999999993</v>
      </c>
      <c r="BH529" s="747">
        <f t="shared" si="1594"/>
        <v>6615.1439999999993</v>
      </c>
      <c r="BI529" s="747">
        <f t="shared" si="1594"/>
        <v>6615.1439999999993</v>
      </c>
      <c r="BJ529" s="747">
        <f t="shared" si="1594"/>
        <v>6615.1439999999993</v>
      </c>
      <c r="BK529" s="747">
        <f t="shared" si="1594"/>
        <v>6615.1439999999993</v>
      </c>
      <c r="BL529" s="747">
        <f t="shared" si="1594"/>
        <v>6615.1439999999993</v>
      </c>
      <c r="BM529" s="747">
        <f t="shared" si="1594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4"/>
        <v>6615.1439999999993</v>
      </c>
      <c r="BW529" s="747">
        <f t="shared" si="1594"/>
        <v>6615.1439999999993</v>
      </c>
      <c r="BX529" s="747">
        <f t="shared" si="1594"/>
        <v>6615.1439999999993</v>
      </c>
      <c r="BY529" s="747">
        <f t="shared" si="1594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1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17">
        <f t="shared" si="1573"/>
        <v>6615.1439999999993</v>
      </c>
      <c r="CF529" s="1317">
        <f t="shared" si="1573"/>
        <v>6615.1439999999993</v>
      </c>
      <c r="CG529" s="1317">
        <f t="shared" si="1573"/>
        <v>6615.1439999999993</v>
      </c>
      <c r="CH529" s="1318">
        <f t="shared" si="1573"/>
        <v>6615.1439999999993</v>
      </c>
      <c r="CI529" s="1318">
        <f t="shared" si="1573"/>
        <v>6615.1439999999993</v>
      </c>
      <c r="CJ529" s="1317">
        <f t="shared" si="1573"/>
        <v>6615.1439999999993</v>
      </c>
      <c r="CK529" s="1317">
        <f t="shared" si="1573"/>
        <v>6615.1439999999993</v>
      </c>
      <c r="CL529" s="1317">
        <f t="shared" si="1573"/>
        <v>6615.1439999999993</v>
      </c>
      <c r="CM529" s="1316">
        <f t="shared" si="1573"/>
        <v>6615.1439999999993</v>
      </c>
      <c r="CN529" s="538" t="str">
        <f t="shared" si="1489"/>
        <v/>
      </c>
      <c r="CO529" s="539" t="str">
        <f t="shared" si="1490"/>
        <v/>
      </c>
      <c r="CP529" s="539" t="str">
        <f t="shared" si="1491"/>
        <v/>
      </c>
      <c r="CQ529" s="539">
        <f t="shared" si="1492"/>
        <v>6615.1439999999993</v>
      </c>
      <c r="CR529" s="539">
        <f t="shared" si="1493"/>
        <v>6615.1439999999993</v>
      </c>
      <c r="CS529" s="539">
        <f t="shared" si="1494"/>
        <v>6615.1439999999993</v>
      </c>
      <c r="CT529" s="540">
        <f t="shared" si="1495"/>
        <v>6615.1439999999993</v>
      </c>
      <c r="CU529" s="540">
        <f t="shared" si="1496"/>
        <v>6615.1439999999993</v>
      </c>
      <c r="CV529" s="540">
        <f t="shared" si="1497"/>
        <v>6615.1439999999993</v>
      </c>
      <c r="CW529" s="539">
        <f t="shared" si="1498"/>
        <v>6615.1439999999993</v>
      </c>
      <c r="CX529" s="539">
        <f t="shared" si="1499"/>
        <v>6615.1439999999993</v>
      </c>
      <c r="CY529" s="539">
        <f t="shared" si="1500"/>
        <v>6615.1439999999993</v>
      </c>
      <c r="CZ529" s="539">
        <f t="shared" si="1501"/>
        <v>6615.1439999999993</v>
      </c>
      <c r="DA529" s="539" t="str">
        <f t="shared" si="1502"/>
        <v/>
      </c>
      <c r="DB529" s="538" t="str">
        <f t="shared" si="1503"/>
        <v/>
      </c>
      <c r="DC529" s="537" t="str">
        <f t="shared" si="1504"/>
        <v/>
      </c>
      <c r="DD529" s="641">
        <f t="shared" si="1587"/>
        <v>10</v>
      </c>
      <c r="DE529" s="95">
        <f t="shared" si="1588"/>
        <v>10</v>
      </c>
      <c r="DF529" s="95">
        <f t="shared" si="1589"/>
        <v>10</v>
      </c>
      <c r="DG529" s="95">
        <f t="shared" si="1590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227</v>
      </c>
      <c r="B530" s="749" t="str">
        <f>IF(B528="","",B528*B529/B$46/365/$G$1)</f>
        <v/>
      </c>
      <c r="C530" s="749" t="str">
        <f t="shared" ref="C530:K530" si="1595">IF(C528="","",C528*C529/C$46/365/$G$1)</f>
        <v/>
      </c>
      <c r="D530" s="749" t="str">
        <f t="shared" si="1595"/>
        <v/>
      </c>
      <c r="E530" s="749" t="str">
        <f t="shared" si="1595"/>
        <v/>
      </c>
      <c r="F530" s="749" t="str">
        <f t="shared" si="1595"/>
        <v/>
      </c>
      <c r="G530" s="749" t="str">
        <f t="shared" si="1595"/>
        <v/>
      </c>
      <c r="H530" s="749" t="str">
        <f t="shared" si="1595"/>
        <v/>
      </c>
      <c r="I530" s="749" t="str">
        <f t="shared" si="1595"/>
        <v/>
      </c>
      <c r="J530" s="749" t="str">
        <f t="shared" si="1595"/>
        <v/>
      </c>
      <c r="K530" s="749" t="str">
        <f t="shared" si="1595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6">IF(T528="","",T528*T529/T$46/365/$G$1)</f>
        <v>0</v>
      </c>
      <c r="U530" s="749" t="str">
        <f t="shared" si="1596"/>
        <v/>
      </c>
      <c r="V530" s="749" t="str">
        <f t="shared" si="1596"/>
        <v/>
      </c>
      <c r="W530" s="749">
        <f t="shared" si="1596"/>
        <v>8.8970803486924047E-3</v>
      </c>
      <c r="X530" s="749" t="str">
        <f t="shared" si="1596"/>
        <v/>
      </c>
      <c r="Y530" s="749">
        <f t="shared" si="1596"/>
        <v>8.8970803486924047E-3</v>
      </c>
      <c r="Z530" s="749">
        <f t="shared" si="1596"/>
        <v>9.8856448318804489E-3</v>
      </c>
      <c r="AA530" s="749" t="str">
        <f t="shared" si="1596"/>
        <v/>
      </c>
      <c r="AB530" s="749">
        <f t="shared" si="1596"/>
        <v>1.1121350435865504E-2</v>
      </c>
      <c r="AC530" s="749">
        <f t="shared" si="1596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7">IF(AL528="","",AL528*AL529/AL$46/365/$G$1)</f>
        <v/>
      </c>
      <c r="AM530" s="749" t="str">
        <f t="shared" si="1597"/>
        <v/>
      </c>
      <c r="AN530" s="749" t="str">
        <f t="shared" si="1597"/>
        <v/>
      </c>
      <c r="AO530" s="749">
        <f t="shared" si="1597"/>
        <v>8.8970803486924047E-3</v>
      </c>
      <c r="AP530" s="749">
        <f t="shared" si="1597"/>
        <v>8.8970803486924047E-3</v>
      </c>
      <c r="AQ530" s="749">
        <f t="shared" si="1597"/>
        <v>1.7794160697384809E-2</v>
      </c>
      <c r="AR530" s="749">
        <f t="shared" si="1597"/>
        <v>1.271011478384629E-2</v>
      </c>
      <c r="AS530" s="749">
        <f t="shared" si="1597"/>
        <v>8.8970803486924047E-3</v>
      </c>
      <c r="AT530" s="749">
        <f t="shared" si="1597"/>
        <v>1.7794160697384809E-2</v>
      </c>
      <c r="AU530" s="749">
        <f t="shared" si="1597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8">IF(BD528="","",BD528*BD529/BD$46/365/$G$1)</f>
        <v>7.4142336239103367E-3</v>
      </c>
      <c r="BE530" s="749">
        <f t="shared" si="1598"/>
        <v>1.1121350435865504E-2</v>
      </c>
      <c r="BF530" s="749">
        <f t="shared" si="1598"/>
        <v>7.4142336239103367E-3</v>
      </c>
      <c r="BG530" s="749">
        <f t="shared" si="1598"/>
        <v>1.271011478384629E-2</v>
      </c>
      <c r="BH530" s="749">
        <f t="shared" si="1598"/>
        <v>8.0882548624476389E-3</v>
      </c>
      <c r="BI530" s="749">
        <f t="shared" si="1598"/>
        <v>8.8970803486924047E-3</v>
      </c>
      <c r="BJ530" s="749">
        <f t="shared" si="1598"/>
        <v>1.1121350435865504E-2</v>
      </c>
      <c r="BK530" s="749">
        <f t="shared" si="1598"/>
        <v>1.271011478384629E-2</v>
      </c>
      <c r="BL530" s="749">
        <f t="shared" si="1598"/>
        <v>8.0882548624476389E-3</v>
      </c>
      <c r="BM530" s="749">
        <f t="shared" si="1598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1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0">
        <f t="shared" si="1573"/>
        <v>8.8970803486924047E-3</v>
      </c>
      <c r="CF530" s="1320">
        <f t="shared" si="1573"/>
        <v>8.8970803486924047E-3</v>
      </c>
      <c r="CG530" s="1320">
        <f t="shared" si="1573"/>
        <v>8.8970803486924047E-3</v>
      </c>
      <c r="CH530" s="1321">
        <f t="shared" si="1573"/>
        <v>8.8970803486924047E-3</v>
      </c>
      <c r="CI530" s="1321">
        <f t="shared" si="1573"/>
        <v>1.271011478384629E-2</v>
      </c>
      <c r="CJ530" s="1320">
        <f t="shared" si="1573"/>
        <v>1.7794160697384809E-2</v>
      </c>
      <c r="CK530" s="1320">
        <f t="shared" si="1573"/>
        <v>1.7794160697384809E-2</v>
      </c>
      <c r="CL530" s="1320" t="str">
        <f t="shared" si="1573"/>
        <v/>
      </c>
      <c r="CM530" s="1319" t="str">
        <f t="shared" si="1573"/>
        <v/>
      </c>
      <c r="CN530" s="526" t="str">
        <f t="shared" si="1489"/>
        <v/>
      </c>
      <c r="CO530" s="527" t="str">
        <f t="shared" si="1490"/>
        <v/>
      </c>
      <c r="CP530" s="527" t="str">
        <f t="shared" si="1491"/>
        <v/>
      </c>
      <c r="CQ530" s="527">
        <f t="shared" si="1492"/>
        <v>7.4142336239103367E-3</v>
      </c>
      <c r="CR530" s="527">
        <f t="shared" si="1493"/>
        <v>7.4142336239103367E-3</v>
      </c>
      <c r="CS530" s="527">
        <f t="shared" si="1494"/>
        <v>8.0882548624476389E-3</v>
      </c>
      <c r="CT530" s="528">
        <f t="shared" si="1495"/>
        <v>8.0882548624476389E-3</v>
      </c>
      <c r="CU530" s="528">
        <f t="shared" si="1496"/>
        <v>8.8970803486924047E-3</v>
      </c>
      <c r="CV530" s="528">
        <f t="shared" si="1497"/>
        <v>1.1121350435865504E-2</v>
      </c>
      <c r="CW530" s="527">
        <f t="shared" si="1498"/>
        <v>1.1121350435865504E-2</v>
      </c>
      <c r="CX530" s="527">
        <f t="shared" si="1499"/>
        <v>1.271011478384629E-2</v>
      </c>
      <c r="CY530" s="527">
        <f t="shared" si="1500"/>
        <v>1.271011478384629E-2</v>
      </c>
      <c r="CZ530" s="527">
        <f t="shared" si="1501"/>
        <v>1.271011478384629E-2</v>
      </c>
      <c r="DA530" s="527" t="str">
        <f t="shared" si="1502"/>
        <v/>
      </c>
      <c r="DB530" s="526" t="str">
        <f t="shared" si="1503"/>
        <v/>
      </c>
      <c r="DC530" s="525" t="str">
        <f t="shared" si="1504"/>
        <v/>
      </c>
      <c r="DD530" s="641">
        <f t="shared" si="1587"/>
        <v>0</v>
      </c>
      <c r="DE530" s="95">
        <f t="shared" si="1588"/>
        <v>6</v>
      </c>
      <c r="DF530" s="95">
        <f t="shared" si="1589"/>
        <v>7</v>
      </c>
      <c r="DG530" s="95">
        <f t="shared" si="1590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1" t="s">
        <v>288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1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7">
        <f t="shared" si="1573"/>
        <v>13.9</v>
      </c>
      <c r="CF531" s="1317">
        <f t="shared" si="1573"/>
        <v>15</v>
      </c>
      <c r="CG531" s="1317">
        <f t="shared" si="1573"/>
        <v>15</v>
      </c>
      <c r="CH531" s="1318">
        <f t="shared" si="1573"/>
        <v>16</v>
      </c>
      <c r="CI531" s="1318">
        <f t="shared" si="1573"/>
        <v>17</v>
      </c>
      <c r="CJ531" s="1317">
        <f t="shared" si="1573"/>
        <v>17</v>
      </c>
      <c r="CK531" s="1317">
        <f t="shared" si="1573"/>
        <v>18</v>
      </c>
      <c r="CL531" s="1317" t="str">
        <f t="shared" si="1573"/>
        <v/>
      </c>
      <c r="CM531" s="1316" t="str">
        <f t="shared" si="1573"/>
        <v/>
      </c>
      <c r="CN531" s="538" t="str">
        <f t="shared" si="1489"/>
        <v/>
      </c>
      <c r="CO531" s="539" t="str">
        <f t="shared" si="1490"/>
        <v/>
      </c>
      <c r="CP531" s="539" t="str">
        <f t="shared" si="1491"/>
        <v/>
      </c>
      <c r="CQ531" s="539">
        <f t="shared" si="1492"/>
        <v>15</v>
      </c>
      <c r="CR531" s="539">
        <f t="shared" si="1493"/>
        <v>16</v>
      </c>
      <c r="CS531" s="539">
        <f t="shared" si="1494"/>
        <v>16.5</v>
      </c>
      <c r="CT531" s="540">
        <f t="shared" si="1495"/>
        <v>16.5</v>
      </c>
      <c r="CU531" s="540">
        <f t="shared" si="1496"/>
        <v>16.600000000000001</v>
      </c>
      <c r="CV531" s="540">
        <f t="shared" si="1497"/>
        <v>16.7</v>
      </c>
      <c r="CW531" s="539">
        <f t="shared" si="1498"/>
        <v>16.8</v>
      </c>
      <c r="CX531" s="539">
        <f t="shared" si="1499"/>
        <v>17</v>
      </c>
      <c r="CY531" s="539">
        <f t="shared" si="1500"/>
        <v>17</v>
      </c>
      <c r="CZ531" s="539">
        <f t="shared" si="1501"/>
        <v>17</v>
      </c>
      <c r="DA531" s="539" t="str">
        <f t="shared" si="1502"/>
        <v/>
      </c>
      <c r="DB531" s="538" t="str">
        <f t="shared" si="1503"/>
        <v/>
      </c>
      <c r="DC531" s="537" t="str">
        <f t="shared" si="1504"/>
        <v/>
      </c>
      <c r="DD531" s="641">
        <f t="shared" si="1587"/>
        <v>0</v>
      </c>
      <c r="DE531" s="95">
        <f t="shared" si="1588"/>
        <v>4</v>
      </c>
      <c r="DF531" s="95">
        <f t="shared" si="1589"/>
        <v>7</v>
      </c>
      <c r="DG531" s="95">
        <f t="shared" si="1590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286</v>
      </c>
      <c r="B532" s="746" t="str">
        <f>IF(B531="","",B528*B531)</f>
        <v/>
      </c>
      <c r="C532" s="746" t="str">
        <f t="shared" ref="C532:K532" si="1599">IF(C531="","",C528*C531)</f>
        <v/>
      </c>
      <c r="D532" s="746" t="str">
        <f t="shared" si="1599"/>
        <v/>
      </c>
      <c r="E532" s="746" t="str">
        <f t="shared" si="1599"/>
        <v/>
      </c>
      <c r="F532" s="746" t="str">
        <f t="shared" si="1599"/>
        <v/>
      </c>
      <c r="G532" s="746" t="str">
        <f t="shared" si="1599"/>
        <v/>
      </c>
      <c r="H532" s="746" t="str">
        <f t="shared" si="1599"/>
        <v/>
      </c>
      <c r="I532" s="746" t="str">
        <f t="shared" si="1599"/>
        <v/>
      </c>
      <c r="J532" s="746" t="str">
        <f t="shared" si="1599"/>
        <v/>
      </c>
      <c r="K532" s="746" t="str">
        <f t="shared" si="1599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600">IF(T531="","",T528*T531)</f>
        <v/>
      </c>
      <c r="U532" s="746" t="str">
        <f t="shared" si="1600"/>
        <v/>
      </c>
      <c r="V532" s="746" t="str">
        <f t="shared" si="1600"/>
        <v/>
      </c>
      <c r="W532" s="746" t="str">
        <f t="shared" si="1600"/>
        <v/>
      </c>
      <c r="X532" s="746" t="str">
        <f t="shared" si="1600"/>
        <v/>
      </c>
      <c r="Y532" s="746">
        <f t="shared" si="1600"/>
        <v>1080</v>
      </c>
      <c r="Z532" s="746">
        <f t="shared" si="1600"/>
        <v>840</v>
      </c>
      <c r="AA532" s="746" t="str">
        <f t="shared" si="1600"/>
        <v/>
      </c>
      <c r="AB532" s="746">
        <f t="shared" si="1600"/>
        <v>648</v>
      </c>
      <c r="AC532" s="746">
        <f t="shared" si="1600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601">IF(AL531="","",AL528*AL531)</f>
        <v/>
      </c>
      <c r="AM532" s="746" t="str">
        <f t="shared" si="1601"/>
        <v/>
      </c>
      <c r="AN532" s="746" t="str">
        <f t="shared" si="1601"/>
        <v/>
      </c>
      <c r="AO532" s="746">
        <f t="shared" si="1601"/>
        <v>777.6</v>
      </c>
      <c r="AP532" s="746">
        <f t="shared" si="1601"/>
        <v>600.48</v>
      </c>
      <c r="AQ532" s="746">
        <f t="shared" si="1601"/>
        <v>648</v>
      </c>
      <c r="AR532" s="746">
        <f t="shared" si="1601"/>
        <v>734.40000000000009</v>
      </c>
      <c r="AS532" s="746">
        <f t="shared" si="1601"/>
        <v>648</v>
      </c>
      <c r="AT532" s="746">
        <f t="shared" si="1601"/>
        <v>734.40000000000009</v>
      </c>
      <c r="AU532" s="746">
        <f t="shared" si="1601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2">IF(BD531="","",BD528*BD531)</f>
        <v>721.44</v>
      </c>
      <c r="BE532" s="746">
        <f t="shared" si="1602"/>
        <v>648</v>
      </c>
      <c r="BF532" s="746">
        <f t="shared" si="1602"/>
        <v>691.2</v>
      </c>
      <c r="BG532" s="746">
        <f t="shared" si="1602"/>
        <v>717.12000000000012</v>
      </c>
      <c r="BH532" s="746">
        <f t="shared" si="1602"/>
        <v>712.80000000000007</v>
      </c>
      <c r="BI532" s="746">
        <f t="shared" si="1602"/>
        <v>734.40000000000009</v>
      </c>
      <c r="BJ532" s="746">
        <f t="shared" si="1602"/>
        <v>734.40000000000009</v>
      </c>
      <c r="BK532" s="746">
        <f t="shared" si="1602"/>
        <v>712.80000000000007</v>
      </c>
      <c r="BL532" s="746">
        <f t="shared" si="1602"/>
        <v>725.7600000000001</v>
      </c>
      <c r="BM532" s="746">
        <f t="shared" si="1602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1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17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317">
        <f t="shared" si="1603"/>
        <v>648</v>
      </c>
      <c r="CG532" s="1317">
        <f t="shared" si="1603"/>
        <v>648</v>
      </c>
      <c r="CH532" s="1318">
        <f t="shared" si="1603"/>
        <v>691.2</v>
      </c>
      <c r="CI532" s="1318">
        <f t="shared" si="1603"/>
        <v>734.40000000000009</v>
      </c>
      <c r="CJ532" s="1317">
        <f t="shared" si="1603"/>
        <v>734.40000000000009</v>
      </c>
      <c r="CK532" s="1317">
        <f t="shared" si="1603"/>
        <v>777.6</v>
      </c>
      <c r="CL532" s="1317" t="str">
        <f t="shared" si="1603"/>
        <v/>
      </c>
      <c r="CM532" s="1316" t="str">
        <f t="shared" si="1603"/>
        <v/>
      </c>
      <c r="CN532" s="538" t="str">
        <f t="shared" si="1489"/>
        <v/>
      </c>
      <c r="CO532" s="539" t="str">
        <f t="shared" si="1490"/>
        <v/>
      </c>
      <c r="CP532" s="539" t="str">
        <f t="shared" si="1491"/>
        <v/>
      </c>
      <c r="CQ532" s="539">
        <f t="shared" si="1492"/>
        <v>648</v>
      </c>
      <c r="CR532" s="539">
        <f t="shared" si="1493"/>
        <v>691.2</v>
      </c>
      <c r="CS532" s="539">
        <f t="shared" si="1494"/>
        <v>712.80000000000007</v>
      </c>
      <c r="CT532" s="540">
        <f t="shared" si="1495"/>
        <v>712.80000000000007</v>
      </c>
      <c r="CU532" s="540">
        <f t="shared" si="1496"/>
        <v>717.12000000000012</v>
      </c>
      <c r="CV532" s="540">
        <f t="shared" si="1497"/>
        <v>721.44</v>
      </c>
      <c r="CW532" s="539">
        <f t="shared" si="1498"/>
        <v>725.7600000000001</v>
      </c>
      <c r="CX532" s="539">
        <f t="shared" si="1499"/>
        <v>734.40000000000009</v>
      </c>
      <c r="CY532" s="539">
        <f t="shared" si="1500"/>
        <v>734.40000000000009</v>
      </c>
      <c r="CZ532" s="539">
        <f t="shared" si="1501"/>
        <v>734.40000000000009</v>
      </c>
      <c r="DA532" s="539" t="str">
        <f t="shared" si="1502"/>
        <v/>
      </c>
      <c r="DB532" s="538" t="str">
        <f t="shared" si="1503"/>
        <v/>
      </c>
      <c r="DC532" s="537" t="str">
        <f t="shared" si="1504"/>
        <v/>
      </c>
      <c r="DD532" s="641">
        <f t="shared" si="1587"/>
        <v>0</v>
      </c>
      <c r="DE532" s="95">
        <f t="shared" si="1588"/>
        <v>4</v>
      </c>
      <c r="DF532" s="95">
        <f t="shared" si="1589"/>
        <v>7</v>
      </c>
      <c r="DG532" s="95">
        <f t="shared" si="1590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394" t="s">
        <v>738</v>
      </c>
      <c r="B533" s="629" t="s">
        <v>267</v>
      </c>
      <c r="C533" s="629" t="s">
        <v>267</v>
      </c>
      <c r="D533" s="629" t="s">
        <v>267</v>
      </c>
      <c r="E533" s="629" t="s">
        <v>267</v>
      </c>
      <c r="F533" s="629" t="s">
        <v>267</v>
      </c>
      <c r="G533" s="629" t="s">
        <v>267</v>
      </c>
      <c r="H533" s="629" t="s">
        <v>267</v>
      </c>
      <c r="I533" s="629" t="s">
        <v>267</v>
      </c>
      <c r="J533" s="629" t="s">
        <v>267</v>
      </c>
      <c r="K533" s="629" t="s">
        <v>267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267</v>
      </c>
      <c r="U533" s="629" t="s">
        <v>267</v>
      </c>
      <c r="V533" s="629" t="s">
        <v>267</v>
      </c>
      <c r="W533" s="629" t="s">
        <v>267</v>
      </c>
      <c r="X533" s="629" t="s">
        <v>267</v>
      </c>
      <c r="Y533" s="629" t="s">
        <v>267</v>
      </c>
      <c r="Z533" s="629" t="s">
        <v>267</v>
      </c>
      <c r="AA533" s="629" t="s">
        <v>267</v>
      </c>
      <c r="AB533" s="629" t="s">
        <v>267</v>
      </c>
      <c r="AC533" s="629" t="s">
        <v>267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267</v>
      </c>
      <c r="AM533" s="629" t="s">
        <v>267</v>
      </c>
      <c r="AN533" s="629" t="s">
        <v>267</v>
      </c>
      <c r="AO533" s="629" t="s">
        <v>267</v>
      </c>
      <c r="AP533" s="629" t="s">
        <v>267</v>
      </c>
      <c r="AQ533" s="629" t="s">
        <v>267</v>
      </c>
      <c r="AR533" s="629" t="s">
        <v>267</v>
      </c>
      <c r="AS533" s="629" t="s">
        <v>267</v>
      </c>
      <c r="AT533" s="629" t="s">
        <v>267</v>
      </c>
      <c r="AU533" s="629" t="s">
        <v>267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267</v>
      </c>
      <c r="BE533" s="629" t="s">
        <v>267</v>
      </c>
      <c r="BF533" s="629" t="s">
        <v>267</v>
      </c>
      <c r="BG533" s="629" t="s">
        <v>267</v>
      </c>
      <c r="BH533" s="629" t="s">
        <v>267</v>
      </c>
      <c r="BI533" s="629" t="s">
        <v>267</v>
      </c>
      <c r="BJ533" s="629" t="s">
        <v>267</v>
      </c>
      <c r="BK533" s="629" t="s">
        <v>267</v>
      </c>
      <c r="BL533" s="629" t="s">
        <v>267</v>
      </c>
      <c r="BM533" s="629" t="s">
        <v>267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267</v>
      </c>
      <c r="BW533" s="629" t="s">
        <v>267</v>
      </c>
      <c r="BX533" s="629" t="s">
        <v>267</v>
      </c>
      <c r="BY533" s="629" t="s">
        <v>267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9"/>
        <v/>
      </c>
      <c r="CO533" s="539" t="str">
        <f t="shared" si="1490"/>
        <v/>
      </c>
      <c r="CP533" s="539" t="str">
        <f t="shared" si="1491"/>
        <v/>
      </c>
      <c r="CQ533" s="539" t="str">
        <f t="shared" si="1492"/>
        <v/>
      </c>
      <c r="CR533" s="539" t="str">
        <f t="shared" si="1493"/>
        <v/>
      </c>
      <c r="CS533" s="539" t="str">
        <f t="shared" si="1494"/>
        <v/>
      </c>
      <c r="CT533" s="540" t="str">
        <f t="shared" si="1495"/>
        <v/>
      </c>
      <c r="CU533" s="540" t="str">
        <f t="shared" si="1496"/>
        <v/>
      </c>
      <c r="CV533" s="540" t="str">
        <f t="shared" si="1497"/>
        <v/>
      </c>
      <c r="CW533" s="539" t="str">
        <f t="shared" si="1498"/>
        <v/>
      </c>
      <c r="CX533" s="539" t="str">
        <f t="shared" si="1499"/>
        <v/>
      </c>
      <c r="CY533" s="539" t="str">
        <f t="shared" si="1500"/>
        <v/>
      </c>
      <c r="CZ533" s="539" t="str">
        <f t="shared" si="1501"/>
        <v/>
      </c>
      <c r="DA533" s="539" t="str">
        <f t="shared" si="1502"/>
        <v/>
      </c>
      <c r="DB533" s="538" t="str">
        <f t="shared" si="1503"/>
        <v/>
      </c>
      <c r="DC533" s="537" t="str">
        <f t="shared" si="1504"/>
        <v/>
      </c>
      <c r="DD533" s="641">
        <f t="shared" si="1587"/>
        <v>0</v>
      </c>
      <c r="DE533" s="95">
        <f t="shared" si="1588"/>
        <v>0</v>
      </c>
      <c r="DF533" s="95">
        <f t="shared" si="1589"/>
        <v>0</v>
      </c>
      <c r="DG533" s="95">
        <f t="shared" si="1590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293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4">IF(DD534&lt;3,"",(SUM(B534:R534)-MIN(B534:R534)-MAX(B534:R534))/(DD534-2))</f>
        <v/>
      </c>
      <c r="CA534" s="586">
        <f t="shared" ref="CA534:CA544" si="1605">IF(DE534&lt;3,"",(SUM(T534:AJ534)-MIN(T534:AJ534)-MAX(T534:AJ534))/(DE534-2))</f>
        <v>48</v>
      </c>
      <c r="CB534" s="586">
        <f t="shared" ref="CB534:CB544" si="1606">IF(DF534&lt;3,"",(SUM(AL534:BB534)-MIN(AL534:BB534)-MAX(AL534:BB534))/(DF534-2))</f>
        <v>48</v>
      </c>
      <c r="CC534" s="676">
        <f t="shared" ref="CC534:CC544" si="1607">IF(DG534&lt;3,"",(SUM(BD534:BT534)-MIN(BD534:BT534)-MAX(BD534:BT534))/(DG534-2))</f>
        <v>60</v>
      </c>
      <c r="CD534" s="1316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17">
        <f t="shared" si="1603"/>
        <v>0</v>
      </c>
      <c r="CF534" s="1317">
        <f t="shared" si="1603"/>
        <v>24</v>
      </c>
      <c r="CG534" s="1317">
        <f t="shared" si="1603"/>
        <v>24</v>
      </c>
      <c r="CH534" s="1318">
        <f t="shared" si="1603"/>
        <v>60</v>
      </c>
      <c r="CI534" s="1318">
        <f t="shared" si="1603"/>
        <v>60</v>
      </c>
      <c r="CJ534" s="1317">
        <f t="shared" si="1603"/>
        <v>60</v>
      </c>
      <c r="CK534" s="1317">
        <f t="shared" si="1603"/>
        <v>60</v>
      </c>
      <c r="CL534" s="1317">
        <f t="shared" si="1603"/>
        <v>60</v>
      </c>
      <c r="CM534" s="1316" t="str">
        <f t="shared" si="1603"/>
        <v/>
      </c>
      <c r="CN534" s="538" t="str">
        <f t="shared" si="1489"/>
        <v/>
      </c>
      <c r="CO534" s="539" t="str">
        <f t="shared" si="1490"/>
        <v/>
      </c>
      <c r="CP534" s="539" t="str">
        <f t="shared" si="1491"/>
        <v/>
      </c>
      <c r="CQ534" s="539">
        <f t="shared" si="1492"/>
        <v>24</v>
      </c>
      <c r="CR534" s="539">
        <f t="shared" si="1493"/>
        <v>60</v>
      </c>
      <c r="CS534" s="539">
        <f t="shared" si="1494"/>
        <v>60</v>
      </c>
      <c r="CT534" s="540">
        <f t="shared" si="1495"/>
        <v>60</v>
      </c>
      <c r="CU534" s="540">
        <f t="shared" si="1496"/>
        <v>60</v>
      </c>
      <c r="CV534" s="540">
        <f t="shared" si="1497"/>
        <v>60</v>
      </c>
      <c r="CW534" s="539">
        <f t="shared" si="1498"/>
        <v>60</v>
      </c>
      <c r="CX534" s="539">
        <f t="shared" si="1499"/>
        <v>60</v>
      </c>
      <c r="CY534" s="539">
        <f t="shared" si="1500"/>
        <v>60</v>
      </c>
      <c r="CZ534" s="539">
        <f t="shared" si="1501"/>
        <v>144</v>
      </c>
      <c r="DA534" s="539" t="str">
        <f t="shared" si="1502"/>
        <v/>
      </c>
      <c r="DB534" s="538" t="str">
        <f t="shared" si="1503"/>
        <v/>
      </c>
      <c r="DC534" s="537" t="str">
        <f t="shared" si="1504"/>
        <v/>
      </c>
      <c r="DD534" s="641">
        <f t="shared" si="1587"/>
        <v>1</v>
      </c>
      <c r="DE534" s="95">
        <f t="shared" si="1588"/>
        <v>8</v>
      </c>
      <c r="DF534" s="95">
        <f t="shared" si="1589"/>
        <v>8</v>
      </c>
      <c r="DG534" s="95">
        <f t="shared" si="1590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284</v>
      </c>
      <c r="B535" s="747">
        <f>2150*$K$1</f>
        <v>9001.619999999999</v>
      </c>
      <c r="C535" s="747">
        <f t="shared" ref="C535:K535" si="1609">2150*$K$1</f>
        <v>9001.619999999999</v>
      </c>
      <c r="D535" s="747">
        <f t="shared" si="1609"/>
        <v>9001.619999999999</v>
      </c>
      <c r="E535" s="747">
        <f t="shared" si="1609"/>
        <v>9001.619999999999</v>
      </c>
      <c r="F535" s="747">
        <f t="shared" si="1609"/>
        <v>9001.619999999999</v>
      </c>
      <c r="G535" s="747">
        <f t="shared" si="1609"/>
        <v>9001.619999999999</v>
      </c>
      <c r="H535" s="747">
        <f t="shared" si="1609"/>
        <v>9001.619999999999</v>
      </c>
      <c r="I535" s="747">
        <f t="shared" si="1609"/>
        <v>9001.619999999999</v>
      </c>
      <c r="J535" s="747">
        <f t="shared" si="1609"/>
        <v>9001.619999999999</v>
      </c>
      <c r="K535" s="747">
        <f t="shared" si="1609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10">2150*$K$1</f>
        <v>9001.619999999999</v>
      </c>
      <c r="V535" s="747">
        <f t="shared" si="1610"/>
        <v>9001.619999999999</v>
      </c>
      <c r="W535" s="747">
        <f t="shared" si="1610"/>
        <v>9001.619999999999</v>
      </c>
      <c r="X535" s="747">
        <f t="shared" si="1610"/>
        <v>9001.619999999999</v>
      </c>
      <c r="Y535" s="747">
        <f t="shared" si="1610"/>
        <v>9001.619999999999</v>
      </c>
      <c r="Z535" s="747">
        <f t="shared" si="1610"/>
        <v>9001.619999999999</v>
      </c>
      <c r="AA535" s="747">
        <f t="shared" si="1610"/>
        <v>9001.619999999999</v>
      </c>
      <c r="AB535" s="747">
        <f t="shared" si="1610"/>
        <v>9001.619999999999</v>
      </c>
      <c r="AC535" s="747">
        <f t="shared" si="1610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11">2150*$K$1</f>
        <v>9001.619999999999</v>
      </c>
      <c r="AN535" s="747">
        <f t="shared" si="1611"/>
        <v>9001.619999999999</v>
      </c>
      <c r="AO535" s="747">
        <f t="shared" si="1611"/>
        <v>9001.619999999999</v>
      </c>
      <c r="AP535" s="747">
        <f t="shared" si="1611"/>
        <v>9001.619999999999</v>
      </c>
      <c r="AQ535" s="747">
        <f t="shared" si="1611"/>
        <v>9001.619999999999</v>
      </c>
      <c r="AR535" s="747">
        <f t="shared" si="1611"/>
        <v>9001.619999999999</v>
      </c>
      <c r="AS535" s="747">
        <f t="shared" si="1611"/>
        <v>9001.619999999999</v>
      </c>
      <c r="AT535" s="747">
        <f t="shared" si="1611"/>
        <v>9001.619999999999</v>
      </c>
      <c r="AU535" s="747">
        <f t="shared" si="1611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2">2150*$K$1</f>
        <v>9001.619999999999</v>
      </c>
      <c r="BF535" s="747">
        <f t="shared" si="1612"/>
        <v>9001.619999999999</v>
      </c>
      <c r="BG535" s="747">
        <f t="shared" si="1612"/>
        <v>9001.619999999999</v>
      </c>
      <c r="BH535" s="747">
        <f t="shared" si="1612"/>
        <v>9001.619999999999</v>
      </c>
      <c r="BI535" s="747">
        <f t="shared" si="1612"/>
        <v>9001.619999999999</v>
      </c>
      <c r="BJ535" s="747">
        <f t="shared" si="1612"/>
        <v>9001.619999999999</v>
      </c>
      <c r="BK535" s="747">
        <f t="shared" si="1612"/>
        <v>9001.619999999999</v>
      </c>
      <c r="BL535" s="747">
        <f t="shared" si="1612"/>
        <v>9001.619999999999</v>
      </c>
      <c r="BM535" s="747">
        <f t="shared" si="1612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2"/>
        <v>9001.619999999999</v>
      </c>
      <c r="BW535" s="747">
        <f t="shared" si="1612"/>
        <v>9001.619999999999</v>
      </c>
      <c r="BX535" s="747">
        <f t="shared" si="1612"/>
        <v>9001.619999999999</v>
      </c>
      <c r="BY535" s="747">
        <f t="shared" si="1612"/>
        <v>9001.619999999999</v>
      </c>
      <c r="BZ535" s="586">
        <f t="shared" si="1604"/>
        <v>9001.6199999999972</v>
      </c>
      <c r="CA535" s="586">
        <f t="shared" si="1605"/>
        <v>9001.6199999999972</v>
      </c>
      <c r="CB535" s="586">
        <f t="shared" si="1606"/>
        <v>9001.6199999999972</v>
      </c>
      <c r="CC535" s="676">
        <f t="shared" si="1607"/>
        <v>9001.6199999999972</v>
      </c>
      <c r="CD535" s="1316">
        <f t="shared" si="1608"/>
        <v>9001.619999999999</v>
      </c>
      <c r="CE535" s="1317">
        <f t="shared" si="1603"/>
        <v>9001.619999999999</v>
      </c>
      <c r="CF535" s="1317">
        <f t="shared" si="1603"/>
        <v>9001.619999999999</v>
      </c>
      <c r="CG535" s="1317">
        <f t="shared" si="1603"/>
        <v>9001.619999999999</v>
      </c>
      <c r="CH535" s="1318">
        <f t="shared" si="1603"/>
        <v>9001.619999999999</v>
      </c>
      <c r="CI535" s="1318">
        <f t="shared" si="1603"/>
        <v>9001.619999999999</v>
      </c>
      <c r="CJ535" s="1317">
        <f t="shared" si="1603"/>
        <v>9001.619999999999</v>
      </c>
      <c r="CK535" s="1317">
        <f t="shared" si="1603"/>
        <v>9001.619999999999</v>
      </c>
      <c r="CL535" s="1317">
        <f t="shared" si="1603"/>
        <v>9001.619999999999</v>
      </c>
      <c r="CM535" s="1316">
        <f t="shared" si="1603"/>
        <v>9001.619999999999</v>
      </c>
      <c r="CN535" s="538" t="str">
        <f t="shared" si="1489"/>
        <v/>
      </c>
      <c r="CO535" s="539" t="str">
        <f t="shared" si="1490"/>
        <v/>
      </c>
      <c r="CP535" s="539" t="str">
        <f t="shared" si="1491"/>
        <v/>
      </c>
      <c r="CQ535" s="539">
        <f t="shared" si="1492"/>
        <v>9001.619999999999</v>
      </c>
      <c r="CR535" s="539">
        <f t="shared" si="1493"/>
        <v>9001.619999999999</v>
      </c>
      <c r="CS535" s="539">
        <f t="shared" si="1494"/>
        <v>9001.619999999999</v>
      </c>
      <c r="CT535" s="540">
        <f t="shared" si="1495"/>
        <v>9001.619999999999</v>
      </c>
      <c r="CU535" s="540">
        <f t="shared" si="1496"/>
        <v>9001.619999999999</v>
      </c>
      <c r="CV535" s="540">
        <f t="shared" si="1497"/>
        <v>9001.619999999999</v>
      </c>
      <c r="CW535" s="539">
        <f t="shared" si="1498"/>
        <v>9001.619999999999</v>
      </c>
      <c r="CX535" s="539">
        <f t="shared" si="1499"/>
        <v>9001.619999999999</v>
      </c>
      <c r="CY535" s="539">
        <f t="shared" si="1500"/>
        <v>9001.619999999999</v>
      </c>
      <c r="CZ535" s="539">
        <f t="shared" si="1501"/>
        <v>9001.619999999999</v>
      </c>
      <c r="DA535" s="539" t="str">
        <f t="shared" si="1502"/>
        <v/>
      </c>
      <c r="DB535" s="538" t="str">
        <f t="shared" si="1503"/>
        <v/>
      </c>
      <c r="DC535" s="537" t="str">
        <f t="shared" si="1504"/>
        <v/>
      </c>
      <c r="DD535" s="641">
        <f t="shared" si="1587"/>
        <v>10</v>
      </c>
      <c r="DE535" s="95">
        <f t="shared" si="1588"/>
        <v>10</v>
      </c>
      <c r="DF535" s="95">
        <f t="shared" si="1589"/>
        <v>10</v>
      </c>
      <c r="DG535" s="95">
        <f t="shared" si="1590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227</v>
      </c>
      <c r="B536" s="749" t="str">
        <f t="shared" ref="B536:K536" si="1613">IF(B534="","",B534*B535/B$46/365/$G$1)</f>
        <v/>
      </c>
      <c r="C536" s="749" t="str">
        <f t="shared" si="1613"/>
        <v/>
      </c>
      <c r="D536" s="749" t="str">
        <f t="shared" si="1613"/>
        <v/>
      </c>
      <c r="E536" s="749" t="str">
        <f t="shared" si="1613"/>
        <v/>
      </c>
      <c r="F536" s="749" t="str">
        <f t="shared" si="1613"/>
        <v/>
      </c>
      <c r="G536" s="749" t="str">
        <f t="shared" si="1613"/>
        <v/>
      </c>
      <c r="H536" s="749" t="str">
        <f t="shared" si="1613"/>
        <v/>
      </c>
      <c r="I536" s="749">
        <f t="shared" si="1613"/>
        <v>1.1209987546699874E-2</v>
      </c>
      <c r="J536" s="749" t="str">
        <f t="shared" si="1613"/>
        <v/>
      </c>
      <c r="K536" s="749" t="str">
        <f t="shared" si="1613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4">IF(T534="","",T534*T535/T$46/365/$G$1)</f>
        <v>2.1018726650062266E-2</v>
      </c>
      <c r="U536" s="749" t="str">
        <f t="shared" si="1614"/>
        <v/>
      </c>
      <c r="V536" s="749">
        <f t="shared" si="1614"/>
        <v>7.4733250311332482E-3</v>
      </c>
      <c r="W536" s="749">
        <f t="shared" si="1614"/>
        <v>1.6814981320049813E-2</v>
      </c>
      <c r="X536" s="749">
        <f t="shared" si="1614"/>
        <v>8.4074906600249064E-3</v>
      </c>
      <c r="Y536" s="749" t="str">
        <f t="shared" si="1614"/>
        <v/>
      </c>
      <c r="Z536" s="749">
        <f t="shared" si="1614"/>
        <v>1.8683312577833126E-2</v>
      </c>
      <c r="AA536" s="749">
        <f t="shared" si="1614"/>
        <v>6.7259925280199247E-3</v>
      </c>
      <c r="AB536" s="749">
        <f t="shared" si="1614"/>
        <v>2.1018726650062266E-2</v>
      </c>
      <c r="AC536" s="749">
        <f t="shared" si="1614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5">IF(AL534="","",AL534*AL535/AL$46/365/$G$1)</f>
        <v/>
      </c>
      <c r="AM536" s="749">
        <f t="shared" si="1615"/>
        <v>8.4074906600249064E-3</v>
      </c>
      <c r="AN536" s="749">
        <f t="shared" si="1615"/>
        <v>0</v>
      </c>
      <c r="AO536" s="749">
        <f t="shared" si="1615"/>
        <v>1.6814981320049813E-2</v>
      </c>
      <c r="AP536" s="749">
        <f t="shared" si="1615"/>
        <v>6.7259925280199247E-3</v>
      </c>
      <c r="AQ536" s="749" t="str">
        <f t="shared" si="1615"/>
        <v/>
      </c>
      <c r="AR536" s="749">
        <f t="shared" si="1615"/>
        <v>2.4021401885785446E-2</v>
      </c>
      <c r="AS536" s="749">
        <f t="shared" si="1615"/>
        <v>1.6814981320049813E-2</v>
      </c>
      <c r="AT536" s="749">
        <f t="shared" si="1615"/>
        <v>3.3629962640099625E-2</v>
      </c>
      <c r="AU536" s="749">
        <f t="shared" si="1615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6">IF(BD534="","",BD534*BD535/BD$46/365/$G$1)</f>
        <v>1.4012484433374845E-2</v>
      </c>
      <c r="BE536" s="749">
        <f t="shared" si="1616"/>
        <v>2.1018726650062266E-2</v>
      </c>
      <c r="BF536" s="749">
        <f t="shared" si="1616"/>
        <v>1.4012484433374845E-2</v>
      </c>
      <c r="BG536" s="749">
        <f t="shared" si="1616"/>
        <v>2.4021401885785446E-2</v>
      </c>
      <c r="BH536" s="749">
        <f t="shared" si="1616"/>
        <v>3.6687231971017767E-2</v>
      </c>
      <c r="BI536" s="749">
        <f t="shared" si="1616"/>
        <v>1.6814981320049813E-2</v>
      </c>
      <c r="BJ536" s="749">
        <f t="shared" si="1616"/>
        <v>2.1018726650062266E-2</v>
      </c>
      <c r="BK536" s="749">
        <f t="shared" si="1616"/>
        <v>9.6085607543141775E-3</v>
      </c>
      <c r="BL536" s="749">
        <f t="shared" si="1616"/>
        <v>1.528634665459074E-2</v>
      </c>
      <c r="BM536" s="749">
        <f t="shared" si="1616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4"/>
        <v/>
      </c>
      <c r="CA536" s="611">
        <f t="shared" si="1605"/>
        <v>1.5180191469489413E-2</v>
      </c>
      <c r="CB536" s="611">
        <f t="shared" si="1606"/>
        <v>1.4933304838996618E-2</v>
      </c>
      <c r="CC536" s="611">
        <f t="shared" si="1607"/>
        <v>1.877581923913571E-2</v>
      </c>
      <c r="CD536" s="1319" t="str">
        <f t="shared" si="1608"/>
        <v/>
      </c>
      <c r="CE536" s="1320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320">
        <f t="shared" si="1617"/>
        <v>6.7259925280199247E-3</v>
      </c>
      <c r="CG536" s="1320">
        <f t="shared" si="1617"/>
        <v>8.4074906600249064E-3</v>
      </c>
      <c r="CH536" s="1321">
        <f t="shared" si="1617"/>
        <v>1.6814981320049813E-2</v>
      </c>
      <c r="CI536" s="1321">
        <f t="shared" si="1617"/>
        <v>1.6814981320049813E-2</v>
      </c>
      <c r="CJ536" s="1320">
        <f t="shared" si="1617"/>
        <v>1.6814981320049813E-2</v>
      </c>
      <c r="CK536" s="1320">
        <f t="shared" si="1617"/>
        <v>2.4021401885785446E-2</v>
      </c>
      <c r="CL536" s="1320">
        <f t="shared" si="1617"/>
        <v>3.3629962640099625E-2</v>
      </c>
      <c r="CM536" s="1319" t="str">
        <f t="shared" si="1617"/>
        <v/>
      </c>
      <c r="CN536" s="526" t="str">
        <f t="shared" si="1489"/>
        <v/>
      </c>
      <c r="CO536" s="527" t="str">
        <f t="shared" si="1490"/>
        <v/>
      </c>
      <c r="CP536" s="527" t="str">
        <f t="shared" si="1491"/>
        <v/>
      </c>
      <c r="CQ536" s="527">
        <f t="shared" si="1492"/>
        <v>9.6085607543141775E-3</v>
      </c>
      <c r="CR536" s="527">
        <f t="shared" si="1493"/>
        <v>1.4012484433374845E-2</v>
      </c>
      <c r="CS536" s="527">
        <f t="shared" si="1494"/>
        <v>1.4012484433374845E-2</v>
      </c>
      <c r="CT536" s="528">
        <f t="shared" si="1495"/>
        <v>1.528634665459074E-2</v>
      </c>
      <c r="CU536" s="528">
        <f t="shared" si="1496"/>
        <v>1.6814981320049813E-2</v>
      </c>
      <c r="CV536" s="528">
        <f t="shared" si="1497"/>
        <v>2.1018726650062266E-2</v>
      </c>
      <c r="CW536" s="527">
        <f t="shared" si="1498"/>
        <v>2.1018726650062266E-2</v>
      </c>
      <c r="CX536" s="527">
        <f t="shared" si="1499"/>
        <v>2.4021401885785446E-2</v>
      </c>
      <c r="CY536" s="527">
        <f t="shared" si="1500"/>
        <v>2.4021401885785446E-2</v>
      </c>
      <c r="CZ536" s="527">
        <f t="shared" si="1501"/>
        <v>3.6687231971017767E-2</v>
      </c>
      <c r="DA536" s="527" t="str">
        <f t="shared" si="1502"/>
        <v/>
      </c>
      <c r="DB536" s="526" t="str">
        <f t="shared" si="1503"/>
        <v/>
      </c>
      <c r="DC536" s="525" t="str">
        <f t="shared" si="1504"/>
        <v/>
      </c>
      <c r="DD536" s="641">
        <f t="shared" si="1587"/>
        <v>1</v>
      </c>
      <c r="DE536" s="95">
        <f t="shared" si="1588"/>
        <v>8</v>
      </c>
      <c r="DF536" s="95">
        <f t="shared" si="1589"/>
        <v>8</v>
      </c>
      <c r="DG536" s="95">
        <f t="shared" si="1590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1" t="s">
        <v>288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4"/>
        <v/>
      </c>
      <c r="CA537" s="586">
        <f t="shared" si="1605"/>
        <v>18</v>
      </c>
      <c r="CB537" s="586">
        <f t="shared" si="1606"/>
        <v>16.333333333333332</v>
      </c>
      <c r="CC537" s="676">
        <f t="shared" si="1607"/>
        <v>20.4375</v>
      </c>
      <c r="CD537" s="1316" t="str">
        <f t="shared" si="1608"/>
        <v/>
      </c>
      <c r="CE537" s="1317">
        <f t="shared" si="1603"/>
        <v>0</v>
      </c>
      <c r="CF537" s="1317">
        <f t="shared" si="1603"/>
        <v>10</v>
      </c>
      <c r="CG537" s="1317">
        <f t="shared" si="1603"/>
        <v>13</v>
      </c>
      <c r="CH537" s="1318">
        <f t="shared" si="1603"/>
        <v>16</v>
      </c>
      <c r="CI537" s="1318">
        <f t="shared" si="1603"/>
        <v>19.5</v>
      </c>
      <c r="CJ537" s="1317">
        <f t="shared" si="1603"/>
        <v>19.5</v>
      </c>
      <c r="CK537" s="1317">
        <f t="shared" si="1603"/>
        <v>20</v>
      </c>
      <c r="CL537" s="1317">
        <f t="shared" si="1603"/>
        <v>20</v>
      </c>
      <c r="CM537" s="1316" t="str">
        <f t="shared" si="1603"/>
        <v/>
      </c>
      <c r="CN537" s="538" t="str">
        <f t="shared" si="1489"/>
        <v/>
      </c>
      <c r="CO537" s="539" t="str">
        <f t="shared" si="1490"/>
        <v/>
      </c>
      <c r="CP537" s="539" t="str">
        <f t="shared" si="1491"/>
        <v/>
      </c>
      <c r="CQ537" s="539">
        <f t="shared" si="1492"/>
        <v>17.5</v>
      </c>
      <c r="CR537" s="539">
        <f t="shared" si="1493"/>
        <v>18</v>
      </c>
      <c r="CS537" s="539">
        <f t="shared" si="1494"/>
        <v>19</v>
      </c>
      <c r="CT537" s="540">
        <f t="shared" si="1495"/>
        <v>19</v>
      </c>
      <c r="CU537" s="540">
        <f t="shared" si="1496"/>
        <v>20</v>
      </c>
      <c r="CV537" s="540">
        <f t="shared" si="1497"/>
        <v>21</v>
      </c>
      <c r="CW537" s="539">
        <f t="shared" si="1498"/>
        <v>22</v>
      </c>
      <c r="CX537" s="539">
        <f t="shared" si="1499"/>
        <v>22</v>
      </c>
      <c r="CY537" s="539">
        <f t="shared" si="1500"/>
        <v>22.5</v>
      </c>
      <c r="CZ537" s="539">
        <f t="shared" si="1501"/>
        <v>22.5</v>
      </c>
      <c r="DA537" s="539" t="str">
        <f t="shared" si="1502"/>
        <v/>
      </c>
      <c r="DB537" s="538" t="str">
        <f t="shared" si="1503"/>
        <v/>
      </c>
      <c r="DC537" s="537" t="str">
        <f t="shared" si="1504"/>
        <v/>
      </c>
      <c r="DD537" s="641">
        <f t="shared" si="1587"/>
        <v>1</v>
      </c>
      <c r="DE537" s="95">
        <f t="shared" si="1588"/>
        <v>6</v>
      </c>
      <c r="DF537" s="95">
        <f t="shared" si="1589"/>
        <v>8</v>
      </c>
      <c r="DG537" s="95">
        <f t="shared" si="1590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286</v>
      </c>
      <c r="B538" s="746" t="str">
        <f t="shared" ref="B538:K538" si="1618">IF(B537="","",B534*B537)</f>
        <v/>
      </c>
      <c r="C538" s="746" t="str">
        <f t="shared" si="1618"/>
        <v/>
      </c>
      <c r="D538" s="746" t="str">
        <f t="shared" si="1618"/>
        <v/>
      </c>
      <c r="E538" s="746" t="str">
        <f t="shared" si="1618"/>
        <v/>
      </c>
      <c r="F538" s="746" t="str">
        <f t="shared" si="1618"/>
        <v/>
      </c>
      <c r="G538" s="746" t="str">
        <f t="shared" si="1618"/>
        <v/>
      </c>
      <c r="H538" s="746" t="str">
        <f t="shared" si="1618"/>
        <v/>
      </c>
      <c r="I538" s="746">
        <f t="shared" si="1618"/>
        <v>350</v>
      </c>
      <c r="J538" s="746" t="str">
        <f t="shared" si="1618"/>
        <v/>
      </c>
      <c r="K538" s="746" t="str">
        <f t="shared" si="1618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9">IF(T537="","",T534*T537)</f>
        <v>660</v>
      </c>
      <c r="U538" s="746" t="str">
        <f t="shared" si="1619"/>
        <v/>
      </c>
      <c r="V538" s="746" t="str">
        <f t="shared" si="1619"/>
        <v/>
      </c>
      <c r="W538" s="746" t="str">
        <f t="shared" si="1619"/>
        <v/>
      </c>
      <c r="X538" s="746">
        <f t="shared" si="1619"/>
        <v>420</v>
      </c>
      <c r="Y538" s="746" t="str">
        <f t="shared" si="1619"/>
        <v/>
      </c>
      <c r="Z538" s="746">
        <f t="shared" si="1619"/>
        <v>1140</v>
      </c>
      <c r="AA538" s="746">
        <f t="shared" si="1619"/>
        <v>420</v>
      </c>
      <c r="AB538" s="746">
        <f t="shared" si="1619"/>
        <v>1080</v>
      </c>
      <c r="AC538" s="746">
        <f t="shared" si="1619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20">IF(AL537="","",AL534*AL537)</f>
        <v/>
      </c>
      <c r="AM538" s="746">
        <f t="shared" si="1620"/>
        <v>480</v>
      </c>
      <c r="AN538" s="746">
        <f t="shared" si="1620"/>
        <v>0</v>
      </c>
      <c r="AO538" s="746">
        <f t="shared" si="1620"/>
        <v>780</v>
      </c>
      <c r="AP538" s="746">
        <f t="shared" si="1620"/>
        <v>468</v>
      </c>
      <c r="AQ538" s="746" t="str">
        <f t="shared" si="1620"/>
        <v/>
      </c>
      <c r="AR538" s="746">
        <f t="shared" si="1620"/>
        <v>1200</v>
      </c>
      <c r="AS538" s="746">
        <f t="shared" si="1620"/>
        <v>960</v>
      </c>
      <c r="AT538" s="746">
        <f t="shared" si="1620"/>
        <v>600</v>
      </c>
      <c r="AU538" s="746">
        <f t="shared" si="1620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21">IF(BD537="","",BD534*BD537)</f>
        <v>1200</v>
      </c>
      <c r="BE538" s="746">
        <f t="shared" si="1621"/>
        <v>1260</v>
      </c>
      <c r="BF538" s="746">
        <f t="shared" si="1621"/>
        <v>1140</v>
      </c>
      <c r="BG538" s="746">
        <f t="shared" si="1621"/>
        <v>1320</v>
      </c>
      <c r="BH538" s="746">
        <f t="shared" si="1621"/>
        <v>2520</v>
      </c>
      <c r="BI538" s="746">
        <f t="shared" si="1621"/>
        <v>1080</v>
      </c>
      <c r="BJ538" s="746">
        <f t="shared" si="1621"/>
        <v>1140</v>
      </c>
      <c r="BK538" s="746">
        <f t="shared" si="1621"/>
        <v>540</v>
      </c>
      <c r="BL538" s="746">
        <f t="shared" si="1621"/>
        <v>1350</v>
      </c>
      <c r="BM538" s="746">
        <f t="shared" si="1621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4"/>
        <v/>
      </c>
      <c r="CA538" s="586">
        <f t="shared" si="1605"/>
        <v>825</v>
      </c>
      <c r="CB538" s="586">
        <f t="shared" si="1606"/>
        <v>743</v>
      </c>
      <c r="CC538" s="676">
        <f t="shared" si="1607"/>
        <v>1226.25</v>
      </c>
      <c r="CD538" s="1316" t="str">
        <f t="shared" si="1608"/>
        <v/>
      </c>
      <c r="CE538" s="1317">
        <f t="shared" si="1603"/>
        <v>0</v>
      </c>
      <c r="CF538" s="1317">
        <f t="shared" si="1603"/>
        <v>468</v>
      </c>
      <c r="CG538" s="1317">
        <f t="shared" si="1603"/>
        <v>480</v>
      </c>
      <c r="CH538" s="1318">
        <f t="shared" si="1603"/>
        <v>600</v>
      </c>
      <c r="CI538" s="1318">
        <f t="shared" si="1603"/>
        <v>780</v>
      </c>
      <c r="CJ538" s="1317">
        <f t="shared" si="1603"/>
        <v>960</v>
      </c>
      <c r="CK538" s="1317">
        <f t="shared" si="1603"/>
        <v>1170</v>
      </c>
      <c r="CL538" s="1317">
        <f t="shared" si="1603"/>
        <v>1200</v>
      </c>
      <c r="CM538" s="1316" t="str">
        <f t="shared" si="1603"/>
        <v/>
      </c>
      <c r="CN538" s="538" t="str">
        <f t="shared" si="1489"/>
        <v/>
      </c>
      <c r="CO538" s="539" t="str">
        <f t="shared" si="1490"/>
        <v/>
      </c>
      <c r="CP538" s="539" t="str">
        <f t="shared" si="1491"/>
        <v/>
      </c>
      <c r="CQ538" s="539">
        <f t="shared" si="1492"/>
        <v>540</v>
      </c>
      <c r="CR538" s="539">
        <f t="shared" si="1493"/>
        <v>1080</v>
      </c>
      <c r="CS538" s="539">
        <f t="shared" si="1494"/>
        <v>1140</v>
      </c>
      <c r="CT538" s="540">
        <f t="shared" si="1495"/>
        <v>1140</v>
      </c>
      <c r="CU538" s="540">
        <f t="shared" si="1496"/>
        <v>1200</v>
      </c>
      <c r="CV538" s="540">
        <f t="shared" si="1497"/>
        <v>1260</v>
      </c>
      <c r="CW538" s="539">
        <f t="shared" si="1498"/>
        <v>1320</v>
      </c>
      <c r="CX538" s="539">
        <f t="shared" si="1499"/>
        <v>1320</v>
      </c>
      <c r="CY538" s="539">
        <f t="shared" si="1500"/>
        <v>1350</v>
      </c>
      <c r="CZ538" s="539">
        <f t="shared" si="1501"/>
        <v>2520</v>
      </c>
      <c r="DA538" s="539" t="str">
        <f t="shared" si="1502"/>
        <v/>
      </c>
      <c r="DB538" s="538" t="str">
        <f t="shared" si="1503"/>
        <v/>
      </c>
      <c r="DC538" s="537" t="str">
        <f t="shared" si="1504"/>
        <v/>
      </c>
      <c r="DD538" s="641">
        <f t="shared" si="1587"/>
        <v>1</v>
      </c>
      <c r="DE538" s="95">
        <f t="shared" si="1588"/>
        <v>6</v>
      </c>
      <c r="DF538" s="95">
        <f t="shared" si="1589"/>
        <v>8</v>
      </c>
      <c r="DG538" s="95">
        <f t="shared" si="1590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394" t="s">
        <v>725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4"/>
        <v/>
      </c>
      <c r="CA539" s="586" t="str">
        <f t="shared" si="1605"/>
        <v/>
      </c>
      <c r="CB539" s="586">
        <f t="shared" si="1606"/>
        <v>5</v>
      </c>
      <c r="CC539" s="676">
        <f t="shared" si="1607"/>
        <v>5</v>
      </c>
      <c r="CD539" s="1316">
        <f t="shared" si="1608"/>
        <v>5</v>
      </c>
      <c r="CE539" s="1317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317">
        <f t="shared" si="1622"/>
        <v>5</v>
      </c>
      <c r="CG539" s="1317">
        <f t="shared" si="1622"/>
        <v>5</v>
      </c>
      <c r="CH539" s="1318">
        <f t="shared" si="1622"/>
        <v>5</v>
      </c>
      <c r="CI539" s="1318">
        <f t="shared" si="1622"/>
        <v>5</v>
      </c>
      <c r="CJ539" s="1317">
        <f t="shared" si="1622"/>
        <v>5</v>
      </c>
      <c r="CK539" s="1317">
        <f t="shared" si="1622"/>
        <v>5</v>
      </c>
      <c r="CL539" s="1317">
        <f t="shared" si="1622"/>
        <v>5</v>
      </c>
      <c r="CM539" s="1316">
        <f t="shared" si="1622"/>
        <v>5</v>
      </c>
      <c r="CN539" s="538" t="str">
        <f t="shared" si="1489"/>
        <v/>
      </c>
      <c r="CO539" s="539" t="str">
        <f t="shared" si="1490"/>
        <v/>
      </c>
      <c r="CP539" s="539" t="str">
        <f t="shared" si="1491"/>
        <v/>
      </c>
      <c r="CQ539" s="539" t="str">
        <f t="shared" si="1492"/>
        <v/>
      </c>
      <c r="CR539" s="539" t="str">
        <f t="shared" si="1493"/>
        <v/>
      </c>
      <c r="CS539" s="539">
        <f t="shared" si="1494"/>
        <v>5</v>
      </c>
      <c r="CT539" s="540">
        <f t="shared" si="1495"/>
        <v>5</v>
      </c>
      <c r="CU539" s="540">
        <f t="shared" si="1496"/>
        <v>5</v>
      </c>
      <c r="CV539" s="540">
        <f t="shared" si="1497"/>
        <v>5</v>
      </c>
      <c r="CW539" s="539">
        <f t="shared" si="1498"/>
        <v>5</v>
      </c>
      <c r="CX539" s="539" t="str">
        <f t="shared" si="1499"/>
        <v/>
      </c>
      <c r="CY539" s="539" t="str">
        <f t="shared" si="1500"/>
        <v/>
      </c>
      <c r="CZ539" s="539" t="str">
        <f t="shared" si="1501"/>
        <v/>
      </c>
      <c r="DA539" s="539" t="str">
        <f t="shared" si="1502"/>
        <v/>
      </c>
      <c r="DB539" s="538" t="str">
        <f t="shared" si="1503"/>
        <v/>
      </c>
      <c r="DC539" s="537" t="str">
        <f t="shared" si="1504"/>
        <v/>
      </c>
      <c r="DD539" s="641">
        <f t="shared" si="1587"/>
        <v>0</v>
      </c>
      <c r="DE539" s="95">
        <f t="shared" si="1588"/>
        <v>0</v>
      </c>
      <c r="DF539" s="95">
        <f t="shared" si="1589"/>
        <v>10</v>
      </c>
      <c r="DG539" s="95">
        <f t="shared" si="1590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289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4"/>
        <v/>
      </c>
      <c r="CA540" s="586" t="str">
        <f t="shared" si="1605"/>
        <v/>
      </c>
      <c r="CB540" s="586">
        <f t="shared" si="1606"/>
        <v>6.0750000000000011</v>
      </c>
      <c r="CC540" s="676">
        <f t="shared" si="1607"/>
        <v>9.6666666666666661</v>
      </c>
      <c r="CD540" s="1316">
        <f t="shared" si="1608"/>
        <v>4.8</v>
      </c>
      <c r="CE540" s="1317">
        <f t="shared" si="1603"/>
        <v>4.8</v>
      </c>
      <c r="CF540" s="1317">
        <f t="shared" si="1603"/>
        <v>4.8</v>
      </c>
      <c r="CG540" s="1317">
        <f t="shared" si="1603"/>
        <v>4.8</v>
      </c>
      <c r="CH540" s="1318">
        <f t="shared" si="1603"/>
        <v>4.8</v>
      </c>
      <c r="CI540" s="1318">
        <f t="shared" si="1603"/>
        <v>4.8</v>
      </c>
      <c r="CJ540" s="1317">
        <f t="shared" si="1603"/>
        <v>8.1999999999999993</v>
      </c>
      <c r="CK540" s="1317">
        <f t="shared" si="1603"/>
        <v>8.1999999999999993</v>
      </c>
      <c r="CL540" s="1317">
        <f t="shared" si="1603"/>
        <v>8.1999999999999993</v>
      </c>
      <c r="CM540" s="1316">
        <f t="shared" si="1603"/>
        <v>12</v>
      </c>
      <c r="CN540" s="538" t="str">
        <f t="shared" si="1489"/>
        <v/>
      </c>
      <c r="CO540" s="539" t="str">
        <f t="shared" si="1490"/>
        <v/>
      </c>
      <c r="CP540" s="539" t="str">
        <f t="shared" si="1491"/>
        <v/>
      </c>
      <c r="CQ540" s="539" t="str">
        <f t="shared" si="1492"/>
        <v/>
      </c>
      <c r="CR540" s="539" t="str">
        <f t="shared" si="1493"/>
        <v/>
      </c>
      <c r="CS540" s="539">
        <f t="shared" si="1494"/>
        <v>5</v>
      </c>
      <c r="CT540" s="540">
        <f t="shared" si="1495"/>
        <v>5</v>
      </c>
      <c r="CU540" s="540">
        <f t="shared" si="1496"/>
        <v>12</v>
      </c>
      <c r="CV540" s="540">
        <f t="shared" si="1497"/>
        <v>12</v>
      </c>
      <c r="CW540" s="539">
        <f t="shared" si="1498"/>
        <v>20</v>
      </c>
      <c r="CX540" s="539" t="str">
        <f t="shared" si="1499"/>
        <v/>
      </c>
      <c r="CY540" s="539" t="str">
        <f t="shared" si="1500"/>
        <v/>
      </c>
      <c r="CZ540" s="539" t="str">
        <f t="shared" si="1501"/>
        <v/>
      </c>
      <c r="DA540" s="539" t="str">
        <f t="shared" si="1502"/>
        <v/>
      </c>
      <c r="DB540" s="538" t="str">
        <f t="shared" si="1503"/>
        <v/>
      </c>
      <c r="DC540" s="537" t="str">
        <f t="shared" si="1504"/>
        <v/>
      </c>
      <c r="DD540" s="641">
        <f t="shared" si="1587"/>
        <v>0</v>
      </c>
      <c r="DE540" s="95">
        <f t="shared" si="1588"/>
        <v>0</v>
      </c>
      <c r="DF540" s="95">
        <f t="shared" si="1589"/>
        <v>10</v>
      </c>
      <c r="DG540" s="95">
        <f t="shared" si="1590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284</v>
      </c>
      <c r="B541" s="747">
        <f>2350*$K$1</f>
        <v>9838.98</v>
      </c>
      <c r="C541" s="747">
        <f t="shared" ref="C541:K541" si="1623">2350*$K$1</f>
        <v>9838.98</v>
      </c>
      <c r="D541" s="747">
        <f t="shared" si="1623"/>
        <v>9838.98</v>
      </c>
      <c r="E541" s="747">
        <f t="shared" si="1623"/>
        <v>9838.98</v>
      </c>
      <c r="F541" s="747">
        <f t="shared" si="1623"/>
        <v>9838.98</v>
      </c>
      <c r="G541" s="747">
        <f t="shared" si="1623"/>
        <v>9838.98</v>
      </c>
      <c r="H541" s="747">
        <f t="shared" si="1623"/>
        <v>9838.98</v>
      </c>
      <c r="I541" s="747">
        <f t="shared" si="1623"/>
        <v>9838.98</v>
      </c>
      <c r="J541" s="747">
        <f t="shared" si="1623"/>
        <v>9838.98</v>
      </c>
      <c r="K541" s="747">
        <f t="shared" si="1623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4">2350*$K$1</f>
        <v>9838.98</v>
      </c>
      <c r="V541" s="747">
        <f t="shared" si="1624"/>
        <v>9838.98</v>
      </c>
      <c r="W541" s="747">
        <f t="shared" si="1624"/>
        <v>9838.98</v>
      </c>
      <c r="X541" s="747">
        <f t="shared" si="1624"/>
        <v>9838.98</v>
      </c>
      <c r="Y541" s="747">
        <f t="shared" si="1624"/>
        <v>9838.98</v>
      </c>
      <c r="Z541" s="747">
        <f t="shared" si="1624"/>
        <v>9838.98</v>
      </c>
      <c r="AA541" s="747">
        <f t="shared" si="1624"/>
        <v>9838.98</v>
      </c>
      <c r="AB541" s="747">
        <f t="shared" si="1624"/>
        <v>9838.98</v>
      </c>
      <c r="AC541" s="747">
        <f t="shared" si="1624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5">2350*$K$1</f>
        <v>9838.98</v>
      </c>
      <c r="AN541" s="747">
        <f t="shared" si="1625"/>
        <v>9838.98</v>
      </c>
      <c r="AO541" s="747">
        <f t="shared" si="1625"/>
        <v>9838.98</v>
      </c>
      <c r="AP541" s="747">
        <f t="shared" si="1625"/>
        <v>9838.98</v>
      </c>
      <c r="AQ541" s="747">
        <f t="shared" si="1625"/>
        <v>9838.98</v>
      </c>
      <c r="AR541" s="747">
        <f t="shared" si="1625"/>
        <v>9838.98</v>
      </c>
      <c r="AS541" s="747">
        <f t="shared" si="1625"/>
        <v>9838.98</v>
      </c>
      <c r="AT541" s="747">
        <f t="shared" si="1625"/>
        <v>9838.98</v>
      </c>
      <c r="AU541" s="747">
        <f t="shared" si="1625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6">2350*$K$1</f>
        <v>9838.98</v>
      </c>
      <c r="BF541" s="747">
        <f t="shared" si="1626"/>
        <v>9838.98</v>
      </c>
      <c r="BG541" s="747">
        <f t="shared" si="1626"/>
        <v>9838.98</v>
      </c>
      <c r="BH541" s="747">
        <f t="shared" si="1626"/>
        <v>9838.98</v>
      </c>
      <c r="BI541" s="747">
        <f t="shared" si="1626"/>
        <v>9838.98</v>
      </c>
      <c r="BJ541" s="747">
        <f t="shared" si="1626"/>
        <v>9838.98</v>
      </c>
      <c r="BK541" s="747">
        <f t="shared" si="1626"/>
        <v>9838.98</v>
      </c>
      <c r="BL541" s="747">
        <f t="shared" si="1626"/>
        <v>9838.98</v>
      </c>
      <c r="BM541" s="747">
        <f t="shared" si="1626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6"/>
        <v>9838.98</v>
      </c>
      <c r="BW541" s="747">
        <f t="shared" si="1626"/>
        <v>9838.98</v>
      </c>
      <c r="BX541" s="747">
        <f t="shared" si="1626"/>
        <v>9838.98</v>
      </c>
      <c r="BY541" s="747">
        <f t="shared" si="1626"/>
        <v>9838.98</v>
      </c>
      <c r="BZ541" s="586">
        <f t="shared" si="1604"/>
        <v>9838.9799999999977</v>
      </c>
      <c r="CA541" s="586">
        <f t="shared" si="1605"/>
        <v>9838.9799999999977</v>
      </c>
      <c r="CB541" s="586">
        <f t="shared" si="1606"/>
        <v>9838.9799999999977</v>
      </c>
      <c r="CC541" s="676">
        <f t="shared" si="1607"/>
        <v>9838.9799999999977</v>
      </c>
      <c r="CD541" s="1316">
        <f t="shared" si="1608"/>
        <v>9838.98</v>
      </c>
      <c r="CE541" s="1317">
        <f t="shared" si="1603"/>
        <v>9838.98</v>
      </c>
      <c r="CF541" s="1317">
        <f t="shared" si="1603"/>
        <v>9838.98</v>
      </c>
      <c r="CG541" s="1317">
        <f t="shared" si="1603"/>
        <v>9838.98</v>
      </c>
      <c r="CH541" s="1318">
        <f t="shared" si="1603"/>
        <v>9838.98</v>
      </c>
      <c r="CI541" s="1318">
        <f t="shared" si="1603"/>
        <v>9838.98</v>
      </c>
      <c r="CJ541" s="1317">
        <f t="shared" si="1603"/>
        <v>9838.98</v>
      </c>
      <c r="CK541" s="1317">
        <f t="shared" si="1603"/>
        <v>9838.98</v>
      </c>
      <c r="CL541" s="1317">
        <f t="shared" si="1603"/>
        <v>9838.98</v>
      </c>
      <c r="CM541" s="1316">
        <f t="shared" si="1603"/>
        <v>9838.98</v>
      </c>
      <c r="CN541" s="538" t="str">
        <f t="shared" si="1489"/>
        <v/>
      </c>
      <c r="CO541" s="539" t="str">
        <f t="shared" si="1490"/>
        <v/>
      </c>
      <c r="CP541" s="539" t="str">
        <f t="shared" si="1491"/>
        <v/>
      </c>
      <c r="CQ541" s="539">
        <f t="shared" si="1492"/>
        <v>9838.98</v>
      </c>
      <c r="CR541" s="539">
        <f t="shared" si="1493"/>
        <v>9838.98</v>
      </c>
      <c r="CS541" s="539">
        <f t="shared" si="1494"/>
        <v>9838.98</v>
      </c>
      <c r="CT541" s="540">
        <f t="shared" si="1495"/>
        <v>9838.98</v>
      </c>
      <c r="CU541" s="540">
        <f t="shared" si="1496"/>
        <v>9838.98</v>
      </c>
      <c r="CV541" s="540">
        <f t="shared" si="1497"/>
        <v>9838.98</v>
      </c>
      <c r="CW541" s="539">
        <f t="shared" si="1498"/>
        <v>9838.98</v>
      </c>
      <c r="CX541" s="539">
        <f t="shared" si="1499"/>
        <v>9838.98</v>
      </c>
      <c r="CY541" s="539">
        <f t="shared" si="1500"/>
        <v>9838.98</v>
      </c>
      <c r="CZ541" s="539">
        <f t="shared" si="1501"/>
        <v>9838.98</v>
      </c>
      <c r="DA541" s="539" t="str">
        <f t="shared" si="1502"/>
        <v/>
      </c>
      <c r="DB541" s="538" t="str">
        <f t="shared" si="1503"/>
        <v/>
      </c>
      <c r="DC541" s="537" t="str">
        <f t="shared" si="1504"/>
        <v/>
      </c>
      <c r="DD541" s="641">
        <f t="shared" si="1587"/>
        <v>10</v>
      </c>
      <c r="DE541" s="95">
        <f t="shared" si="1588"/>
        <v>10</v>
      </c>
      <c r="DF541" s="95">
        <f t="shared" si="1589"/>
        <v>10</v>
      </c>
      <c r="DG541" s="95">
        <f t="shared" si="1590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227</v>
      </c>
      <c r="B542" s="749" t="str">
        <f t="shared" ref="B542:K542" si="1627">IF(B539="","",B539*B540*B541/B$46/365/$G$1)</f>
        <v/>
      </c>
      <c r="C542" s="621" t="str">
        <f t="shared" si="1627"/>
        <v/>
      </c>
      <c r="D542" s="749" t="str">
        <f t="shared" si="1627"/>
        <v/>
      </c>
      <c r="E542" s="621" t="str">
        <f t="shared" si="1627"/>
        <v/>
      </c>
      <c r="F542" s="749" t="str">
        <f t="shared" si="1627"/>
        <v/>
      </c>
      <c r="G542" s="621" t="str">
        <f t="shared" si="1627"/>
        <v/>
      </c>
      <c r="H542" s="621" t="str">
        <f t="shared" si="1627"/>
        <v/>
      </c>
      <c r="I542" s="749" t="str">
        <f t="shared" si="1627"/>
        <v/>
      </c>
      <c r="J542" s="749" t="str">
        <f t="shared" si="1627"/>
        <v/>
      </c>
      <c r="K542" s="621" t="str">
        <f t="shared" si="1627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8">IF(T539="","",T539*T540*T541/T$46/365/$G$1)</f>
        <v/>
      </c>
      <c r="U542" s="621" t="str">
        <f t="shared" si="1628"/>
        <v/>
      </c>
      <c r="V542" s="621" t="str">
        <f t="shared" si="1628"/>
        <v/>
      </c>
      <c r="W542" s="621" t="str">
        <f t="shared" si="1628"/>
        <v/>
      </c>
      <c r="X542" s="621" t="str">
        <f t="shared" si="1628"/>
        <v/>
      </c>
      <c r="Y542" s="621" t="str">
        <f t="shared" si="1628"/>
        <v/>
      </c>
      <c r="Z542" s="621" t="str">
        <f t="shared" si="1628"/>
        <v/>
      </c>
      <c r="AA542" s="621" t="str">
        <f t="shared" si="1628"/>
        <v/>
      </c>
      <c r="AB542" s="621" t="str">
        <f t="shared" si="1628"/>
        <v/>
      </c>
      <c r="AC542" s="621" t="str">
        <f t="shared" si="1628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9">IF(AL539="","",AL539*AL540*AL541/AL$46/365/$G$1)</f>
        <v>1.0502380359366658E-2</v>
      </c>
      <c r="AM542" s="621">
        <f t="shared" si="1629"/>
        <v>1.5698870641344956E-2</v>
      </c>
      <c r="AN542" s="621">
        <f t="shared" si="1629"/>
        <v>1.4703332503113325E-2</v>
      </c>
      <c r="AO542" s="621">
        <f t="shared" si="1629"/>
        <v>7.3516662515566624E-3</v>
      </c>
      <c r="AP542" s="621">
        <f t="shared" si="1629"/>
        <v>7.3516662515566624E-3</v>
      </c>
      <c r="AQ542" s="621">
        <f t="shared" si="1629"/>
        <v>1.4703332503113325E-2</v>
      </c>
      <c r="AR542" s="621">
        <f t="shared" si="1629"/>
        <v>1.7941566447251381E-2</v>
      </c>
      <c r="AS542" s="621">
        <f t="shared" si="1629"/>
        <v>1.2559096513075964E-2</v>
      </c>
      <c r="AT542" s="621">
        <f t="shared" si="1629"/>
        <v>1.4703332503113325E-2</v>
      </c>
      <c r="AU542" s="621">
        <f t="shared" si="1629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30">IF(BD539="","",BD539*BD540*BD541/BD$46/365/$G$1)</f>
        <v>2.5526618929016191E-2</v>
      </c>
      <c r="BE542" s="621" t="str">
        <f t="shared" si="1630"/>
        <v/>
      </c>
      <c r="BF542" s="621" t="str">
        <f t="shared" si="1630"/>
        <v/>
      </c>
      <c r="BG542" s="621" t="str">
        <f t="shared" si="1630"/>
        <v/>
      </c>
      <c r="BH542" s="621">
        <f t="shared" si="1630"/>
        <v>6.9618051624589601E-3</v>
      </c>
      <c r="BI542" s="621">
        <f t="shared" si="1630"/>
        <v>7.657985678704857E-3</v>
      </c>
      <c r="BJ542" s="621" t="str">
        <f t="shared" si="1630"/>
        <v/>
      </c>
      <c r="BK542" s="621">
        <f t="shared" si="1630"/>
        <v>2.6255950898416647E-2</v>
      </c>
      <c r="BL542" s="621">
        <f t="shared" si="1630"/>
        <v>1.6708332389901503E-2</v>
      </c>
      <c r="BM542" s="621" t="str">
        <f t="shared" si="1630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4"/>
        <v/>
      </c>
      <c r="CA542" s="611" t="str">
        <f t="shared" si="1605"/>
        <v/>
      </c>
      <c r="CB542" s="611">
        <f t="shared" si="1606"/>
        <v>1.3520447215241949E-2</v>
      </c>
      <c r="CC542" s="611">
        <f t="shared" si="1607"/>
        <v>1.6630978999207513E-2</v>
      </c>
      <c r="CD542" s="1319">
        <f t="shared" si="1608"/>
        <v>7.3516662515566624E-3</v>
      </c>
      <c r="CE542" s="1320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320">
        <f t="shared" si="1631"/>
        <v>1.0502380359366658E-2</v>
      </c>
      <c r="CG542" s="1320">
        <f t="shared" si="1631"/>
        <v>1.2559096513075964E-2</v>
      </c>
      <c r="CH542" s="1321">
        <f t="shared" si="1631"/>
        <v>1.4703332503113325E-2</v>
      </c>
      <c r="CI542" s="1321">
        <f t="shared" si="1631"/>
        <v>1.4703332503113325E-2</v>
      </c>
      <c r="CJ542" s="1320">
        <f t="shared" si="1631"/>
        <v>1.4703332503113325E-2</v>
      </c>
      <c r="CK542" s="1320">
        <f t="shared" si="1631"/>
        <v>1.5698870641344956E-2</v>
      </c>
      <c r="CL542" s="1320">
        <f t="shared" si="1631"/>
        <v>1.7941566447251381E-2</v>
      </c>
      <c r="CM542" s="1319">
        <f t="shared" si="1631"/>
        <v>1.8379165628891653E-2</v>
      </c>
      <c r="CN542" s="526" t="str">
        <f t="shared" si="1489"/>
        <v/>
      </c>
      <c r="CO542" s="527" t="str">
        <f t="shared" si="1490"/>
        <v/>
      </c>
      <c r="CP542" s="527" t="str">
        <f t="shared" si="1491"/>
        <v/>
      </c>
      <c r="CQ542" s="527" t="str">
        <f t="shared" si="1492"/>
        <v/>
      </c>
      <c r="CR542" s="527" t="str">
        <f t="shared" si="1493"/>
        <v/>
      </c>
      <c r="CS542" s="527">
        <f t="shared" si="1494"/>
        <v>6.9618051624589601E-3</v>
      </c>
      <c r="CT542" s="528">
        <f t="shared" si="1495"/>
        <v>7.657985678704857E-3</v>
      </c>
      <c r="CU542" s="528">
        <f t="shared" si="1496"/>
        <v>1.6708332389901503E-2</v>
      </c>
      <c r="CV542" s="528">
        <f t="shared" si="1497"/>
        <v>2.5526618929016191E-2</v>
      </c>
      <c r="CW542" s="527">
        <f t="shared" si="1498"/>
        <v>2.6255950898416647E-2</v>
      </c>
      <c r="CX542" s="527" t="str">
        <f t="shared" si="1499"/>
        <v/>
      </c>
      <c r="CY542" s="527" t="str">
        <f t="shared" si="1500"/>
        <v/>
      </c>
      <c r="CZ542" s="527" t="str">
        <f t="shared" si="1501"/>
        <v/>
      </c>
      <c r="DA542" s="527" t="str">
        <f t="shared" si="1502"/>
        <v/>
      </c>
      <c r="DB542" s="526" t="str">
        <f t="shared" si="1503"/>
        <v/>
      </c>
      <c r="DC542" s="525" t="str">
        <f t="shared" si="1504"/>
        <v/>
      </c>
      <c r="DD542" s="641">
        <f t="shared" si="1587"/>
        <v>0</v>
      </c>
      <c r="DE542" s="95">
        <f t="shared" si="1588"/>
        <v>0</v>
      </c>
      <c r="DF542" s="95">
        <f t="shared" si="1589"/>
        <v>10</v>
      </c>
      <c r="DG542" s="95">
        <f t="shared" si="1590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1" t="s">
        <v>288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4"/>
        <v/>
      </c>
      <c r="CA543" s="586" t="str">
        <f t="shared" si="1605"/>
        <v/>
      </c>
      <c r="CB543" s="586">
        <f t="shared" si="1606"/>
        <v>30.5</v>
      </c>
      <c r="CC543" s="676">
        <f t="shared" si="1607"/>
        <v>35</v>
      </c>
      <c r="CD543" s="1316">
        <f t="shared" si="1608"/>
        <v>22.5</v>
      </c>
      <c r="CE543" s="1317">
        <f t="shared" si="1603"/>
        <v>25</v>
      </c>
      <c r="CF543" s="1317">
        <f t="shared" si="1603"/>
        <v>25</v>
      </c>
      <c r="CG543" s="1317">
        <f t="shared" si="1603"/>
        <v>25</v>
      </c>
      <c r="CH543" s="1318">
        <f t="shared" si="1603"/>
        <v>26</v>
      </c>
      <c r="CI543" s="1318">
        <f t="shared" si="1603"/>
        <v>28</v>
      </c>
      <c r="CJ543" s="1317">
        <f t="shared" si="1603"/>
        <v>30</v>
      </c>
      <c r="CK543" s="1317">
        <f t="shared" si="1603"/>
        <v>35</v>
      </c>
      <c r="CL543" s="1317">
        <f t="shared" si="1603"/>
        <v>50</v>
      </c>
      <c r="CM543" s="1316">
        <f t="shared" si="1603"/>
        <v>50</v>
      </c>
      <c r="CN543" s="538" t="str">
        <f t="shared" si="1489"/>
        <v/>
      </c>
      <c r="CO543" s="539" t="str">
        <f t="shared" si="1490"/>
        <v/>
      </c>
      <c r="CP543" s="539" t="str">
        <f t="shared" si="1491"/>
        <v/>
      </c>
      <c r="CQ543" s="539" t="str">
        <f t="shared" si="1492"/>
        <v/>
      </c>
      <c r="CR543" s="539" t="str">
        <f t="shared" si="1493"/>
        <v/>
      </c>
      <c r="CS543" s="539" t="str">
        <f t="shared" si="1494"/>
        <v/>
      </c>
      <c r="CT543" s="540">
        <f t="shared" si="1495"/>
        <v>33</v>
      </c>
      <c r="CU543" s="540">
        <f t="shared" si="1496"/>
        <v>35</v>
      </c>
      <c r="CV543" s="540">
        <f t="shared" si="1497"/>
        <v>35</v>
      </c>
      <c r="CW543" s="539">
        <f t="shared" si="1498"/>
        <v>56</v>
      </c>
      <c r="CX543" s="539" t="str">
        <f t="shared" si="1499"/>
        <v/>
      </c>
      <c r="CY543" s="539" t="str">
        <f t="shared" si="1500"/>
        <v/>
      </c>
      <c r="CZ543" s="539" t="str">
        <f t="shared" si="1501"/>
        <v/>
      </c>
      <c r="DA543" s="539" t="str">
        <f t="shared" si="1502"/>
        <v/>
      </c>
      <c r="DB543" s="538" t="str">
        <f t="shared" si="1503"/>
        <v/>
      </c>
      <c r="DC543" s="537" t="str">
        <f t="shared" si="1504"/>
        <v/>
      </c>
      <c r="DD543" s="641">
        <f t="shared" si="1587"/>
        <v>0</v>
      </c>
      <c r="DE543" s="95">
        <f t="shared" si="1588"/>
        <v>0</v>
      </c>
      <c r="DF543" s="95">
        <f t="shared" si="1589"/>
        <v>10</v>
      </c>
      <c r="DG543" s="95">
        <f t="shared" si="1590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286</v>
      </c>
      <c r="B544" s="746" t="str">
        <f t="shared" ref="B544:K544" si="1632">IF(B543="","",B539*B540*B543)</f>
        <v/>
      </c>
      <c r="C544" s="746" t="str">
        <f t="shared" si="1632"/>
        <v/>
      </c>
      <c r="D544" s="746" t="str">
        <f t="shared" si="1632"/>
        <v/>
      </c>
      <c r="E544" s="746" t="str">
        <f t="shared" si="1632"/>
        <v/>
      </c>
      <c r="F544" s="746" t="str">
        <f t="shared" si="1632"/>
        <v/>
      </c>
      <c r="G544" s="746" t="str">
        <f t="shared" si="1632"/>
        <v/>
      </c>
      <c r="H544" s="746" t="str">
        <f t="shared" si="1632"/>
        <v/>
      </c>
      <c r="I544" s="746" t="str">
        <f t="shared" si="1632"/>
        <v/>
      </c>
      <c r="J544" s="746" t="str">
        <f t="shared" si="1632"/>
        <v/>
      </c>
      <c r="K544" s="746" t="str">
        <f t="shared" si="1632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3">IF(T543="","",T539*T540*T543)</f>
        <v/>
      </c>
      <c r="U544" s="746" t="str">
        <f t="shared" si="1633"/>
        <v/>
      </c>
      <c r="V544" s="746" t="str">
        <f t="shared" si="1633"/>
        <v/>
      </c>
      <c r="W544" s="746" t="str">
        <f t="shared" si="1633"/>
        <v/>
      </c>
      <c r="X544" s="746" t="str">
        <f t="shared" si="1633"/>
        <v/>
      </c>
      <c r="Y544" s="746" t="str">
        <f t="shared" si="1633"/>
        <v/>
      </c>
      <c r="Z544" s="746" t="str">
        <f t="shared" si="1633"/>
        <v/>
      </c>
      <c r="AA544" s="746" t="str">
        <f t="shared" si="1633"/>
        <v/>
      </c>
      <c r="AB544" s="746" t="str">
        <f t="shared" si="1633"/>
        <v/>
      </c>
      <c r="AC544" s="746" t="str">
        <f t="shared" si="1633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4">IF(AL543="","",AL539*AL540*AL543)</f>
        <v>540</v>
      </c>
      <c r="AM544" s="746">
        <f t="shared" si="1634"/>
        <v>1435</v>
      </c>
      <c r="AN544" s="746">
        <f t="shared" si="1634"/>
        <v>600</v>
      </c>
      <c r="AO544" s="746">
        <f t="shared" si="1634"/>
        <v>624</v>
      </c>
      <c r="AP544" s="746">
        <f t="shared" si="1634"/>
        <v>1200</v>
      </c>
      <c r="AQ544" s="746">
        <f t="shared" si="1634"/>
        <v>1200</v>
      </c>
      <c r="AR544" s="746">
        <f t="shared" si="1634"/>
        <v>1025</v>
      </c>
      <c r="AS544" s="746">
        <f t="shared" si="1634"/>
        <v>1148</v>
      </c>
      <c r="AT544" s="746">
        <f t="shared" si="1634"/>
        <v>600</v>
      </c>
      <c r="AU544" s="746">
        <f t="shared" si="1634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5">IF(BD543="","",BD539*BD540*BD543)</f>
        <v/>
      </c>
      <c r="BE544" s="746" t="str">
        <f t="shared" si="1635"/>
        <v/>
      </c>
      <c r="BF544" s="746" t="str">
        <f t="shared" si="1635"/>
        <v/>
      </c>
      <c r="BG544" s="746" t="str">
        <f t="shared" si="1635"/>
        <v/>
      </c>
      <c r="BH544" s="746">
        <f t="shared" si="1635"/>
        <v>875</v>
      </c>
      <c r="BI544" s="746">
        <f t="shared" si="1635"/>
        <v>825</v>
      </c>
      <c r="BJ544" s="746" t="str">
        <f t="shared" si="1635"/>
        <v/>
      </c>
      <c r="BK544" s="746">
        <f t="shared" si="1635"/>
        <v>3360</v>
      </c>
      <c r="BL544" s="746">
        <f t="shared" si="1635"/>
        <v>2100</v>
      </c>
      <c r="BM544" s="746" t="str">
        <f t="shared" si="1635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4"/>
        <v/>
      </c>
      <c r="CA544" s="586" t="str">
        <f t="shared" si="1605"/>
        <v/>
      </c>
      <c r="CB544" s="586">
        <f t="shared" si="1606"/>
        <v>979</v>
      </c>
      <c r="CC544" s="676">
        <f t="shared" si="1607"/>
        <v>1487.5</v>
      </c>
      <c r="CD544" s="1316">
        <f t="shared" si="1608"/>
        <v>540</v>
      </c>
      <c r="CE544" s="1317">
        <f t="shared" si="1603"/>
        <v>600</v>
      </c>
      <c r="CF544" s="1317">
        <f t="shared" si="1603"/>
        <v>600</v>
      </c>
      <c r="CG544" s="1317">
        <f t="shared" si="1603"/>
        <v>624</v>
      </c>
      <c r="CH544" s="1318">
        <f t="shared" si="1603"/>
        <v>1025</v>
      </c>
      <c r="CI544" s="1318">
        <f t="shared" si="1603"/>
        <v>1148</v>
      </c>
      <c r="CJ544" s="1317">
        <f t="shared" si="1603"/>
        <v>1200</v>
      </c>
      <c r="CK544" s="1317">
        <f t="shared" si="1603"/>
        <v>1200</v>
      </c>
      <c r="CL544" s="1317">
        <f t="shared" si="1603"/>
        <v>1435</v>
      </c>
      <c r="CM544" s="1316">
        <f t="shared" si="1603"/>
        <v>1800</v>
      </c>
      <c r="CN544" s="538" t="str">
        <f t="shared" si="1489"/>
        <v/>
      </c>
      <c r="CO544" s="539" t="str">
        <f t="shared" si="1490"/>
        <v/>
      </c>
      <c r="CP544" s="539" t="str">
        <f t="shared" si="1491"/>
        <v/>
      </c>
      <c r="CQ544" s="539" t="str">
        <f t="shared" si="1492"/>
        <v/>
      </c>
      <c r="CR544" s="539" t="str">
        <f t="shared" si="1493"/>
        <v/>
      </c>
      <c r="CS544" s="539" t="str">
        <f t="shared" si="1494"/>
        <v/>
      </c>
      <c r="CT544" s="540">
        <f t="shared" si="1495"/>
        <v>825</v>
      </c>
      <c r="CU544" s="540">
        <f t="shared" si="1496"/>
        <v>875</v>
      </c>
      <c r="CV544" s="540">
        <f t="shared" si="1497"/>
        <v>2100</v>
      </c>
      <c r="CW544" s="539">
        <f t="shared" si="1498"/>
        <v>3360</v>
      </c>
      <c r="CX544" s="539" t="str">
        <f t="shared" si="1499"/>
        <v/>
      </c>
      <c r="CY544" s="539" t="str">
        <f t="shared" si="1500"/>
        <v/>
      </c>
      <c r="CZ544" s="539" t="str">
        <f t="shared" si="1501"/>
        <v/>
      </c>
      <c r="DA544" s="539" t="str">
        <f t="shared" si="1502"/>
        <v/>
      </c>
      <c r="DB544" s="538" t="str">
        <f t="shared" si="1503"/>
        <v/>
      </c>
      <c r="DC544" s="537" t="str">
        <f t="shared" si="1504"/>
        <v/>
      </c>
      <c r="DD544" s="641">
        <f t="shared" si="1587"/>
        <v>0</v>
      </c>
      <c r="DE544" s="95">
        <f t="shared" si="1588"/>
        <v>0</v>
      </c>
      <c r="DF544" s="95">
        <f t="shared" si="1589"/>
        <v>10</v>
      </c>
      <c r="DG544" s="95">
        <f t="shared" si="1590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394" t="s">
        <v>726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9"/>
        <v/>
      </c>
      <c r="CO545" s="539" t="str">
        <f t="shared" si="1490"/>
        <v/>
      </c>
      <c r="CP545" s="539" t="str">
        <f t="shared" si="1491"/>
        <v/>
      </c>
      <c r="CQ545" s="539" t="str">
        <f t="shared" si="1492"/>
        <v/>
      </c>
      <c r="CR545" s="539" t="str">
        <f t="shared" si="1493"/>
        <v/>
      </c>
      <c r="CS545" s="539" t="str">
        <f t="shared" si="1494"/>
        <v/>
      </c>
      <c r="CT545" s="540">
        <f t="shared" si="1495"/>
        <v>0</v>
      </c>
      <c r="CU545" s="540">
        <f t="shared" si="1496"/>
        <v>0</v>
      </c>
      <c r="CV545" s="540">
        <f t="shared" si="1497"/>
        <v>0</v>
      </c>
      <c r="CW545" s="539">
        <f t="shared" si="1498"/>
        <v>0</v>
      </c>
      <c r="CX545" s="539" t="str">
        <f t="shared" si="1499"/>
        <v/>
      </c>
      <c r="CY545" s="539" t="str">
        <f t="shared" si="1500"/>
        <v/>
      </c>
      <c r="CZ545" s="539" t="str">
        <f t="shared" si="1501"/>
        <v/>
      </c>
      <c r="DA545" s="539" t="str">
        <f t="shared" si="1502"/>
        <v/>
      </c>
      <c r="DB545" s="538" t="str">
        <f t="shared" si="1503"/>
        <v/>
      </c>
      <c r="DC545" s="537" t="str">
        <f t="shared" si="1504"/>
        <v/>
      </c>
      <c r="DD545" s="641">
        <f t="shared" si="1587"/>
        <v>0</v>
      </c>
      <c r="DE545" s="95">
        <f t="shared" si="1588"/>
        <v>0</v>
      </c>
      <c r="DF545" s="95">
        <f t="shared" si="1589"/>
        <v>0</v>
      </c>
      <c r="DG545" s="95">
        <f t="shared" si="1590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293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1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17" t="str">
        <f t="shared" si="1603"/>
        <v/>
      </c>
      <c r="CF546" s="1317" t="str">
        <f t="shared" si="1603"/>
        <v/>
      </c>
      <c r="CG546" s="1317" t="str">
        <f t="shared" si="1603"/>
        <v/>
      </c>
      <c r="CH546" s="1318" t="str">
        <f t="shared" si="1603"/>
        <v/>
      </c>
      <c r="CI546" s="1318" t="str">
        <f t="shared" si="1603"/>
        <v/>
      </c>
      <c r="CJ546" s="1317" t="str">
        <f t="shared" si="1603"/>
        <v/>
      </c>
      <c r="CK546" s="1317" t="str">
        <f t="shared" si="1603"/>
        <v/>
      </c>
      <c r="CL546" s="1317" t="str">
        <f t="shared" si="1603"/>
        <v/>
      </c>
      <c r="CM546" s="1316" t="str">
        <f t="shared" si="1603"/>
        <v/>
      </c>
      <c r="CN546" s="538" t="str">
        <f t="shared" si="1489"/>
        <v/>
      </c>
      <c r="CO546" s="539" t="str">
        <f t="shared" si="1490"/>
        <v/>
      </c>
      <c r="CP546" s="539" t="str">
        <f t="shared" si="1491"/>
        <v/>
      </c>
      <c r="CQ546" s="539" t="str">
        <f t="shared" si="1492"/>
        <v/>
      </c>
      <c r="CR546" s="539" t="str">
        <f t="shared" si="1493"/>
        <v/>
      </c>
      <c r="CS546" s="539" t="str">
        <f t="shared" si="1494"/>
        <v/>
      </c>
      <c r="CT546" s="540" t="str">
        <f t="shared" si="1495"/>
        <v/>
      </c>
      <c r="CU546" s="540" t="str">
        <f t="shared" si="1496"/>
        <v/>
      </c>
      <c r="CV546" s="540" t="str">
        <f t="shared" si="1497"/>
        <v/>
      </c>
      <c r="CW546" s="539" t="str">
        <f t="shared" si="1498"/>
        <v/>
      </c>
      <c r="CX546" s="539" t="str">
        <f t="shared" si="1499"/>
        <v/>
      </c>
      <c r="CY546" s="539" t="str">
        <f t="shared" si="1500"/>
        <v/>
      </c>
      <c r="CZ546" s="539" t="str">
        <f t="shared" si="1501"/>
        <v/>
      </c>
      <c r="DA546" s="539" t="str">
        <f t="shared" si="1502"/>
        <v/>
      </c>
      <c r="DB546" s="538" t="str">
        <f t="shared" si="1503"/>
        <v/>
      </c>
      <c r="DC546" s="537" t="str">
        <f t="shared" si="1504"/>
        <v/>
      </c>
      <c r="DD546" s="641">
        <f t="shared" si="1587"/>
        <v>0</v>
      </c>
      <c r="DE546" s="95">
        <f t="shared" si="1588"/>
        <v>0</v>
      </c>
      <c r="DF546" s="95">
        <f t="shared" si="1589"/>
        <v>0</v>
      </c>
      <c r="DG546" s="95">
        <f t="shared" si="1590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284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1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17">
        <f t="shared" si="1603"/>
        <v>11760</v>
      </c>
      <c r="CF547" s="1317">
        <f t="shared" si="1603"/>
        <v>11760</v>
      </c>
      <c r="CG547" s="1317">
        <f t="shared" si="1603"/>
        <v>11760</v>
      </c>
      <c r="CH547" s="1318">
        <f t="shared" si="1603"/>
        <v>11760</v>
      </c>
      <c r="CI547" s="1318">
        <f t="shared" si="1603"/>
        <v>11760</v>
      </c>
      <c r="CJ547" s="1317">
        <f t="shared" si="1603"/>
        <v>11760</v>
      </c>
      <c r="CK547" s="1317">
        <f t="shared" si="1603"/>
        <v>11760</v>
      </c>
      <c r="CL547" s="1317">
        <f t="shared" si="1603"/>
        <v>11760</v>
      </c>
      <c r="CM547" s="1316">
        <f t="shared" si="1603"/>
        <v>11760</v>
      </c>
      <c r="CN547" s="538" t="str">
        <f t="shared" si="1489"/>
        <v/>
      </c>
      <c r="CO547" s="539" t="str">
        <f t="shared" si="1490"/>
        <v/>
      </c>
      <c r="CP547" s="539" t="str">
        <f t="shared" si="1491"/>
        <v/>
      </c>
      <c r="CQ547" s="539">
        <f t="shared" si="1492"/>
        <v>11760</v>
      </c>
      <c r="CR547" s="539">
        <f t="shared" si="1493"/>
        <v>11760</v>
      </c>
      <c r="CS547" s="539">
        <f t="shared" si="1494"/>
        <v>11760</v>
      </c>
      <c r="CT547" s="540">
        <f t="shared" si="1495"/>
        <v>11760</v>
      </c>
      <c r="CU547" s="540">
        <f t="shared" si="1496"/>
        <v>11760</v>
      </c>
      <c r="CV547" s="540">
        <f t="shared" si="1497"/>
        <v>11760</v>
      </c>
      <c r="CW547" s="539">
        <f t="shared" si="1498"/>
        <v>11760</v>
      </c>
      <c r="CX547" s="539">
        <f t="shared" si="1499"/>
        <v>11760</v>
      </c>
      <c r="CY547" s="539">
        <f t="shared" si="1500"/>
        <v>11760</v>
      </c>
      <c r="CZ547" s="539">
        <f t="shared" si="1501"/>
        <v>11760</v>
      </c>
      <c r="DA547" s="539" t="str">
        <f t="shared" si="1502"/>
        <v/>
      </c>
      <c r="DB547" s="538" t="str">
        <f t="shared" si="1503"/>
        <v/>
      </c>
      <c r="DC547" s="537" t="str">
        <f t="shared" si="1504"/>
        <v/>
      </c>
      <c r="DD547" s="641">
        <f t="shared" si="1587"/>
        <v>10</v>
      </c>
      <c r="DE547" s="95">
        <f t="shared" si="1588"/>
        <v>10</v>
      </c>
      <c r="DF547" s="95">
        <f t="shared" si="1589"/>
        <v>10</v>
      </c>
      <c r="DG547" s="95">
        <f t="shared" si="1590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227</v>
      </c>
      <c r="B548" s="749" t="str">
        <f t="shared" ref="B548:K548" si="1636">IF(B546="","",B546*B547/B$46/365/$G$1)</f>
        <v/>
      </c>
      <c r="C548" s="749" t="str">
        <f t="shared" si="1636"/>
        <v/>
      </c>
      <c r="D548" s="749" t="str">
        <f t="shared" si="1636"/>
        <v/>
      </c>
      <c r="E548" s="749" t="str">
        <f t="shared" si="1636"/>
        <v/>
      </c>
      <c r="F548" s="749" t="str">
        <f t="shared" si="1636"/>
        <v/>
      </c>
      <c r="G548" s="749" t="str">
        <f t="shared" si="1636"/>
        <v/>
      </c>
      <c r="H548" s="749" t="str">
        <f t="shared" si="1636"/>
        <v/>
      </c>
      <c r="I548" s="749" t="str">
        <f t="shared" si="1636"/>
        <v/>
      </c>
      <c r="J548" s="749" t="str">
        <f t="shared" si="1636"/>
        <v/>
      </c>
      <c r="K548" s="749" t="str">
        <f t="shared" si="1636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7">IF(T546="","",T546*T547/T$46/365/$G$1)</f>
        <v/>
      </c>
      <c r="U548" s="749" t="str">
        <f t="shared" si="1637"/>
        <v/>
      </c>
      <c r="V548" s="749" t="str">
        <f t="shared" si="1637"/>
        <v/>
      </c>
      <c r="W548" s="749" t="str">
        <f t="shared" si="1637"/>
        <v/>
      </c>
      <c r="X548" s="749" t="str">
        <f t="shared" si="1637"/>
        <v/>
      </c>
      <c r="Y548" s="749" t="str">
        <f t="shared" si="1637"/>
        <v/>
      </c>
      <c r="Z548" s="749" t="str">
        <f t="shared" si="1637"/>
        <v/>
      </c>
      <c r="AA548" s="749" t="str">
        <f t="shared" si="1637"/>
        <v/>
      </c>
      <c r="AB548" s="749" t="str">
        <f t="shared" si="1637"/>
        <v/>
      </c>
      <c r="AC548" s="749" t="str">
        <f t="shared" si="1637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8">IF(AL546="","",AL546*AL547/AL$46/365/$G$1)</f>
        <v/>
      </c>
      <c r="AM548" s="749" t="str">
        <f t="shared" si="1638"/>
        <v/>
      </c>
      <c r="AN548" s="749" t="str">
        <f t="shared" si="1638"/>
        <v/>
      </c>
      <c r="AO548" s="749" t="str">
        <f t="shared" si="1638"/>
        <v/>
      </c>
      <c r="AP548" s="749" t="str">
        <f t="shared" si="1638"/>
        <v/>
      </c>
      <c r="AQ548" s="749" t="str">
        <f t="shared" si="1638"/>
        <v/>
      </c>
      <c r="AR548" s="749" t="str">
        <f t="shared" si="1638"/>
        <v/>
      </c>
      <c r="AS548" s="749" t="str">
        <f t="shared" si="1638"/>
        <v/>
      </c>
      <c r="AT548" s="749" t="str">
        <f t="shared" si="1638"/>
        <v/>
      </c>
      <c r="AU548" s="749" t="str">
        <f t="shared" si="1638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9">IF(BD546="","",BD546*BD547/BD$46/365/$G$1)</f>
        <v/>
      </c>
      <c r="BE548" s="749" t="str">
        <f t="shared" si="1639"/>
        <v/>
      </c>
      <c r="BF548" s="749" t="str">
        <f t="shared" si="1639"/>
        <v/>
      </c>
      <c r="BG548" s="749" t="str">
        <f t="shared" si="1639"/>
        <v/>
      </c>
      <c r="BH548" s="749" t="str">
        <f t="shared" si="1639"/>
        <v/>
      </c>
      <c r="BI548" s="749" t="str">
        <f t="shared" si="1639"/>
        <v/>
      </c>
      <c r="BJ548" s="749" t="str">
        <f t="shared" si="1639"/>
        <v/>
      </c>
      <c r="BK548" s="749" t="str">
        <f t="shared" si="1639"/>
        <v/>
      </c>
      <c r="BL548" s="749" t="str">
        <f t="shared" si="1639"/>
        <v/>
      </c>
      <c r="BM548" s="749" t="str">
        <f t="shared" si="1639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ref="CE548:CM548" si="16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0" t="str">
        <f t="shared" si="1640"/>
        <v/>
      </c>
      <c r="CG548" s="1320" t="str">
        <f t="shared" si="1640"/>
        <v/>
      </c>
      <c r="CH548" s="1321" t="str">
        <f t="shared" si="1640"/>
        <v/>
      </c>
      <c r="CI548" s="1321" t="str">
        <f t="shared" si="1640"/>
        <v/>
      </c>
      <c r="CJ548" s="1320" t="str">
        <f t="shared" si="1640"/>
        <v/>
      </c>
      <c r="CK548" s="1320" t="str">
        <f t="shared" si="1640"/>
        <v/>
      </c>
      <c r="CL548" s="1320" t="str">
        <f t="shared" si="1640"/>
        <v/>
      </c>
      <c r="CM548" s="1319" t="str">
        <f t="shared" si="1640"/>
        <v/>
      </c>
      <c r="CN548" s="526" t="str">
        <f t="shared" si="1489"/>
        <v/>
      </c>
      <c r="CO548" s="527" t="str">
        <f t="shared" si="1490"/>
        <v/>
      </c>
      <c r="CP548" s="527" t="str">
        <f t="shared" si="1491"/>
        <v/>
      </c>
      <c r="CQ548" s="527" t="str">
        <f t="shared" si="1492"/>
        <v/>
      </c>
      <c r="CR548" s="527" t="str">
        <f t="shared" si="1493"/>
        <v/>
      </c>
      <c r="CS548" s="527" t="str">
        <f t="shared" si="1494"/>
        <v/>
      </c>
      <c r="CT548" s="528" t="str">
        <f t="shared" si="1495"/>
        <v/>
      </c>
      <c r="CU548" s="528" t="str">
        <f t="shared" si="1496"/>
        <v/>
      </c>
      <c r="CV548" s="528" t="str">
        <f t="shared" si="1497"/>
        <v/>
      </c>
      <c r="CW548" s="527" t="str">
        <f t="shared" si="1498"/>
        <v/>
      </c>
      <c r="CX548" s="527" t="str">
        <f t="shared" si="1499"/>
        <v/>
      </c>
      <c r="CY548" s="527" t="str">
        <f t="shared" si="1500"/>
        <v/>
      </c>
      <c r="CZ548" s="527" t="str">
        <f t="shared" si="1501"/>
        <v/>
      </c>
      <c r="DA548" s="527" t="str">
        <f t="shared" si="1502"/>
        <v/>
      </c>
      <c r="DB548" s="526" t="str">
        <f t="shared" si="1503"/>
        <v/>
      </c>
      <c r="DC548" s="525" t="str">
        <f t="shared" si="1504"/>
        <v/>
      </c>
      <c r="DD548" s="641">
        <f t="shared" si="1587"/>
        <v>0</v>
      </c>
      <c r="DE548" s="95">
        <f t="shared" si="1588"/>
        <v>0</v>
      </c>
      <c r="DF548" s="95">
        <f t="shared" si="1589"/>
        <v>0</v>
      </c>
      <c r="DG548" s="95">
        <f t="shared" si="1590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1" t="s">
        <v>288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1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7" t="str">
        <f t="shared" ref="CE549:CM562" si="164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7" t="str">
        <f t="shared" si="1641"/>
        <v/>
      </c>
      <c r="CG549" s="1317" t="str">
        <f t="shared" si="1641"/>
        <v/>
      </c>
      <c r="CH549" s="1318" t="str">
        <f t="shared" si="1641"/>
        <v/>
      </c>
      <c r="CI549" s="1318" t="str">
        <f t="shared" si="1641"/>
        <v/>
      </c>
      <c r="CJ549" s="1317" t="str">
        <f t="shared" si="1641"/>
        <v/>
      </c>
      <c r="CK549" s="1317" t="str">
        <f t="shared" si="1641"/>
        <v/>
      </c>
      <c r="CL549" s="1317" t="str">
        <f t="shared" si="1641"/>
        <v/>
      </c>
      <c r="CM549" s="1316" t="str">
        <f t="shared" si="1641"/>
        <v/>
      </c>
      <c r="CN549" s="538" t="str">
        <f t="shared" si="1489"/>
        <v/>
      </c>
      <c r="CO549" s="539" t="str">
        <f t="shared" si="1490"/>
        <v/>
      </c>
      <c r="CP549" s="539" t="str">
        <f t="shared" si="1491"/>
        <v/>
      </c>
      <c r="CQ549" s="539" t="str">
        <f t="shared" si="1492"/>
        <v/>
      </c>
      <c r="CR549" s="539" t="str">
        <f t="shared" si="1493"/>
        <v/>
      </c>
      <c r="CS549" s="539" t="str">
        <f t="shared" si="1494"/>
        <v/>
      </c>
      <c r="CT549" s="540" t="str">
        <f t="shared" si="1495"/>
        <v/>
      </c>
      <c r="CU549" s="540" t="str">
        <f t="shared" si="1496"/>
        <v/>
      </c>
      <c r="CV549" s="540" t="str">
        <f t="shared" si="1497"/>
        <v/>
      </c>
      <c r="CW549" s="539" t="str">
        <f t="shared" si="1498"/>
        <v/>
      </c>
      <c r="CX549" s="539" t="str">
        <f t="shared" si="1499"/>
        <v/>
      </c>
      <c r="CY549" s="539" t="str">
        <f t="shared" si="1500"/>
        <v/>
      </c>
      <c r="CZ549" s="539" t="str">
        <f t="shared" si="1501"/>
        <v/>
      </c>
      <c r="DA549" s="539" t="str">
        <f t="shared" si="1502"/>
        <v/>
      </c>
      <c r="DB549" s="538" t="str">
        <f t="shared" si="1503"/>
        <v/>
      </c>
      <c r="DC549" s="537" t="str">
        <f t="shared" si="1504"/>
        <v/>
      </c>
      <c r="DD549" s="641">
        <f t="shared" si="1587"/>
        <v>0</v>
      </c>
      <c r="DE549" s="95">
        <f t="shared" si="1588"/>
        <v>0</v>
      </c>
      <c r="DF549" s="95">
        <f t="shared" si="1589"/>
        <v>0</v>
      </c>
      <c r="DG549" s="95">
        <f t="shared" si="1590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286</v>
      </c>
      <c r="B550" s="746" t="str">
        <f t="shared" ref="B550:K550" si="1642">IF(B549="","",B546*B549)</f>
        <v/>
      </c>
      <c r="C550" s="746" t="str">
        <f t="shared" si="1642"/>
        <v/>
      </c>
      <c r="D550" s="746" t="str">
        <f t="shared" si="1642"/>
        <v/>
      </c>
      <c r="E550" s="746" t="str">
        <f t="shared" si="1642"/>
        <v/>
      </c>
      <c r="F550" s="746" t="str">
        <f t="shared" si="1642"/>
        <v/>
      </c>
      <c r="G550" s="746" t="str">
        <f t="shared" si="1642"/>
        <v/>
      </c>
      <c r="H550" s="746" t="str">
        <f t="shared" si="1642"/>
        <v/>
      </c>
      <c r="I550" s="746" t="str">
        <f t="shared" si="1642"/>
        <v/>
      </c>
      <c r="J550" s="746" t="str">
        <f t="shared" si="1642"/>
        <v/>
      </c>
      <c r="K550" s="746" t="str">
        <f t="shared" si="1642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3">IF(T549="","",T546*T549)</f>
        <v/>
      </c>
      <c r="U550" s="746" t="str">
        <f t="shared" si="1643"/>
        <v/>
      </c>
      <c r="V550" s="746" t="str">
        <f t="shared" si="1643"/>
        <v/>
      </c>
      <c r="W550" s="746" t="str">
        <f t="shared" si="1643"/>
        <v/>
      </c>
      <c r="X550" s="746" t="str">
        <f t="shared" si="1643"/>
        <v/>
      </c>
      <c r="Y550" s="746" t="str">
        <f t="shared" si="1643"/>
        <v/>
      </c>
      <c r="Z550" s="746" t="str">
        <f t="shared" si="1643"/>
        <v/>
      </c>
      <c r="AA550" s="746" t="str">
        <f t="shared" si="1643"/>
        <v/>
      </c>
      <c r="AB550" s="746" t="str">
        <f t="shared" si="1643"/>
        <v/>
      </c>
      <c r="AC550" s="746" t="str">
        <f t="shared" si="1643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4">IF(AL549="","",AL546*AL549)</f>
        <v/>
      </c>
      <c r="AM550" s="746" t="str">
        <f t="shared" si="1644"/>
        <v/>
      </c>
      <c r="AN550" s="746" t="str">
        <f t="shared" si="1644"/>
        <v/>
      </c>
      <c r="AO550" s="746" t="str">
        <f t="shared" si="1644"/>
        <v/>
      </c>
      <c r="AP550" s="746" t="str">
        <f t="shared" si="1644"/>
        <v/>
      </c>
      <c r="AQ550" s="746" t="str">
        <f t="shared" si="1644"/>
        <v/>
      </c>
      <c r="AR550" s="746" t="str">
        <f t="shared" si="1644"/>
        <v/>
      </c>
      <c r="AS550" s="746" t="str">
        <f t="shared" si="1644"/>
        <v/>
      </c>
      <c r="AT550" s="746" t="str">
        <f t="shared" si="1644"/>
        <v/>
      </c>
      <c r="AU550" s="746" t="str">
        <f t="shared" si="1644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5">IF(BD549="","",BD546*BD549)</f>
        <v/>
      </c>
      <c r="BE550" s="746" t="str">
        <f t="shared" si="1645"/>
        <v/>
      </c>
      <c r="BF550" s="746" t="str">
        <f t="shared" si="1645"/>
        <v/>
      </c>
      <c r="BG550" s="746" t="str">
        <f t="shared" si="1645"/>
        <v/>
      </c>
      <c r="BH550" s="746" t="str">
        <f t="shared" si="1645"/>
        <v/>
      </c>
      <c r="BI550" s="746" t="str">
        <f t="shared" si="1645"/>
        <v/>
      </c>
      <c r="BJ550" s="746" t="str">
        <f t="shared" si="1645"/>
        <v/>
      </c>
      <c r="BK550" s="746" t="str">
        <f t="shared" si="1645"/>
        <v/>
      </c>
      <c r="BL550" s="746" t="str">
        <f t="shared" si="1645"/>
        <v/>
      </c>
      <c r="BM550" s="746" t="str">
        <f t="shared" si="1645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1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17" t="str">
        <f t="shared" si="1641"/>
        <v/>
      </c>
      <c r="CF550" s="1317" t="str">
        <f t="shared" si="1641"/>
        <v/>
      </c>
      <c r="CG550" s="1317" t="str">
        <f t="shared" si="1641"/>
        <v/>
      </c>
      <c r="CH550" s="1318" t="str">
        <f t="shared" si="1641"/>
        <v/>
      </c>
      <c r="CI550" s="1318" t="str">
        <f t="shared" si="1641"/>
        <v/>
      </c>
      <c r="CJ550" s="1317" t="str">
        <f t="shared" si="1641"/>
        <v/>
      </c>
      <c r="CK550" s="1317" t="str">
        <f t="shared" si="1641"/>
        <v/>
      </c>
      <c r="CL550" s="1317" t="str">
        <f t="shared" si="1641"/>
        <v/>
      </c>
      <c r="CM550" s="1316" t="str">
        <f t="shared" si="1641"/>
        <v/>
      </c>
      <c r="CN550" s="538" t="str">
        <f t="shared" si="1489"/>
        <v/>
      </c>
      <c r="CO550" s="539" t="str">
        <f t="shared" si="1490"/>
        <v/>
      </c>
      <c r="CP550" s="539" t="str">
        <f t="shared" si="1491"/>
        <v/>
      </c>
      <c r="CQ550" s="539" t="str">
        <f t="shared" si="1492"/>
        <v/>
      </c>
      <c r="CR550" s="539" t="str">
        <f t="shared" si="1493"/>
        <v/>
      </c>
      <c r="CS550" s="539" t="str">
        <f t="shared" si="1494"/>
        <v/>
      </c>
      <c r="CT550" s="540" t="str">
        <f t="shared" si="1495"/>
        <v/>
      </c>
      <c r="CU550" s="540" t="str">
        <f t="shared" si="1496"/>
        <v/>
      </c>
      <c r="CV550" s="540" t="str">
        <f t="shared" si="1497"/>
        <v/>
      </c>
      <c r="CW550" s="539" t="str">
        <f t="shared" si="1498"/>
        <v/>
      </c>
      <c r="CX550" s="539" t="str">
        <f t="shared" si="1499"/>
        <v/>
      </c>
      <c r="CY550" s="539" t="str">
        <f t="shared" si="1500"/>
        <v/>
      </c>
      <c r="CZ550" s="539" t="str">
        <f t="shared" si="1501"/>
        <v/>
      </c>
      <c r="DA550" s="539" t="str">
        <f t="shared" si="1502"/>
        <v/>
      </c>
      <c r="DB550" s="538" t="str">
        <f t="shared" si="1503"/>
        <v/>
      </c>
      <c r="DC550" s="537" t="str">
        <f t="shared" si="1504"/>
        <v/>
      </c>
      <c r="DD550" s="641">
        <f t="shared" si="1587"/>
        <v>0</v>
      </c>
      <c r="DE550" s="95">
        <f t="shared" si="1588"/>
        <v>0</v>
      </c>
      <c r="DF550" s="95">
        <f t="shared" si="1589"/>
        <v>0</v>
      </c>
      <c r="DG550" s="95">
        <f t="shared" si="1590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394" t="s">
        <v>727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9"/>
        <v/>
      </c>
      <c r="CO551" s="539" t="str">
        <f t="shared" si="1490"/>
        <v/>
      </c>
      <c r="CP551" s="539" t="str">
        <f t="shared" si="1491"/>
        <v/>
      </c>
      <c r="CQ551" s="539" t="str">
        <f t="shared" si="1492"/>
        <v/>
      </c>
      <c r="CR551" s="539" t="str">
        <f t="shared" si="1493"/>
        <v/>
      </c>
      <c r="CS551" s="539" t="str">
        <f t="shared" si="1494"/>
        <v/>
      </c>
      <c r="CT551" s="540" t="str">
        <f t="shared" si="1495"/>
        <v/>
      </c>
      <c r="CU551" s="540" t="str">
        <f t="shared" si="1496"/>
        <v/>
      </c>
      <c r="CV551" s="540" t="str">
        <f t="shared" si="1497"/>
        <v/>
      </c>
      <c r="CW551" s="539" t="str">
        <f t="shared" si="1498"/>
        <v/>
      </c>
      <c r="CX551" s="539" t="str">
        <f t="shared" si="1499"/>
        <v/>
      </c>
      <c r="CY551" s="539" t="str">
        <f t="shared" si="1500"/>
        <v/>
      </c>
      <c r="CZ551" s="539" t="str">
        <f t="shared" si="1501"/>
        <v/>
      </c>
      <c r="DA551" s="539" t="str">
        <f t="shared" si="1502"/>
        <v/>
      </c>
      <c r="DB551" s="538" t="str">
        <f t="shared" si="1503"/>
        <v/>
      </c>
      <c r="DC551" s="537" t="str">
        <f t="shared" si="1504"/>
        <v/>
      </c>
      <c r="DD551" s="641">
        <f t="shared" si="1587"/>
        <v>0</v>
      </c>
      <c r="DE551" s="95">
        <f t="shared" si="1588"/>
        <v>0</v>
      </c>
      <c r="DF551" s="95">
        <f t="shared" si="1589"/>
        <v>0</v>
      </c>
      <c r="DG551" s="95">
        <f t="shared" si="1590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293</v>
      </c>
      <c r="B552" s="631" t="s">
        <v>732</v>
      </c>
      <c r="C552" s="629" t="s">
        <v>732</v>
      </c>
      <c r="D552" s="629"/>
      <c r="E552" s="629"/>
      <c r="F552" s="629" t="s">
        <v>732</v>
      </c>
      <c r="G552" s="629" t="s">
        <v>732</v>
      </c>
      <c r="H552" s="629" t="s">
        <v>732</v>
      </c>
      <c r="I552" s="629" t="s">
        <v>732</v>
      </c>
      <c r="J552" s="629" t="s">
        <v>732</v>
      </c>
      <c r="K552" s="629" t="s">
        <v>732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732</v>
      </c>
      <c r="V552" s="629">
        <v>64.8</v>
      </c>
      <c r="W552" s="629">
        <v>32.4</v>
      </c>
      <c r="X552" s="629">
        <v>21.6</v>
      </c>
      <c r="Y552" s="629" t="s">
        <v>732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732</v>
      </c>
      <c r="AM552" s="629">
        <v>9</v>
      </c>
      <c r="AN552" s="629" t="s">
        <v>732</v>
      </c>
      <c r="AO552" s="629" t="s">
        <v>732</v>
      </c>
      <c r="AP552" s="629" t="s">
        <v>732</v>
      </c>
      <c r="AQ552" s="629" t="s">
        <v>732</v>
      </c>
      <c r="AR552" s="629" t="s">
        <v>732</v>
      </c>
      <c r="AS552" s="629" t="s">
        <v>732</v>
      </c>
      <c r="AT552" s="629" t="s">
        <v>732</v>
      </c>
      <c r="AU552" s="629" t="s">
        <v>732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732</v>
      </c>
      <c r="BE552" s="629">
        <v>9</v>
      </c>
      <c r="BF552" s="629">
        <v>9</v>
      </c>
      <c r="BG552" s="629"/>
      <c r="BH552" s="629"/>
      <c r="BI552" s="629" t="s">
        <v>732</v>
      </c>
      <c r="BJ552" s="629" t="s">
        <v>732</v>
      </c>
      <c r="BK552" s="629" t="s">
        <v>732</v>
      </c>
      <c r="BL552" s="629" t="s">
        <v>732</v>
      </c>
      <c r="BM552" s="629" t="s">
        <v>732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1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17" t="str">
        <f t="shared" si="1641"/>
        <v/>
      </c>
      <c r="CF552" s="1317" t="str">
        <f t="shared" si="1641"/>
        <v/>
      </c>
      <c r="CG552" s="1317" t="str">
        <f t="shared" si="1641"/>
        <v/>
      </c>
      <c r="CH552" s="1318">
        <f t="shared" si="1641"/>
        <v>9</v>
      </c>
      <c r="CI552" s="1318" t="str">
        <f t="shared" si="1641"/>
        <v/>
      </c>
      <c r="CJ552" s="1317" t="str">
        <f t="shared" si="1641"/>
        <v/>
      </c>
      <c r="CK552" s="1317" t="str">
        <f t="shared" si="1641"/>
        <v/>
      </c>
      <c r="CL552" s="1317" t="str">
        <f t="shared" si="1641"/>
        <v/>
      </c>
      <c r="CM552" s="1316" t="str">
        <f t="shared" si="1641"/>
        <v/>
      </c>
      <c r="CN552" s="538" t="str">
        <f t="shared" si="1489"/>
        <v/>
      </c>
      <c r="CO552" s="539" t="str">
        <f t="shared" si="1490"/>
        <v/>
      </c>
      <c r="CP552" s="539" t="str">
        <f t="shared" si="1491"/>
        <v/>
      </c>
      <c r="CQ552" s="539" t="str">
        <f t="shared" si="1492"/>
        <v/>
      </c>
      <c r="CR552" s="539" t="str">
        <f t="shared" si="1493"/>
        <v/>
      </c>
      <c r="CS552" s="539" t="str">
        <f t="shared" si="1494"/>
        <v/>
      </c>
      <c r="CT552" s="540" t="str">
        <f t="shared" si="1495"/>
        <v/>
      </c>
      <c r="CU552" s="540">
        <f t="shared" si="1496"/>
        <v>9</v>
      </c>
      <c r="CV552" s="540">
        <f t="shared" si="1497"/>
        <v>9</v>
      </c>
      <c r="CW552" s="539" t="str">
        <f t="shared" si="1498"/>
        <v/>
      </c>
      <c r="CX552" s="539" t="str">
        <f t="shared" si="1499"/>
        <v/>
      </c>
      <c r="CY552" s="539" t="str">
        <f t="shared" si="1500"/>
        <v/>
      </c>
      <c r="CZ552" s="539" t="str">
        <f t="shared" si="1501"/>
        <v/>
      </c>
      <c r="DA552" s="539" t="str">
        <f t="shared" si="1502"/>
        <v/>
      </c>
      <c r="DB552" s="538" t="str">
        <f t="shared" si="1503"/>
        <v/>
      </c>
      <c r="DC552" s="537" t="str">
        <f t="shared" si="1504"/>
        <v/>
      </c>
      <c r="DD552" s="641">
        <f t="shared" si="1587"/>
        <v>0</v>
      </c>
      <c r="DE552" s="95">
        <f t="shared" si="1588"/>
        <v>8</v>
      </c>
      <c r="DF552" s="95">
        <f t="shared" si="1589"/>
        <v>1</v>
      </c>
      <c r="DG552" s="95">
        <f t="shared" si="1590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284</v>
      </c>
      <c r="B553" s="747">
        <f>1050*$K$1</f>
        <v>4396.1399999999994</v>
      </c>
      <c r="C553" s="747">
        <f t="shared" ref="C553:K553" si="1646">1050*$K$1</f>
        <v>4396.1399999999994</v>
      </c>
      <c r="D553" s="747">
        <f t="shared" si="1646"/>
        <v>4396.1399999999994</v>
      </c>
      <c r="E553" s="747">
        <f t="shared" si="1646"/>
        <v>4396.1399999999994</v>
      </c>
      <c r="F553" s="747">
        <f t="shared" si="1646"/>
        <v>4396.1399999999994</v>
      </c>
      <c r="G553" s="747">
        <f t="shared" si="1646"/>
        <v>4396.1399999999994</v>
      </c>
      <c r="H553" s="747">
        <f t="shared" si="1646"/>
        <v>4396.1399999999994</v>
      </c>
      <c r="I553" s="747">
        <f t="shared" si="1646"/>
        <v>4396.1399999999994</v>
      </c>
      <c r="J553" s="747">
        <f t="shared" si="1646"/>
        <v>4396.1399999999994</v>
      </c>
      <c r="K553" s="747">
        <f t="shared" si="1646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7">1050*$K$1</f>
        <v>4396.1399999999994</v>
      </c>
      <c r="V553" s="747">
        <f t="shared" si="1647"/>
        <v>4396.1399999999994</v>
      </c>
      <c r="W553" s="747">
        <f t="shared" si="1647"/>
        <v>4396.1399999999994</v>
      </c>
      <c r="X553" s="747">
        <f t="shared" si="1647"/>
        <v>4396.1399999999994</v>
      </c>
      <c r="Y553" s="747">
        <f t="shared" si="1647"/>
        <v>4396.1399999999994</v>
      </c>
      <c r="Z553" s="747">
        <f t="shared" si="1647"/>
        <v>4396.1399999999994</v>
      </c>
      <c r="AA553" s="747">
        <f t="shared" si="1647"/>
        <v>4396.1399999999994</v>
      </c>
      <c r="AB553" s="747">
        <f t="shared" si="1647"/>
        <v>4396.1399999999994</v>
      </c>
      <c r="AC553" s="747">
        <f t="shared" si="1647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8">1050*$K$1</f>
        <v>4396.1399999999994</v>
      </c>
      <c r="AN553" s="747">
        <f t="shared" si="1648"/>
        <v>4396.1399999999994</v>
      </c>
      <c r="AO553" s="747">
        <f t="shared" si="1648"/>
        <v>4396.1399999999994</v>
      </c>
      <c r="AP553" s="747">
        <f t="shared" si="1648"/>
        <v>4396.1399999999994</v>
      </c>
      <c r="AQ553" s="747">
        <f t="shared" si="1648"/>
        <v>4396.1399999999994</v>
      </c>
      <c r="AR553" s="747">
        <f t="shared" si="1648"/>
        <v>4396.1399999999994</v>
      </c>
      <c r="AS553" s="747">
        <f t="shared" si="1648"/>
        <v>4396.1399999999994</v>
      </c>
      <c r="AT553" s="747">
        <f t="shared" si="1648"/>
        <v>4396.1399999999994</v>
      </c>
      <c r="AU553" s="747">
        <f t="shared" si="1648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9">1050*$K$1</f>
        <v>4396.1399999999994</v>
      </c>
      <c r="BF553" s="747">
        <f t="shared" si="1649"/>
        <v>4396.1399999999994</v>
      </c>
      <c r="BG553" s="747">
        <f t="shared" si="1649"/>
        <v>4396.1399999999994</v>
      </c>
      <c r="BH553" s="747">
        <f t="shared" si="1649"/>
        <v>4396.1399999999994</v>
      </c>
      <c r="BI553" s="747">
        <f t="shared" si="1649"/>
        <v>4396.1399999999994</v>
      </c>
      <c r="BJ553" s="747">
        <f t="shared" si="1649"/>
        <v>4396.1399999999994</v>
      </c>
      <c r="BK553" s="747">
        <f t="shared" si="1649"/>
        <v>4396.1399999999994</v>
      </c>
      <c r="BL553" s="747">
        <f t="shared" si="1649"/>
        <v>4396.1399999999994</v>
      </c>
      <c r="BM553" s="747">
        <f t="shared" si="1649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9"/>
        <v>4396.1399999999994</v>
      </c>
      <c r="BW553" s="747">
        <f t="shared" si="1649"/>
        <v>4396.1399999999994</v>
      </c>
      <c r="BX553" s="747">
        <f t="shared" si="1649"/>
        <v>4396.1399999999994</v>
      </c>
      <c r="BY553" s="747">
        <f t="shared" si="1649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1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17">
        <f t="shared" si="1641"/>
        <v>4396.1399999999994</v>
      </c>
      <c r="CF553" s="1317">
        <f t="shared" si="1641"/>
        <v>4396.1399999999994</v>
      </c>
      <c r="CG553" s="1317">
        <f t="shared" si="1641"/>
        <v>4396.1399999999994</v>
      </c>
      <c r="CH553" s="1318">
        <f t="shared" si="1641"/>
        <v>4396.1399999999994</v>
      </c>
      <c r="CI553" s="1318">
        <f t="shared" si="1641"/>
        <v>4396.1399999999994</v>
      </c>
      <c r="CJ553" s="1317">
        <f t="shared" si="1641"/>
        <v>4396.1399999999994</v>
      </c>
      <c r="CK553" s="1317">
        <f t="shared" si="1641"/>
        <v>4396.1399999999994</v>
      </c>
      <c r="CL553" s="1317">
        <f t="shared" si="1641"/>
        <v>4396.1399999999994</v>
      </c>
      <c r="CM553" s="1316">
        <f t="shared" si="1641"/>
        <v>4396.1399999999994</v>
      </c>
      <c r="CN553" s="538" t="str">
        <f t="shared" si="1489"/>
        <v/>
      </c>
      <c r="CO553" s="539" t="str">
        <f t="shared" si="1490"/>
        <v/>
      </c>
      <c r="CP553" s="539" t="str">
        <f t="shared" si="1491"/>
        <v/>
      </c>
      <c r="CQ553" s="539">
        <f t="shared" si="1492"/>
        <v>4396.1399999999994</v>
      </c>
      <c r="CR553" s="539">
        <f t="shared" si="1493"/>
        <v>4396.1399999999994</v>
      </c>
      <c r="CS553" s="539">
        <f t="shared" si="1494"/>
        <v>4396.1399999999994</v>
      </c>
      <c r="CT553" s="540">
        <f t="shared" si="1495"/>
        <v>4396.1399999999994</v>
      </c>
      <c r="CU553" s="540">
        <f t="shared" si="1496"/>
        <v>4396.1399999999994</v>
      </c>
      <c r="CV553" s="540">
        <f t="shared" si="1497"/>
        <v>4396.1399999999994</v>
      </c>
      <c r="CW553" s="539">
        <f t="shared" si="1498"/>
        <v>4396.1399999999994</v>
      </c>
      <c r="CX553" s="539">
        <f t="shared" si="1499"/>
        <v>4396.1399999999994</v>
      </c>
      <c r="CY553" s="539">
        <f t="shared" si="1500"/>
        <v>4396.1399999999994</v>
      </c>
      <c r="CZ553" s="539">
        <f t="shared" si="1501"/>
        <v>4396.1399999999994</v>
      </c>
      <c r="DA553" s="539" t="str">
        <f t="shared" si="1502"/>
        <v/>
      </c>
      <c r="DB553" s="538" t="str">
        <f t="shared" si="1503"/>
        <v/>
      </c>
      <c r="DC553" s="537" t="str">
        <f t="shared" si="1504"/>
        <v/>
      </c>
      <c r="DD553" s="641">
        <f t="shared" si="1587"/>
        <v>10</v>
      </c>
      <c r="DE553" s="95">
        <f t="shared" si="1588"/>
        <v>10</v>
      </c>
      <c r="DF553" s="95">
        <f t="shared" si="1589"/>
        <v>10</v>
      </c>
      <c r="DG553" s="95">
        <f t="shared" si="1590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227</v>
      </c>
      <c r="B554" s="749" t="str">
        <f t="shared" ref="B554:K554" si="1650">IF(B552="","",B552*B553/B$46/365/$G$1)</f>
        <v/>
      </c>
      <c r="C554" s="749" t="str">
        <f t="shared" si="1650"/>
        <v/>
      </c>
      <c r="D554" s="749" t="str">
        <f t="shared" si="1650"/>
        <v/>
      </c>
      <c r="E554" s="749" t="str">
        <f t="shared" si="1650"/>
        <v/>
      </c>
      <c r="F554" s="749" t="str">
        <f t="shared" si="1650"/>
        <v/>
      </c>
      <c r="G554" s="749" t="str">
        <f t="shared" si="1650"/>
        <v/>
      </c>
      <c r="H554" s="749" t="str">
        <f t="shared" si="1650"/>
        <v/>
      </c>
      <c r="I554" s="749" t="str">
        <f t="shared" si="1650"/>
        <v/>
      </c>
      <c r="J554" s="749" t="str">
        <f t="shared" si="1650"/>
        <v/>
      </c>
      <c r="K554" s="749" t="str">
        <f t="shared" si="1650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51">IF(T552="","",T552*T553/T$46/365/$G$1)</f>
        <v>1.5397439290161892E-3</v>
      </c>
      <c r="U554" s="749" t="str">
        <f t="shared" si="1651"/>
        <v/>
      </c>
      <c r="V554" s="749">
        <f t="shared" si="1651"/>
        <v>9.8543611457036114E-3</v>
      </c>
      <c r="W554" s="749">
        <f t="shared" si="1651"/>
        <v>4.4344625155666251E-3</v>
      </c>
      <c r="X554" s="749">
        <f t="shared" si="1651"/>
        <v>3.6953854296388547E-3</v>
      </c>
      <c r="Y554" s="749" t="str">
        <f t="shared" si="1651"/>
        <v/>
      </c>
      <c r="Z554" s="749">
        <f t="shared" si="1651"/>
        <v>9.8543611457036114E-3</v>
      </c>
      <c r="AA554" s="749">
        <f t="shared" si="1651"/>
        <v>4.4358311768368606E-3</v>
      </c>
      <c r="AB554" s="749">
        <f t="shared" si="1651"/>
        <v>5.4746450809464503E-3</v>
      </c>
      <c r="AC554" s="749">
        <f t="shared" si="1651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2">IF(AL552="","",AL552*AL553/AL$46/365/$G$1)</f>
        <v/>
      </c>
      <c r="AM554" s="749">
        <f t="shared" si="1652"/>
        <v>1.5397439290161892E-3</v>
      </c>
      <c r="AN554" s="749" t="str">
        <f t="shared" si="1652"/>
        <v/>
      </c>
      <c r="AO554" s="749" t="str">
        <f t="shared" si="1652"/>
        <v/>
      </c>
      <c r="AP554" s="749" t="str">
        <f t="shared" si="1652"/>
        <v/>
      </c>
      <c r="AQ554" s="749" t="str">
        <f t="shared" si="1652"/>
        <v/>
      </c>
      <c r="AR554" s="749" t="str">
        <f t="shared" si="1652"/>
        <v/>
      </c>
      <c r="AS554" s="749" t="str">
        <f t="shared" si="1652"/>
        <v/>
      </c>
      <c r="AT554" s="749" t="str">
        <f t="shared" si="1652"/>
        <v/>
      </c>
      <c r="AU554" s="749" t="str">
        <f t="shared" si="1652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3">IF(BD552="","",BD552*BD553/BD$46/365/$G$1)</f>
        <v/>
      </c>
      <c r="BE554" s="749">
        <f t="shared" si="1653"/>
        <v>1.5397439290161892E-3</v>
      </c>
      <c r="BF554" s="749">
        <f t="shared" si="1653"/>
        <v>1.0264959526774594E-3</v>
      </c>
      <c r="BG554" s="749" t="str">
        <f t="shared" si="1653"/>
        <v/>
      </c>
      <c r="BH554" s="749" t="str">
        <f t="shared" si="1653"/>
        <v/>
      </c>
      <c r="BI554" s="749" t="str">
        <f t="shared" si="1653"/>
        <v/>
      </c>
      <c r="BJ554" s="749" t="str">
        <f t="shared" si="1653"/>
        <v/>
      </c>
      <c r="BK554" s="749" t="str">
        <f t="shared" si="1653"/>
        <v/>
      </c>
      <c r="BL554" s="749" t="str">
        <f t="shared" si="1653"/>
        <v/>
      </c>
      <c r="BM554" s="749" t="str">
        <f t="shared" si="1653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641"/>
        <v/>
      </c>
      <c r="CF554" s="1320" t="str">
        <f t="shared" si="1641"/>
        <v/>
      </c>
      <c r="CG554" s="1320" t="str">
        <f t="shared" si="1641"/>
        <v/>
      </c>
      <c r="CH554" s="1321">
        <f t="shared" si="1641"/>
        <v>1.5397439290161892E-3</v>
      </c>
      <c r="CI554" s="1321" t="str">
        <f t="shared" si="1641"/>
        <v/>
      </c>
      <c r="CJ554" s="1320" t="str">
        <f t="shared" si="1641"/>
        <v/>
      </c>
      <c r="CK554" s="1320" t="str">
        <f t="shared" si="1641"/>
        <v/>
      </c>
      <c r="CL554" s="1320" t="str">
        <f t="shared" si="1641"/>
        <v/>
      </c>
      <c r="CM554" s="1319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9"/>
        <v/>
      </c>
      <c r="CO554" s="527" t="str">
        <f t="shared" si="1490"/>
        <v/>
      </c>
      <c r="CP554" s="527" t="str">
        <f t="shared" si="1491"/>
        <v/>
      </c>
      <c r="CQ554" s="527" t="str">
        <f t="shared" si="1492"/>
        <v/>
      </c>
      <c r="CR554" s="527" t="str">
        <f t="shared" si="1493"/>
        <v/>
      </c>
      <c r="CS554" s="527" t="str">
        <f t="shared" si="1494"/>
        <v/>
      </c>
      <c r="CT554" s="528" t="str">
        <f t="shared" si="1495"/>
        <v/>
      </c>
      <c r="CU554" s="528">
        <f t="shared" si="1496"/>
        <v>1.0264959526774594E-3</v>
      </c>
      <c r="CV554" s="528">
        <f t="shared" si="1497"/>
        <v>1.5397439290161892E-3</v>
      </c>
      <c r="CW554" s="527" t="str">
        <f t="shared" si="1498"/>
        <v/>
      </c>
      <c r="CX554" s="527" t="str">
        <f t="shared" si="1499"/>
        <v/>
      </c>
      <c r="CY554" s="527" t="str">
        <f t="shared" si="1500"/>
        <v/>
      </c>
      <c r="CZ554" s="527" t="str">
        <f t="shared" si="1501"/>
        <v/>
      </c>
      <c r="DA554" s="527" t="str">
        <f t="shared" si="1502"/>
        <v/>
      </c>
      <c r="DB554" s="526" t="str">
        <f t="shared" si="1503"/>
        <v/>
      </c>
      <c r="DC554" s="525" t="str">
        <f t="shared" si="1504"/>
        <v/>
      </c>
      <c r="DD554" s="641">
        <f t="shared" si="1587"/>
        <v>0</v>
      </c>
      <c r="DE554" s="95">
        <f t="shared" si="1588"/>
        <v>8</v>
      </c>
      <c r="DF554" s="95">
        <f t="shared" si="1589"/>
        <v>1</v>
      </c>
      <c r="DG554" s="95">
        <f t="shared" si="1590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1" t="s">
        <v>288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1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7" t="str">
        <f t="shared" si="1641"/>
        <v/>
      </c>
      <c r="CF555" s="1317" t="str">
        <f t="shared" si="1641"/>
        <v/>
      </c>
      <c r="CG555" s="1317" t="str">
        <f t="shared" si="1641"/>
        <v/>
      </c>
      <c r="CH555" s="1318">
        <f t="shared" si="1641"/>
        <v>47</v>
      </c>
      <c r="CI555" s="1318" t="str">
        <f t="shared" si="1641"/>
        <v/>
      </c>
      <c r="CJ555" s="1317" t="str">
        <f t="shared" si="1641"/>
        <v/>
      </c>
      <c r="CK555" s="1317" t="str">
        <f t="shared" si="1641"/>
        <v/>
      </c>
      <c r="CL555" s="1317" t="str">
        <f t="shared" si="1641"/>
        <v/>
      </c>
      <c r="CM555" s="1316" t="str">
        <f t="shared" si="1641"/>
        <v/>
      </c>
      <c r="CN555" s="538" t="str">
        <f t="shared" si="1489"/>
        <v/>
      </c>
      <c r="CO555" s="539" t="str">
        <f t="shared" si="1490"/>
        <v/>
      </c>
      <c r="CP555" s="539" t="str">
        <f t="shared" si="1491"/>
        <v/>
      </c>
      <c r="CQ555" s="539" t="str">
        <f t="shared" si="1492"/>
        <v/>
      </c>
      <c r="CR555" s="539" t="str">
        <f t="shared" si="1493"/>
        <v/>
      </c>
      <c r="CS555" s="539" t="str">
        <f t="shared" si="1494"/>
        <v/>
      </c>
      <c r="CT555" s="540" t="str">
        <f t="shared" si="1495"/>
        <v/>
      </c>
      <c r="CU555" s="540">
        <f t="shared" si="1496"/>
        <v>55</v>
      </c>
      <c r="CV555" s="540" t="str">
        <f t="shared" si="1497"/>
        <v/>
      </c>
      <c r="CW555" s="539" t="str">
        <f t="shared" si="1498"/>
        <v/>
      </c>
      <c r="CX555" s="539" t="str">
        <f t="shared" si="1499"/>
        <v/>
      </c>
      <c r="CY555" s="539" t="str">
        <f t="shared" si="1500"/>
        <v/>
      </c>
      <c r="CZ555" s="539" t="str">
        <f t="shared" si="1501"/>
        <v/>
      </c>
      <c r="DA555" s="539" t="str">
        <f t="shared" si="1502"/>
        <v/>
      </c>
      <c r="DB555" s="538" t="str">
        <f t="shared" si="1503"/>
        <v/>
      </c>
      <c r="DC555" s="537" t="str">
        <f t="shared" si="1504"/>
        <v/>
      </c>
      <c r="DD555" s="641">
        <f t="shared" si="1587"/>
        <v>0</v>
      </c>
      <c r="DE555" s="95">
        <f t="shared" si="1588"/>
        <v>7</v>
      </c>
      <c r="DF555" s="95">
        <f t="shared" si="1589"/>
        <v>1</v>
      </c>
      <c r="DG555" s="95">
        <f t="shared" si="1590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286</v>
      </c>
      <c r="B556" s="746" t="str">
        <f t="shared" ref="B556:K556" si="1654">IF(B555="","",B552*B555)</f>
        <v/>
      </c>
      <c r="C556" s="746" t="str">
        <f t="shared" si="1654"/>
        <v/>
      </c>
      <c r="D556" s="746" t="str">
        <f t="shared" si="1654"/>
        <v/>
      </c>
      <c r="E556" s="746" t="str">
        <f t="shared" si="1654"/>
        <v/>
      </c>
      <c r="F556" s="746" t="str">
        <f t="shared" si="1654"/>
        <v/>
      </c>
      <c r="G556" s="746" t="str">
        <f t="shared" si="1654"/>
        <v/>
      </c>
      <c r="H556" s="746" t="str">
        <f t="shared" si="1654"/>
        <v/>
      </c>
      <c r="I556" s="746" t="str">
        <f t="shared" si="1654"/>
        <v/>
      </c>
      <c r="J556" s="746" t="str">
        <f t="shared" si="1654"/>
        <v/>
      </c>
      <c r="K556" s="746" t="str">
        <f t="shared" si="1654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5">IF(T555="","",T552*T555)</f>
        <v>225</v>
      </c>
      <c r="U556" s="746" t="str">
        <f t="shared" si="1655"/>
        <v/>
      </c>
      <c r="V556" s="746">
        <f t="shared" si="1655"/>
        <v>1425.6</v>
      </c>
      <c r="W556" s="746">
        <f t="shared" si="1655"/>
        <v>777.59999999999991</v>
      </c>
      <c r="X556" s="746">
        <f t="shared" si="1655"/>
        <v>518.40000000000009</v>
      </c>
      <c r="Y556" s="746" t="str">
        <f t="shared" si="1655"/>
        <v/>
      </c>
      <c r="Z556" s="746" t="str">
        <f t="shared" si="1655"/>
        <v/>
      </c>
      <c r="AA556" s="746">
        <f t="shared" si="1655"/>
        <v>648.19999999999993</v>
      </c>
      <c r="AB556" s="746">
        <f t="shared" si="1655"/>
        <v>720</v>
      </c>
      <c r="AC556" s="746">
        <f t="shared" si="1655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6">IF(AL555="","",AL552*AL555)</f>
        <v/>
      </c>
      <c r="AM556" s="746">
        <f t="shared" si="1656"/>
        <v>423</v>
      </c>
      <c r="AN556" s="746" t="str">
        <f t="shared" si="1656"/>
        <v/>
      </c>
      <c r="AO556" s="746" t="str">
        <f t="shared" si="1656"/>
        <v/>
      </c>
      <c r="AP556" s="746" t="str">
        <f t="shared" si="1656"/>
        <v/>
      </c>
      <c r="AQ556" s="746" t="str">
        <f t="shared" si="1656"/>
        <v/>
      </c>
      <c r="AR556" s="746" t="str">
        <f t="shared" si="1656"/>
        <v/>
      </c>
      <c r="AS556" s="746" t="str">
        <f t="shared" si="1656"/>
        <v/>
      </c>
      <c r="AT556" s="746" t="str">
        <f t="shared" si="1656"/>
        <v/>
      </c>
      <c r="AU556" s="746" t="str">
        <f t="shared" si="1656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7">IF(BD555="","",BD552*BD555)</f>
        <v/>
      </c>
      <c r="BE556" s="746" t="str">
        <f t="shared" si="1657"/>
        <v/>
      </c>
      <c r="BF556" s="746">
        <f t="shared" si="1657"/>
        <v>495</v>
      </c>
      <c r="BG556" s="746" t="str">
        <f t="shared" si="1657"/>
        <v/>
      </c>
      <c r="BH556" s="746" t="str">
        <f t="shared" si="1657"/>
        <v/>
      </c>
      <c r="BI556" s="746" t="str">
        <f t="shared" si="1657"/>
        <v/>
      </c>
      <c r="BJ556" s="746" t="str">
        <f t="shared" si="1657"/>
        <v/>
      </c>
      <c r="BK556" s="746" t="str">
        <f t="shared" si="1657"/>
        <v/>
      </c>
      <c r="BL556" s="746" t="str">
        <f t="shared" si="1657"/>
        <v/>
      </c>
      <c r="BM556" s="746" t="str">
        <f t="shared" si="1657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1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17" t="str">
        <f t="shared" si="1641"/>
        <v/>
      </c>
      <c r="CF556" s="1317" t="str">
        <f t="shared" si="1641"/>
        <v/>
      </c>
      <c r="CG556" s="1317" t="str">
        <f t="shared" si="1641"/>
        <v/>
      </c>
      <c r="CH556" s="1318">
        <f t="shared" si="1641"/>
        <v>423</v>
      </c>
      <c r="CI556" s="1318" t="str">
        <f t="shared" si="1641"/>
        <v/>
      </c>
      <c r="CJ556" s="1317" t="str">
        <f t="shared" si="1641"/>
        <v/>
      </c>
      <c r="CK556" s="1317" t="str">
        <f t="shared" si="1641"/>
        <v/>
      </c>
      <c r="CL556" s="1317" t="str">
        <f t="shared" si="1641"/>
        <v/>
      </c>
      <c r="CM556" s="1316" t="str">
        <f t="shared" si="1641"/>
        <v/>
      </c>
      <c r="CN556" s="538" t="str">
        <f t="shared" si="1489"/>
        <v/>
      </c>
      <c r="CO556" s="539" t="str">
        <f t="shared" si="1490"/>
        <v/>
      </c>
      <c r="CP556" s="539" t="str">
        <f t="shared" si="1491"/>
        <v/>
      </c>
      <c r="CQ556" s="539" t="str">
        <f t="shared" si="1492"/>
        <v/>
      </c>
      <c r="CR556" s="539" t="str">
        <f t="shared" si="1493"/>
        <v/>
      </c>
      <c r="CS556" s="539" t="str">
        <f t="shared" si="1494"/>
        <v/>
      </c>
      <c r="CT556" s="540" t="str">
        <f t="shared" si="1495"/>
        <v/>
      </c>
      <c r="CU556" s="540">
        <f t="shared" si="1496"/>
        <v>495</v>
      </c>
      <c r="CV556" s="540" t="str">
        <f t="shared" si="1497"/>
        <v/>
      </c>
      <c r="CW556" s="539" t="str">
        <f t="shared" si="1498"/>
        <v/>
      </c>
      <c r="CX556" s="539" t="str">
        <f t="shared" si="1499"/>
        <v/>
      </c>
      <c r="CY556" s="539" t="str">
        <f t="shared" si="1500"/>
        <v/>
      </c>
      <c r="CZ556" s="539" t="str">
        <f t="shared" si="1501"/>
        <v/>
      </c>
      <c r="DA556" s="539" t="str">
        <f t="shared" si="1502"/>
        <v/>
      </c>
      <c r="DB556" s="538" t="str">
        <f t="shared" si="1503"/>
        <v/>
      </c>
      <c r="DC556" s="537" t="str">
        <f t="shared" si="1504"/>
        <v/>
      </c>
      <c r="DD556" s="641">
        <f t="shared" si="1587"/>
        <v>0</v>
      </c>
      <c r="DE556" s="95">
        <f t="shared" si="1588"/>
        <v>7</v>
      </c>
      <c r="DF556" s="95">
        <f t="shared" si="1589"/>
        <v>1</v>
      </c>
      <c r="DG556" s="95">
        <f t="shared" si="1590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394" t="s">
        <v>728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9"/>
        <v/>
      </c>
      <c r="CO557" s="539" t="str">
        <f t="shared" si="1490"/>
        <v/>
      </c>
      <c r="CP557" s="539" t="str">
        <f t="shared" si="1491"/>
        <v/>
      </c>
      <c r="CQ557" s="539" t="str">
        <f t="shared" si="1492"/>
        <v/>
      </c>
      <c r="CR557" s="539" t="str">
        <f t="shared" si="1493"/>
        <v/>
      </c>
      <c r="CS557" s="539" t="str">
        <f t="shared" si="1494"/>
        <v/>
      </c>
      <c r="CT557" s="540" t="str">
        <f t="shared" si="1495"/>
        <v/>
      </c>
      <c r="CU557" s="540">
        <f t="shared" si="1496"/>
        <v>0</v>
      </c>
      <c r="CV557" s="540">
        <f t="shared" si="1497"/>
        <v>0</v>
      </c>
      <c r="CW557" s="539" t="str">
        <f t="shared" si="1498"/>
        <v/>
      </c>
      <c r="CX557" s="539" t="str">
        <f t="shared" si="1499"/>
        <v/>
      </c>
      <c r="CY557" s="539" t="str">
        <f t="shared" si="1500"/>
        <v/>
      </c>
      <c r="CZ557" s="539" t="str">
        <f t="shared" si="1501"/>
        <v/>
      </c>
      <c r="DA557" s="539" t="str">
        <f t="shared" si="1502"/>
        <v/>
      </c>
      <c r="DB557" s="538" t="str">
        <f t="shared" si="1503"/>
        <v/>
      </c>
      <c r="DC557" s="537" t="str">
        <f t="shared" si="1504"/>
        <v/>
      </c>
      <c r="DD557" s="641">
        <f t="shared" si="1587"/>
        <v>0</v>
      </c>
      <c r="DE557" s="95">
        <f t="shared" si="1588"/>
        <v>0</v>
      </c>
      <c r="DF557" s="95">
        <f t="shared" si="1589"/>
        <v>0</v>
      </c>
      <c r="DG557" s="95">
        <f t="shared" si="1590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293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1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17" t="str">
        <f t="shared" si="1641"/>
        <v/>
      </c>
      <c r="CF558" s="1317" t="str">
        <f t="shared" si="1641"/>
        <v/>
      </c>
      <c r="CG558" s="1317" t="str">
        <f t="shared" si="1641"/>
        <v/>
      </c>
      <c r="CH558" s="1318" t="str">
        <f t="shared" si="1641"/>
        <v/>
      </c>
      <c r="CI558" s="1318" t="str">
        <f t="shared" si="1641"/>
        <v/>
      </c>
      <c r="CJ558" s="1317" t="str">
        <f t="shared" si="1641"/>
        <v/>
      </c>
      <c r="CK558" s="1317" t="str">
        <f t="shared" si="1641"/>
        <v/>
      </c>
      <c r="CL558" s="1317" t="str">
        <f t="shared" si="1641"/>
        <v/>
      </c>
      <c r="CM558" s="1316" t="str">
        <f t="shared" si="1641"/>
        <v/>
      </c>
      <c r="CN558" s="538" t="str">
        <f t="shared" si="1489"/>
        <v/>
      </c>
      <c r="CO558" s="539" t="str">
        <f t="shared" si="1490"/>
        <v/>
      </c>
      <c r="CP558" s="539" t="str">
        <f t="shared" si="1491"/>
        <v/>
      </c>
      <c r="CQ558" s="539" t="str">
        <f t="shared" si="1492"/>
        <v/>
      </c>
      <c r="CR558" s="539" t="str">
        <f t="shared" si="1493"/>
        <v/>
      </c>
      <c r="CS558" s="539" t="str">
        <f t="shared" si="1494"/>
        <v/>
      </c>
      <c r="CT558" s="540" t="str">
        <f t="shared" si="1495"/>
        <v/>
      </c>
      <c r="CU558" s="540">
        <f t="shared" si="1496"/>
        <v>70</v>
      </c>
      <c r="CV558" s="540" t="str">
        <f t="shared" si="1497"/>
        <v/>
      </c>
      <c r="CW558" s="539" t="str">
        <f t="shared" si="1498"/>
        <v/>
      </c>
      <c r="CX558" s="539" t="str">
        <f t="shared" si="1499"/>
        <v/>
      </c>
      <c r="CY558" s="539" t="str">
        <f t="shared" si="1500"/>
        <v/>
      </c>
      <c r="CZ558" s="539" t="str">
        <f t="shared" si="1501"/>
        <v/>
      </c>
      <c r="DA558" s="539" t="str">
        <f t="shared" si="1502"/>
        <v/>
      </c>
      <c r="DB558" s="538" t="str">
        <f t="shared" si="1503"/>
        <v/>
      </c>
      <c r="DC558" s="537" t="str">
        <f t="shared" si="1504"/>
        <v/>
      </c>
      <c r="DD558" s="641">
        <f t="shared" si="1587"/>
        <v>0</v>
      </c>
      <c r="DE558" s="95">
        <f t="shared" si="1588"/>
        <v>3</v>
      </c>
      <c r="DF558" s="95">
        <f t="shared" si="1589"/>
        <v>0</v>
      </c>
      <c r="DG558" s="95">
        <f t="shared" si="1590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284</v>
      </c>
      <c r="B559" s="747">
        <f>200*$K$1</f>
        <v>837.36</v>
      </c>
      <c r="C559" s="747">
        <f t="shared" ref="C559:K559" si="1658">200*$K$1</f>
        <v>837.36</v>
      </c>
      <c r="D559" s="747">
        <f t="shared" si="1658"/>
        <v>837.36</v>
      </c>
      <c r="E559" s="747">
        <f t="shared" si="1658"/>
        <v>837.36</v>
      </c>
      <c r="F559" s="747">
        <f t="shared" si="1658"/>
        <v>837.36</v>
      </c>
      <c r="G559" s="747">
        <f t="shared" si="1658"/>
        <v>837.36</v>
      </c>
      <c r="H559" s="747">
        <f t="shared" si="1658"/>
        <v>837.36</v>
      </c>
      <c r="I559" s="747">
        <f t="shared" si="1658"/>
        <v>837.36</v>
      </c>
      <c r="J559" s="747">
        <f t="shared" si="1658"/>
        <v>837.36</v>
      </c>
      <c r="K559" s="747">
        <f t="shared" si="1658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9">200*$K$1</f>
        <v>837.36</v>
      </c>
      <c r="V559" s="747">
        <f t="shared" si="1659"/>
        <v>837.36</v>
      </c>
      <c r="W559" s="747">
        <f t="shared" si="1659"/>
        <v>837.36</v>
      </c>
      <c r="X559" s="747">
        <f t="shared" si="1659"/>
        <v>837.36</v>
      </c>
      <c r="Y559" s="747">
        <f t="shared" si="1659"/>
        <v>837.36</v>
      </c>
      <c r="Z559" s="747">
        <f t="shared" si="1659"/>
        <v>837.36</v>
      </c>
      <c r="AA559" s="747">
        <f t="shared" si="1659"/>
        <v>837.36</v>
      </c>
      <c r="AB559" s="747">
        <f t="shared" si="1659"/>
        <v>837.36</v>
      </c>
      <c r="AC559" s="747">
        <f t="shared" si="1659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60">200*$K$1</f>
        <v>837.36</v>
      </c>
      <c r="AN559" s="747">
        <f t="shared" si="1660"/>
        <v>837.36</v>
      </c>
      <c r="AO559" s="747">
        <f t="shared" si="1660"/>
        <v>837.36</v>
      </c>
      <c r="AP559" s="747">
        <f t="shared" si="1660"/>
        <v>837.36</v>
      </c>
      <c r="AQ559" s="747">
        <f t="shared" si="1660"/>
        <v>837.36</v>
      </c>
      <c r="AR559" s="747">
        <f t="shared" si="1660"/>
        <v>837.36</v>
      </c>
      <c r="AS559" s="747">
        <f t="shared" si="1660"/>
        <v>837.36</v>
      </c>
      <c r="AT559" s="747">
        <f t="shared" si="1660"/>
        <v>837.36</v>
      </c>
      <c r="AU559" s="747">
        <f t="shared" si="1660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61">200*$K$1</f>
        <v>837.36</v>
      </c>
      <c r="BF559" s="747">
        <f t="shared" si="1661"/>
        <v>837.36</v>
      </c>
      <c r="BG559" s="747">
        <f t="shared" si="1661"/>
        <v>837.36</v>
      </c>
      <c r="BH559" s="747">
        <f t="shared" si="1661"/>
        <v>837.36</v>
      </c>
      <c r="BI559" s="747">
        <f t="shared" si="1661"/>
        <v>837.36</v>
      </c>
      <c r="BJ559" s="747">
        <f t="shared" si="1661"/>
        <v>837.36</v>
      </c>
      <c r="BK559" s="747">
        <f t="shared" si="1661"/>
        <v>837.36</v>
      </c>
      <c r="BL559" s="747">
        <f t="shared" si="1661"/>
        <v>837.36</v>
      </c>
      <c r="BM559" s="747">
        <f t="shared" si="1661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61"/>
        <v>837.36</v>
      </c>
      <c r="BW559" s="747">
        <f t="shared" si="1661"/>
        <v>837.36</v>
      </c>
      <c r="BX559" s="747">
        <f t="shared" si="1661"/>
        <v>837.36</v>
      </c>
      <c r="BY559" s="747">
        <f t="shared" si="1661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1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17">
        <f t="shared" si="1641"/>
        <v>837.36</v>
      </c>
      <c r="CF559" s="1317">
        <f t="shared" si="1641"/>
        <v>837.36</v>
      </c>
      <c r="CG559" s="1317">
        <f t="shared" si="1641"/>
        <v>837.36</v>
      </c>
      <c r="CH559" s="1318">
        <f t="shared" si="1641"/>
        <v>837.36</v>
      </c>
      <c r="CI559" s="1318">
        <f t="shared" si="1641"/>
        <v>837.36</v>
      </c>
      <c r="CJ559" s="1317">
        <f t="shared" si="1641"/>
        <v>837.36</v>
      </c>
      <c r="CK559" s="1317">
        <f t="shared" si="1641"/>
        <v>837.36</v>
      </c>
      <c r="CL559" s="1317">
        <f t="shared" si="1641"/>
        <v>837.36</v>
      </c>
      <c r="CM559" s="1316">
        <f t="shared" si="1641"/>
        <v>837.36</v>
      </c>
      <c r="CN559" s="538" t="str">
        <f t="shared" ref="CN559:DB562" si="1662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2"/>
        <v/>
      </c>
      <c r="CP559" s="539" t="str">
        <f t="shared" si="1662"/>
        <v/>
      </c>
      <c r="CQ559" s="539">
        <f t="shared" si="1662"/>
        <v>837.36</v>
      </c>
      <c r="CR559" s="539">
        <f t="shared" si="1662"/>
        <v>837.36</v>
      </c>
      <c r="CS559" s="539">
        <f t="shared" si="1662"/>
        <v>837.36</v>
      </c>
      <c r="CT559" s="540">
        <f t="shared" si="1662"/>
        <v>837.36</v>
      </c>
      <c r="CU559" s="540">
        <f t="shared" si="1662"/>
        <v>837.36</v>
      </c>
      <c r="CV559" s="540">
        <f t="shared" si="1662"/>
        <v>837.36</v>
      </c>
      <c r="CW559" s="539">
        <f t="shared" si="1662"/>
        <v>837.36</v>
      </c>
      <c r="CX559" s="539">
        <f t="shared" si="1662"/>
        <v>837.36</v>
      </c>
      <c r="CY559" s="539">
        <f t="shared" si="1662"/>
        <v>837.36</v>
      </c>
      <c r="CZ559" s="539">
        <f t="shared" si="1662"/>
        <v>837.36</v>
      </c>
      <c r="DA559" s="539" t="str">
        <f t="shared" si="1662"/>
        <v/>
      </c>
      <c r="DB559" s="538" t="str">
        <f t="shared" si="1662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7"/>
        <v>10</v>
      </c>
      <c r="DE559" s="95">
        <f t="shared" si="1588"/>
        <v>10</v>
      </c>
      <c r="DF559" s="95">
        <f t="shared" si="1589"/>
        <v>10</v>
      </c>
      <c r="DG559" s="95">
        <f t="shared" si="1590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227</v>
      </c>
      <c r="B560" s="749" t="str">
        <f t="shared" ref="B560:K560" si="1663">IF(B558="","",B558*B559/B$46/365/$G$1)</f>
        <v/>
      </c>
      <c r="C560" s="749" t="str">
        <f t="shared" si="1663"/>
        <v/>
      </c>
      <c r="D560" s="749" t="str">
        <f t="shared" si="1663"/>
        <v/>
      </c>
      <c r="E560" s="749" t="str">
        <f t="shared" si="1663"/>
        <v/>
      </c>
      <c r="F560" s="749" t="str">
        <f t="shared" si="1663"/>
        <v/>
      </c>
      <c r="G560" s="749" t="str">
        <f t="shared" si="1663"/>
        <v/>
      </c>
      <c r="H560" s="749" t="str">
        <f t="shared" si="1663"/>
        <v/>
      </c>
      <c r="I560" s="749" t="str">
        <f t="shared" si="1663"/>
        <v/>
      </c>
      <c r="J560" s="749" t="str">
        <f t="shared" si="1663"/>
        <v/>
      </c>
      <c r="K560" s="749" t="str">
        <f t="shared" si="1663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4">IF(T558="","",T558*T559/T$46/365/$G$1)</f>
        <v/>
      </c>
      <c r="U560" s="749">
        <f t="shared" si="1664"/>
        <v>6.7036470378936122E-4</v>
      </c>
      <c r="V560" s="749" t="str">
        <f t="shared" si="1664"/>
        <v/>
      </c>
      <c r="W560" s="749" t="str">
        <f t="shared" si="1664"/>
        <v/>
      </c>
      <c r="X560" s="749" t="str">
        <f t="shared" si="1664"/>
        <v/>
      </c>
      <c r="Y560" s="749">
        <f t="shared" si="1664"/>
        <v>3.1283686176836862E-4</v>
      </c>
      <c r="Z560" s="749" t="str">
        <f t="shared" si="1664"/>
        <v/>
      </c>
      <c r="AA560" s="749">
        <f t="shared" si="1664"/>
        <v>6.2567372353673724E-4</v>
      </c>
      <c r="AB560" s="749" t="str">
        <f t="shared" si="1664"/>
        <v/>
      </c>
      <c r="AC560" s="749" t="str">
        <f t="shared" si="1664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5">IF(AL558="","",AL558*AL559/AL$46/365/$G$1)</f>
        <v/>
      </c>
      <c r="AM560" s="749" t="str">
        <f t="shared" si="1665"/>
        <v/>
      </c>
      <c r="AN560" s="749" t="str">
        <f t="shared" si="1665"/>
        <v/>
      </c>
      <c r="AO560" s="749" t="str">
        <f t="shared" si="1665"/>
        <v/>
      </c>
      <c r="AP560" s="749" t="str">
        <f t="shared" si="1665"/>
        <v/>
      </c>
      <c r="AQ560" s="749" t="str">
        <f t="shared" si="1665"/>
        <v/>
      </c>
      <c r="AR560" s="749" t="str">
        <f t="shared" si="1665"/>
        <v/>
      </c>
      <c r="AS560" s="749" t="str">
        <f t="shared" si="1665"/>
        <v/>
      </c>
      <c r="AT560" s="749" t="str">
        <f t="shared" si="1665"/>
        <v/>
      </c>
      <c r="AU560" s="749" t="str">
        <f t="shared" si="1665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6">IF(BD558="","",BD558*BD559/BD$46/365/$G$1)</f>
        <v/>
      </c>
      <c r="BE560" s="749" t="str">
        <f t="shared" si="1666"/>
        <v/>
      </c>
      <c r="BF560" s="749" t="str">
        <f t="shared" si="1666"/>
        <v/>
      </c>
      <c r="BG560" s="749" t="str">
        <f t="shared" si="1666"/>
        <v/>
      </c>
      <c r="BH560" s="749">
        <f t="shared" si="1666"/>
        <v>1.6589833578625609E-3</v>
      </c>
      <c r="BI560" s="749" t="str">
        <f t="shared" si="1666"/>
        <v/>
      </c>
      <c r="BJ560" s="749" t="str">
        <f t="shared" si="1666"/>
        <v/>
      </c>
      <c r="BK560" s="749" t="str">
        <f t="shared" si="1666"/>
        <v/>
      </c>
      <c r="BL560" s="749" t="str">
        <f t="shared" si="1666"/>
        <v/>
      </c>
      <c r="BM560" s="749" t="str">
        <f t="shared" si="1666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1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0" t="str">
        <f t="shared" ref="CE560:CM560" si="16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0" t="str">
        <f t="shared" si="1667"/>
        <v/>
      </c>
      <c r="CG560" s="1320" t="str">
        <f t="shared" si="1667"/>
        <v/>
      </c>
      <c r="CH560" s="1321" t="str">
        <f t="shared" si="1667"/>
        <v/>
      </c>
      <c r="CI560" s="1321" t="str">
        <f t="shared" si="1667"/>
        <v/>
      </c>
      <c r="CJ560" s="1320" t="str">
        <f t="shared" si="1667"/>
        <v/>
      </c>
      <c r="CK560" s="1320" t="str">
        <f t="shared" si="1667"/>
        <v/>
      </c>
      <c r="CL560" s="1320" t="str">
        <f t="shared" si="1667"/>
        <v/>
      </c>
      <c r="CM560" s="1319" t="str">
        <f t="shared" si="1667"/>
        <v/>
      </c>
      <c r="CN560" s="526" t="str">
        <f t="shared" si="1662"/>
        <v/>
      </c>
      <c r="CO560" s="527" t="str">
        <f t="shared" si="1662"/>
        <v/>
      </c>
      <c r="CP560" s="527" t="str">
        <f t="shared" si="1662"/>
        <v/>
      </c>
      <c r="CQ560" s="527" t="str">
        <f t="shared" si="1662"/>
        <v/>
      </c>
      <c r="CR560" s="527" t="str">
        <f t="shared" si="1662"/>
        <v/>
      </c>
      <c r="CS560" s="527" t="str">
        <f t="shared" si="1662"/>
        <v/>
      </c>
      <c r="CT560" s="528" t="str">
        <f t="shared" si="1662"/>
        <v/>
      </c>
      <c r="CU560" s="528">
        <f t="shared" si="1662"/>
        <v>1.6589833578625609E-3</v>
      </c>
      <c r="CV560" s="528" t="str">
        <f t="shared" si="1662"/>
        <v/>
      </c>
      <c r="CW560" s="527" t="str">
        <f t="shared" si="1662"/>
        <v/>
      </c>
      <c r="CX560" s="527" t="str">
        <f t="shared" si="1662"/>
        <v/>
      </c>
      <c r="CY560" s="527" t="str">
        <f t="shared" si="1662"/>
        <v/>
      </c>
      <c r="CZ560" s="527" t="str">
        <f t="shared" si="1662"/>
        <v/>
      </c>
      <c r="DA560" s="527" t="str">
        <f t="shared" si="1662"/>
        <v/>
      </c>
      <c r="DB560" s="526" t="str">
        <f t="shared" si="1662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7"/>
        <v>0</v>
      </c>
      <c r="DE560" s="95">
        <f t="shared" si="1588"/>
        <v>3</v>
      </c>
      <c r="DF560" s="95">
        <f t="shared" si="1589"/>
        <v>0</v>
      </c>
      <c r="DG560" s="95">
        <f t="shared" si="1590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1" t="s">
        <v>288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1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7" t="str">
        <f t="shared" si="1641"/>
        <v/>
      </c>
      <c r="CF561" s="1317" t="str">
        <f t="shared" si="1641"/>
        <v/>
      </c>
      <c r="CG561" s="1317" t="str">
        <f t="shared" si="1641"/>
        <v/>
      </c>
      <c r="CH561" s="1318" t="str">
        <f t="shared" si="1641"/>
        <v/>
      </c>
      <c r="CI561" s="1318" t="str">
        <f t="shared" si="1641"/>
        <v/>
      </c>
      <c r="CJ561" s="1317" t="str">
        <f t="shared" si="1641"/>
        <v/>
      </c>
      <c r="CK561" s="1317" t="str">
        <f t="shared" si="1641"/>
        <v/>
      </c>
      <c r="CL561" s="1317" t="str">
        <f t="shared" si="1641"/>
        <v/>
      </c>
      <c r="CM561" s="1316" t="str">
        <f t="shared" si="1641"/>
        <v/>
      </c>
      <c r="CN561" s="538" t="str">
        <f t="shared" si="1662"/>
        <v/>
      </c>
      <c r="CO561" s="539" t="str">
        <f t="shared" si="1662"/>
        <v/>
      </c>
      <c r="CP561" s="539" t="str">
        <f t="shared" si="1662"/>
        <v/>
      </c>
      <c r="CQ561" s="539" t="str">
        <f t="shared" si="1662"/>
        <v/>
      </c>
      <c r="CR561" s="539" t="str">
        <f t="shared" si="1662"/>
        <v/>
      </c>
      <c r="CS561" s="539" t="str">
        <f t="shared" si="1662"/>
        <v/>
      </c>
      <c r="CT561" s="540" t="str">
        <f t="shared" si="1662"/>
        <v/>
      </c>
      <c r="CU561" s="540">
        <f t="shared" si="1662"/>
        <v>3.5</v>
      </c>
      <c r="CV561" s="540" t="str">
        <f t="shared" si="1662"/>
        <v/>
      </c>
      <c r="CW561" s="539" t="str">
        <f t="shared" si="1662"/>
        <v/>
      </c>
      <c r="CX561" s="539" t="str">
        <f t="shared" si="1662"/>
        <v/>
      </c>
      <c r="CY561" s="539" t="str">
        <f t="shared" si="1662"/>
        <v/>
      </c>
      <c r="CZ561" s="539" t="str">
        <f t="shared" si="1662"/>
        <v/>
      </c>
      <c r="DA561" s="539" t="str">
        <f t="shared" si="1662"/>
        <v/>
      </c>
      <c r="DB561" s="538" t="str">
        <f t="shared" si="1662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7"/>
        <v>0</v>
      </c>
      <c r="DE561" s="95">
        <f t="shared" si="1588"/>
        <v>1</v>
      </c>
      <c r="DF561" s="95">
        <f t="shared" si="1589"/>
        <v>0</v>
      </c>
      <c r="DG561" s="95">
        <f t="shared" si="1590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286</v>
      </c>
      <c r="B562" s="746" t="str">
        <f t="shared" ref="B562:K562" si="1668">IF(B561="","",B558*B561)</f>
        <v/>
      </c>
      <c r="C562" s="746" t="str">
        <f t="shared" si="1668"/>
        <v/>
      </c>
      <c r="D562" s="746" t="str">
        <f t="shared" si="1668"/>
        <v/>
      </c>
      <c r="E562" s="746" t="str">
        <f t="shared" si="1668"/>
        <v/>
      </c>
      <c r="F562" s="746" t="str">
        <f t="shared" si="1668"/>
        <v/>
      </c>
      <c r="G562" s="746" t="str">
        <f t="shared" si="1668"/>
        <v/>
      </c>
      <c r="H562" s="746" t="str">
        <f t="shared" si="1668"/>
        <v/>
      </c>
      <c r="I562" s="746" t="str">
        <f t="shared" si="1668"/>
        <v/>
      </c>
      <c r="J562" s="746" t="str">
        <f t="shared" si="1668"/>
        <v/>
      </c>
      <c r="K562" s="746" t="str">
        <f t="shared" si="1668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9">IF(T561="","",T558*T561)</f>
        <v/>
      </c>
      <c r="U562" s="746" t="str">
        <f t="shared" si="1669"/>
        <v/>
      </c>
      <c r="V562" s="746" t="str">
        <f t="shared" si="1669"/>
        <v/>
      </c>
      <c r="W562" s="746" t="str">
        <f t="shared" si="1669"/>
        <v/>
      </c>
      <c r="X562" s="746" t="str">
        <f t="shared" si="1669"/>
        <v/>
      </c>
      <c r="Y562" s="746">
        <f t="shared" si="1669"/>
        <v>120</v>
      </c>
      <c r="Z562" s="746" t="str">
        <f t="shared" si="1669"/>
        <v/>
      </c>
      <c r="AA562" s="746" t="str">
        <f t="shared" si="1669"/>
        <v/>
      </c>
      <c r="AB562" s="746" t="str">
        <f t="shared" si="1669"/>
        <v/>
      </c>
      <c r="AC562" s="746" t="str">
        <f t="shared" si="1669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70">IF(AL561="","",AL558*AL561)</f>
        <v/>
      </c>
      <c r="AM562" s="746" t="str">
        <f t="shared" si="1670"/>
        <v/>
      </c>
      <c r="AN562" s="746" t="str">
        <f t="shared" si="1670"/>
        <v/>
      </c>
      <c r="AO562" s="746" t="str">
        <f t="shared" si="1670"/>
        <v/>
      </c>
      <c r="AP562" s="746" t="str">
        <f t="shared" si="1670"/>
        <v/>
      </c>
      <c r="AQ562" s="746" t="str">
        <f t="shared" si="1670"/>
        <v/>
      </c>
      <c r="AR562" s="746" t="str">
        <f t="shared" si="1670"/>
        <v/>
      </c>
      <c r="AS562" s="746" t="str">
        <f t="shared" si="1670"/>
        <v/>
      </c>
      <c r="AT562" s="746" t="str">
        <f t="shared" si="1670"/>
        <v/>
      </c>
      <c r="AU562" s="746" t="str">
        <f t="shared" si="1670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71">IF(BD561="","",BD558*BD561)</f>
        <v/>
      </c>
      <c r="BE562" s="746" t="str">
        <f t="shared" si="1671"/>
        <v/>
      </c>
      <c r="BF562" s="746" t="str">
        <f t="shared" si="1671"/>
        <v/>
      </c>
      <c r="BG562" s="746" t="str">
        <f t="shared" si="1671"/>
        <v/>
      </c>
      <c r="BH562" s="746">
        <f t="shared" si="1671"/>
        <v>245</v>
      </c>
      <c r="BI562" s="746" t="str">
        <f t="shared" si="1671"/>
        <v/>
      </c>
      <c r="BJ562" s="746" t="str">
        <f t="shared" si="1671"/>
        <v/>
      </c>
      <c r="BK562" s="746" t="str">
        <f t="shared" si="1671"/>
        <v/>
      </c>
      <c r="BL562" s="746" t="str">
        <f t="shared" si="1671"/>
        <v/>
      </c>
      <c r="BM562" s="746" t="str">
        <f t="shared" si="1671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1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17" t="str">
        <f t="shared" si="1641"/>
        <v/>
      </c>
      <c r="CF562" s="1317" t="str">
        <f t="shared" si="1641"/>
        <v/>
      </c>
      <c r="CG562" s="1317" t="str">
        <f t="shared" si="1641"/>
        <v/>
      </c>
      <c r="CH562" s="1318" t="str">
        <f t="shared" si="1641"/>
        <v/>
      </c>
      <c r="CI562" s="1318" t="str">
        <f t="shared" si="1641"/>
        <v/>
      </c>
      <c r="CJ562" s="1317" t="str">
        <f t="shared" si="1641"/>
        <v/>
      </c>
      <c r="CK562" s="1317" t="str">
        <f t="shared" si="1641"/>
        <v/>
      </c>
      <c r="CL562" s="1317" t="str">
        <f t="shared" si="1641"/>
        <v/>
      </c>
      <c r="CM562" s="1316" t="str">
        <f t="shared" si="1641"/>
        <v/>
      </c>
      <c r="CN562" s="538" t="str">
        <f t="shared" si="1662"/>
        <v/>
      </c>
      <c r="CO562" s="539" t="str">
        <f t="shared" si="1662"/>
        <v/>
      </c>
      <c r="CP562" s="539" t="str">
        <f t="shared" si="1662"/>
        <v/>
      </c>
      <c r="CQ562" s="539" t="str">
        <f t="shared" si="1662"/>
        <v/>
      </c>
      <c r="CR562" s="539" t="str">
        <f t="shared" si="1662"/>
        <v/>
      </c>
      <c r="CS562" s="539" t="str">
        <f t="shared" si="1662"/>
        <v/>
      </c>
      <c r="CT562" s="540" t="str">
        <f t="shared" si="1662"/>
        <v/>
      </c>
      <c r="CU562" s="540">
        <f t="shared" si="1662"/>
        <v>245</v>
      </c>
      <c r="CV562" s="540" t="str">
        <f t="shared" si="1662"/>
        <v/>
      </c>
      <c r="CW562" s="539" t="str">
        <f t="shared" si="1662"/>
        <v/>
      </c>
      <c r="CX562" s="539" t="str">
        <f t="shared" si="1662"/>
        <v/>
      </c>
      <c r="CY562" s="539" t="str">
        <f t="shared" si="1662"/>
        <v/>
      </c>
      <c r="CZ562" s="539" t="str">
        <f t="shared" si="1662"/>
        <v/>
      </c>
      <c r="DA562" s="539" t="str">
        <f t="shared" si="1662"/>
        <v/>
      </c>
      <c r="DB562" s="538" t="str">
        <f t="shared" si="1662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7"/>
        <v>0</v>
      </c>
      <c r="DE562" s="95">
        <f t="shared" si="1588"/>
        <v>1</v>
      </c>
      <c r="DF562" s="95">
        <f t="shared" si="1589"/>
        <v>0</v>
      </c>
      <c r="DG562" s="95">
        <f t="shared" si="1590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394" t="s">
        <v>729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293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2"/>
        <v>0</v>
      </c>
      <c r="CF564" s="80">
        <f t="shared" si="1672"/>
        <v>120</v>
      </c>
      <c r="CG564" s="80">
        <f t="shared" si="1672"/>
        <v>120</v>
      </c>
      <c r="CH564" s="145">
        <f t="shared" si="1672"/>
        <v>120</v>
      </c>
      <c r="CI564" s="145">
        <f t="shared" si="1672"/>
        <v>120</v>
      </c>
      <c r="CJ564" s="80">
        <f t="shared" si="1672"/>
        <v>120</v>
      </c>
      <c r="CK564" s="80">
        <f t="shared" si="1672"/>
        <v>120</v>
      </c>
      <c r="CL564" s="80" t="str">
        <f t="shared" si="1672"/>
        <v/>
      </c>
      <c r="CM564" s="79" t="str">
        <f t="shared" si="1672"/>
        <v/>
      </c>
      <c r="CN564" s="538" t="str">
        <f t="shared" ref="CN564:DB572" si="167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3"/>
        <v/>
      </c>
      <c r="CP564" s="539" t="str">
        <f t="shared" si="1673"/>
        <v/>
      </c>
      <c r="CQ564" s="539" t="str">
        <f t="shared" si="1673"/>
        <v/>
      </c>
      <c r="CR564" s="539">
        <f t="shared" si="1673"/>
        <v>0</v>
      </c>
      <c r="CS564" s="539">
        <f t="shared" si="1673"/>
        <v>15</v>
      </c>
      <c r="CT564" s="540">
        <f t="shared" si="1673"/>
        <v>20</v>
      </c>
      <c r="CU564" s="540">
        <f t="shared" si="1673"/>
        <v>60</v>
      </c>
      <c r="CV564" s="540">
        <f t="shared" si="1673"/>
        <v>84</v>
      </c>
      <c r="CW564" s="539">
        <f t="shared" si="1673"/>
        <v>100</v>
      </c>
      <c r="CX564" s="539">
        <f t="shared" si="1673"/>
        <v>120</v>
      </c>
      <c r="CY564" s="539">
        <f t="shared" si="1673"/>
        <v>120</v>
      </c>
      <c r="CZ564" s="539" t="str">
        <f t="shared" si="1673"/>
        <v/>
      </c>
      <c r="DA564" s="539" t="str">
        <f t="shared" si="1673"/>
        <v/>
      </c>
      <c r="DB564" s="538" t="str">
        <f t="shared" si="1673"/>
        <v/>
      </c>
      <c r="DC564" s="537" t="str">
        <f t="shared" ref="DC564:DC572" si="1674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5">COUNT(B564:R564)</f>
        <v>4</v>
      </c>
      <c r="DE564" s="830">
        <f t="shared" ref="DE564:DE581" si="1676">COUNT(T564:AJ564)</f>
        <v>4</v>
      </c>
      <c r="DF564" s="830">
        <f t="shared" ref="DF564:DF581" si="1677">COUNT(AL564:BB564)</f>
        <v>7</v>
      </c>
      <c r="DG564" s="830">
        <f t="shared" ref="DG564:DG581" si="1678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284</v>
      </c>
      <c r="B565" s="747">
        <f>480*$K$1</f>
        <v>2009.664</v>
      </c>
      <c r="C565" s="747">
        <f t="shared" ref="C565:K565" si="1679">480*$K$1</f>
        <v>2009.664</v>
      </c>
      <c r="D565" s="747">
        <f t="shared" si="1679"/>
        <v>2009.664</v>
      </c>
      <c r="E565" s="747">
        <f t="shared" si="1679"/>
        <v>2009.664</v>
      </c>
      <c r="F565" s="747">
        <f t="shared" si="1679"/>
        <v>2009.664</v>
      </c>
      <c r="G565" s="747">
        <f t="shared" si="1679"/>
        <v>2009.664</v>
      </c>
      <c r="H565" s="747">
        <f t="shared" si="1679"/>
        <v>2009.664</v>
      </c>
      <c r="I565" s="747">
        <f t="shared" si="1679"/>
        <v>2009.664</v>
      </c>
      <c r="J565" s="747">
        <f t="shared" si="1679"/>
        <v>2009.664</v>
      </c>
      <c r="K565" s="747">
        <f t="shared" si="1679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80">480*$K$1</f>
        <v>2009.664</v>
      </c>
      <c r="V565" s="747">
        <f t="shared" si="1680"/>
        <v>2009.664</v>
      </c>
      <c r="W565" s="747">
        <f t="shared" si="1680"/>
        <v>2009.664</v>
      </c>
      <c r="X565" s="747">
        <f t="shared" si="1680"/>
        <v>2009.664</v>
      </c>
      <c r="Y565" s="747">
        <f t="shared" si="1680"/>
        <v>2009.664</v>
      </c>
      <c r="Z565" s="747">
        <f t="shared" si="1680"/>
        <v>2009.664</v>
      </c>
      <c r="AA565" s="747">
        <f t="shared" si="1680"/>
        <v>2009.664</v>
      </c>
      <c r="AB565" s="747">
        <f t="shared" si="1680"/>
        <v>2009.664</v>
      </c>
      <c r="AC565" s="747">
        <f t="shared" si="1680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81">480*$K$1</f>
        <v>2009.664</v>
      </c>
      <c r="AN565" s="747">
        <f t="shared" si="1681"/>
        <v>2009.664</v>
      </c>
      <c r="AO565" s="747">
        <f t="shared" si="1681"/>
        <v>2009.664</v>
      </c>
      <c r="AP565" s="747">
        <f t="shared" si="1681"/>
        <v>2009.664</v>
      </c>
      <c r="AQ565" s="747">
        <f t="shared" si="1681"/>
        <v>2009.664</v>
      </c>
      <c r="AR565" s="747">
        <f t="shared" si="1681"/>
        <v>2009.664</v>
      </c>
      <c r="AS565" s="747">
        <f t="shared" si="1681"/>
        <v>2009.664</v>
      </c>
      <c r="AT565" s="747">
        <f t="shared" si="1681"/>
        <v>2009.664</v>
      </c>
      <c r="AU565" s="747">
        <f t="shared" si="1681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2">480*$K$1</f>
        <v>2009.664</v>
      </c>
      <c r="BF565" s="747">
        <f t="shared" si="1682"/>
        <v>2009.664</v>
      </c>
      <c r="BG565" s="747">
        <f t="shared" si="1682"/>
        <v>2009.664</v>
      </c>
      <c r="BH565" s="747">
        <f t="shared" si="1682"/>
        <v>2009.664</v>
      </c>
      <c r="BI565" s="747">
        <f t="shared" si="1682"/>
        <v>2009.664</v>
      </c>
      <c r="BJ565" s="747">
        <f t="shared" si="1682"/>
        <v>2009.664</v>
      </c>
      <c r="BK565" s="747">
        <f t="shared" si="1682"/>
        <v>2009.664</v>
      </c>
      <c r="BL565" s="747">
        <f t="shared" si="1682"/>
        <v>2009.664</v>
      </c>
      <c r="BM565" s="747">
        <f t="shared" si="1682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2"/>
        <v>2009.664</v>
      </c>
      <c r="BW565" s="747">
        <f t="shared" si="1682"/>
        <v>2009.664</v>
      </c>
      <c r="BX565" s="747">
        <f t="shared" si="1682"/>
        <v>2009.664</v>
      </c>
      <c r="BY565" s="747">
        <f t="shared" si="1682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2"/>
        <v>2009.664</v>
      </c>
      <c r="CE565" s="80">
        <f t="shared" si="1672"/>
        <v>2009.664</v>
      </c>
      <c r="CF565" s="80">
        <f t="shared" si="1672"/>
        <v>2009.664</v>
      </c>
      <c r="CG565" s="80">
        <f t="shared" si="1672"/>
        <v>2009.664</v>
      </c>
      <c r="CH565" s="145">
        <f t="shared" si="1672"/>
        <v>2009.664</v>
      </c>
      <c r="CI565" s="145">
        <f t="shared" si="1672"/>
        <v>2009.664</v>
      </c>
      <c r="CJ565" s="80">
        <f t="shared" si="1672"/>
        <v>2009.664</v>
      </c>
      <c r="CK565" s="80">
        <f t="shared" si="1672"/>
        <v>2009.664</v>
      </c>
      <c r="CL565" s="80">
        <f t="shared" si="1672"/>
        <v>2009.664</v>
      </c>
      <c r="CM565" s="79">
        <f t="shared" si="1672"/>
        <v>2009.664</v>
      </c>
      <c r="CN565" s="538" t="str">
        <f t="shared" si="1673"/>
        <v/>
      </c>
      <c r="CO565" s="539" t="str">
        <f t="shared" si="1673"/>
        <v/>
      </c>
      <c r="CP565" s="539" t="str">
        <f t="shared" si="1673"/>
        <v/>
      </c>
      <c r="CQ565" s="539">
        <f t="shared" si="1673"/>
        <v>2009.664</v>
      </c>
      <c r="CR565" s="539">
        <f t="shared" si="1673"/>
        <v>2009.664</v>
      </c>
      <c r="CS565" s="539">
        <f t="shared" si="1673"/>
        <v>2009.664</v>
      </c>
      <c r="CT565" s="540">
        <f t="shared" si="1673"/>
        <v>2009.664</v>
      </c>
      <c r="CU565" s="540">
        <f t="shared" si="1673"/>
        <v>2009.664</v>
      </c>
      <c r="CV565" s="540">
        <f t="shared" si="1673"/>
        <v>2009.664</v>
      </c>
      <c r="CW565" s="539">
        <f t="shared" si="1673"/>
        <v>2009.664</v>
      </c>
      <c r="CX565" s="539">
        <f t="shared" si="1673"/>
        <v>2009.664</v>
      </c>
      <c r="CY565" s="539">
        <f t="shared" si="1673"/>
        <v>2009.664</v>
      </c>
      <c r="CZ565" s="539">
        <f t="shared" si="1673"/>
        <v>2009.664</v>
      </c>
      <c r="DA565" s="539" t="str">
        <f t="shared" si="1673"/>
        <v/>
      </c>
      <c r="DB565" s="538" t="str">
        <f t="shared" si="1673"/>
        <v/>
      </c>
      <c r="DC565" s="537" t="str">
        <f t="shared" si="1674"/>
        <v/>
      </c>
      <c r="DD565" s="875">
        <f t="shared" si="1675"/>
        <v>10</v>
      </c>
      <c r="DE565" s="830">
        <f t="shared" si="1676"/>
        <v>10</v>
      </c>
      <c r="DF565" s="830">
        <f t="shared" si="1677"/>
        <v>10</v>
      </c>
      <c r="DG565" s="830">
        <f t="shared" si="1678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227</v>
      </c>
      <c r="B566" s="749">
        <f t="shared" ref="B566:K566" si="1683">IF(B564="","",B564*B565/B$46/365/$G$1)</f>
        <v>7.5080846824408468E-3</v>
      </c>
      <c r="C566" s="749" t="str">
        <f t="shared" si="1683"/>
        <v/>
      </c>
      <c r="D566" s="749">
        <f t="shared" si="1683"/>
        <v>9.3851058530510581E-3</v>
      </c>
      <c r="E566" s="749" t="str">
        <f t="shared" si="1683"/>
        <v/>
      </c>
      <c r="F566" s="749" t="str">
        <f t="shared" si="1683"/>
        <v/>
      </c>
      <c r="G566" s="749" t="str">
        <f t="shared" si="1683"/>
        <v/>
      </c>
      <c r="H566" s="749">
        <f t="shared" si="1683"/>
        <v>8.3423163138231626E-3</v>
      </c>
      <c r="I566" s="749">
        <f t="shared" si="1683"/>
        <v>1.5016169364881697E-3</v>
      </c>
      <c r="J566" s="749" t="str">
        <f t="shared" si="1683"/>
        <v/>
      </c>
      <c r="K566" s="749" t="str">
        <f t="shared" si="1683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4">IF(T564="","",T564*T565/T$46/365/$G$1)</f>
        <v/>
      </c>
      <c r="U566" s="749">
        <f t="shared" si="1684"/>
        <v>8.0443764454723368E-3</v>
      </c>
      <c r="V566" s="749" t="str">
        <f t="shared" si="1684"/>
        <v/>
      </c>
      <c r="W566" s="749" t="str">
        <f t="shared" si="1684"/>
        <v/>
      </c>
      <c r="X566" s="749" t="str">
        <f t="shared" si="1684"/>
        <v/>
      </c>
      <c r="Y566" s="749">
        <f t="shared" si="1684"/>
        <v>3.7540423412204234E-3</v>
      </c>
      <c r="Z566" s="749" t="str">
        <f t="shared" si="1684"/>
        <v/>
      </c>
      <c r="AA566" s="749">
        <f t="shared" si="1684"/>
        <v>3.7540423412204234E-3</v>
      </c>
      <c r="AB566" s="749">
        <f t="shared" si="1684"/>
        <v>4.6925529265255291E-3</v>
      </c>
      <c r="AC566" s="749" t="str">
        <f t="shared" si="1684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5">IF(AL564="","",AL564*AL565/AL$46/365/$G$1)</f>
        <v>0</v>
      </c>
      <c r="AM566" s="749" t="str">
        <f t="shared" si="1685"/>
        <v/>
      </c>
      <c r="AN566" s="749">
        <f t="shared" si="1685"/>
        <v>1.5016169364881694E-2</v>
      </c>
      <c r="AO566" s="749">
        <f t="shared" si="1685"/>
        <v>7.5080846824408468E-3</v>
      </c>
      <c r="AP566" s="749">
        <f t="shared" si="1685"/>
        <v>7.5080846824408468E-3</v>
      </c>
      <c r="AQ566" s="749">
        <f t="shared" si="1685"/>
        <v>1.5016169364881694E-2</v>
      </c>
      <c r="AR566" s="749" t="str">
        <f t="shared" si="1685"/>
        <v/>
      </c>
      <c r="AS566" s="749">
        <f t="shared" si="1685"/>
        <v>7.5080846824408468E-3</v>
      </c>
      <c r="AT566" s="749">
        <f t="shared" si="1685"/>
        <v>1.5016169364881694E-2</v>
      </c>
      <c r="AU566" s="749" t="str">
        <f t="shared" si="1685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6">IF(BD564="","",BD564*BD565/BD$46/365/$G$1)</f>
        <v/>
      </c>
      <c r="BE566" s="749">
        <f t="shared" si="1686"/>
        <v>1.1731382316313823E-3</v>
      </c>
      <c r="BF566" s="749">
        <f t="shared" si="1686"/>
        <v>1.0427895392278953E-3</v>
      </c>
      <c r="BG566" s="749">
        <f t="shared" si="1686"/>
        <v>5.3629176303148897E-3</v>
      </c>
      <c r="BH566" s="749">
        <f t="shared" si="1686"/>
        <v>5.6879429412430658E-3</v>
      </c>
      <c r="BI566" s="749" t="str">
        <f t="shared" si="1686"/>
        <v/>
      </c>
      <c r="BJ566" s="749">
        <f t="shared" si="1686"/>
        <v>9.3851058530510581E-3</v>
      </c>
      <c r="BK566" s="749">
        <f t="shared" si="1686"/>
        <v>7.5080846824408468E-3</v>
      </c>
      <c r="BL566" s="749">
        <f t="shared" si="1686"/>
        <v>0</v>
      </c>
      <c r="BM566" s="749">
        <f t="shared" si="1686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19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0">
        <f t="shared" si="1672"/>
        <v>0</v>
      </c>
      <c r="CF566" s="1320">
        <f t="shared" si="1672"/>
        <v>7.5080846824408468E-3</v>
      </c>
      <c r="CG566" s="1320">
        <f t="shared" si="1672"/>
        <v>7.5080846824408468E-3</v>
      </c>
      <c r="CH566" s="1321">
        <f t="shared" si="1672"/>
        <v>7.5080846824408468E-3</v>
      </c>
      <c r="CI566" s="1321">
        <f t="shared" si="1672"/>
        <v>1.5016169364881694E-2</v>
      </c>
      <c r="CJ566" s="1320">
        <f t="shared" si="1672"/>
        <v>1.5016169364881694E-2</v>
      </c>
      <c r="CK566" s="1320">
        <f t="shared" si="1672"/>
        <v>1.5016169364881694E-2</v>
      </c>
      <c r="CL566" s="1320" t="str">
        <f t="shared" si="1672"/>
        <v/>
      </c>
      <c r="CM566" s="1319" t="str">
        <f t="shared" si="1672"/>
        <v/>
      </c>
      <c r="CN566" s="526" t="str">
        <f t="shared" si="1673"/>
        <v/>
      </c>
      <c r="CO566" s="527" t="str">
        <f t="shared" si="1673"/>
        <v/>
      </c>
      <c r="CP566" s="527" t="str">
        <f t="shared" si="1673"/>
        <v/>
      </c>
      <c r="CQ566" s="527" t="str">
        <f t="shared" si="1673"/>
        <v/>
      </c>
      <c r="CR566" s="527">
        <f t="shared" si="1673"/>
        <v>0</v>
      </c>
      <c r="CS566" s="527">
        <f t="shared" si="1673"/>
        <v>1.0427895392278953E-3</v>
      </c>
      <c r="CT566" s="528">
        <f t="shared" si="1673"/>
        <v>1.1731382316313823E-3</v>
      </c>
      <c r="CU566" s="528">
        <f t="shared" si="1673"/>
        <v>5.3629176303148897E-3</v>
      </c>
      <c r="CV566" s="528">
        <f t="shared" si="1673"/>
        <v>5.6879429412430658E-3</v>
      </c>
      <c r="CW566" s="527">
        <f t="shared" si="1673"/>
        <v>7.5080846824408468E-3</v>
      </c>
      <c r="CX566" s="527">
        <f t="shared" si="1673"/>
        <v>9.3851058530510581E-3</v>
      </c>
      <c r="CY566" s="527">
        <f t="shared" si="1673"/>
        <v>1.0725835260629779E-2</v>
      </c>
      <c r="CZ566" s="527" t="str">
        <f t="shared" si="1673"/>
        <v/>
      </c>
      <c r="DA566" s="527" t="str">
        <f t="shared" si="1673"/>
        <v/>
      </c>
      <c r="DB566" s="526" t="str">
        <f t="shared" si="1673"/>
        <v/>
      </c>
      <c r="DC566" s="525" t="str">
        <f t="shared" si="1674"/>
        <v/>
      </c>
      <c r="DD566" s="641">
        <f t="shared" si="1675"/>
        <v>4</v>
      </c>
      <c r="DE566" s="95">
        <f t="shared" si="1676"/>
        <v>4</v>
      </c>
      <c r="DF566" s="95">
        <f t="shared" si="1677"/>
        <v>7</v>
      </c>
      <c r="DG566" s="95">
        <f t="shared" si="1678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1" t="s">
        <v>288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2"/>
        <v/>
      </c>
      <c r="CE567" s="80" t="str">
        <f t="shared" si="1672"/>
        <v/>
      </c>
      <c r="CF567" s="80">
        <f t="shared" si="1672"/>
        <v>2.5</v>
      </c>
      <c r="CG567" s="80">
        <f t="shared" si="1672"/>
        <v>2.5</v>
      </c>
      <c r="CH567" s="145">
        <f t="shared" si="1672"/>
        <v>3</v>
      </c>
      <c r="CI567" s="145">
        <f t="shared" si="1672"/>
        <v>3.5</v>
      </c>
      <c r="CJ567" s="80">
        <f t="shared" si="1672"/>
        <v>4</v>
      </c>
      <c r="CK567" s="80">
        <f t="shared" si="1672"/>
        <v>5</v>
      </c>
      <c r="CL567" s="80" t="str">
        <f t="shared" si="1672"/>
        <v/>
      </c>
      <c r="CM567" s="79" t="str">
        <f t="shared" si="1672"/>
        <v/>
      </c>
      <c r="CN567" s="538" t="str">
        <f t="shared" si="1673"/>
        <v/>
      </c>
      <c r="CO567" s="539" t="str">
        <f t="shared" si="1673"/>
        <v/>
      </c>
      <c r="CP567" s="539" t="str">
        <f t="shared" si="1673"/>
        <v/>
      </c>
      <c r="CQ567" s="539" t="str">
        <f t="shared" si="1673"/>
        <v/>
      </c>
      <c r="CR567" s="539">
        <f t="shared" si="1673"/>
        <v>3</v>
      </c>
      <c r="CS567" s="539">
        <f t="shared" si="1673"/>
        <v>3</v>
      </c>
      <c r="CT567" s="540">
        <f t="shared" si="1673"/>
        <v>3.5</v>
      </c>
      <c r="CU567" s="540">
        <f t="shared" si="1673"/>
        <v>5</v>
      </c>
      <c r="CV567" s="540">
        <f t="shared" si="1673"/>
        <v>5</v>
      </c>
      <c r="CW567" s="539">
        <f t="shared" si="1673"/>
        <v>5</v>
      </c>
      <c r="CX567" s="539">
        <f t="shared" si="1673"/>
        <v>5</v>
      </c>
      <c r="CY567" s="539" t="str">
        <f t="shared" si="1673"/>
        <v/>
      </c>
      <c r="CZ567" s="539" t="str">
        <f t="shared" si="1673"/>
        <v/>
      </c>
      <c r="DA567" s="539" t="str">
        <f t="shared" si="1673"/>
        <v/>
      </c>
      <c r="DB567" s="538" t="str">
        <f t="shared" si="1673"/>
        <v/>
      </c>
      <c r="DC567" s="537" t="str">
        <f t="shared" si="1674"/>
        <v/>
      </c>
      <c r="DD567" s="875">
        <f t="shared" si="1675"/>
        <v>3</v>
      </c>
      <c r="DE567" s="830">
        <f t="shared" si="1676"/>
        <v>3</v>
      </c>
      <c r="DF567" s="830">
        <f t="shared" si="1677"/>
        <v>6</v>
      </c>
      <c r="DG567" s="830">
        <f t="shared" si="1678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286</v>
      </c>
      <c r="B568" s="746">
        <f t="shared" ref="B568:K568" si="1687">IF(B567="","",B564*B567)</f>
        <v>840</v>
      </c>
      <c r="C568" s="746" t="str">
        <f t="shared" si="1687"/>
        <v/>
      </c>
      <c r="D568" s="746">
        <f t="shared" si="1687"/>
        <v>840</v>
      </c>
      <c r="E568" s="746" t="str">
        <f t="shared" si="1687"/>
        <v/>
      </c>
      <c r="F568" s="746" t="str">
        <f t="shared" si="1687"/>
        <v/>
      </c>
      <c r="G568" s="746" t="str">
        <f t="shared" si="1687"/>
        <v/>
      </c>
      <c r="H568" s="746" t="str">
        <f t="shared" si="1687"/>
        <v/>
      </c>
      <c r="I568" s="746">
        <f t="shared" si="1687"/>
        <v>72</v>
      </c>
      <c r="J568" s="746" t="str">
        <f t="shared" si="1687"/>
        <v/>
      </c>
      <c r="K568" s="746" t="str">
        <f t="shared" si="1687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8">IF(T567="","",T564*T567)</f>
        <v/>
      </c>
      <c r="U568" s="746">
        <f t="shared" si="1688"/>
        <v>450</v>
      </c>
      <c r="V568" s="746" t="str">
        <f t="shared" si="1688"/>
        <v/>
      </c>
      <c r="W568" s="746" t="str">
        <f t="shared" si="1688"/>
        <v/>
      </c>
      <c r="X568" s="746" t="str">
        <f t="shared" si="1688"/>
        <v/>
      </c>
      <c r="Y568" s="746">
        <f t="shared" si="1688"/>
        <v>180</v>
      </c>
      <c r="Z568" s="746" t="str">
        <f t="shared" si="1688"/>
        <v/>
      </c>
      <c r="AA568" s="746">
        <f t="shared" si="1688"/>
        <v>240</v>
      </c>
      <c r="AB568" s="746" t="str">
        <f t="shared" si="1688"/>
        <v/>
      </c>
      <c r="AC568" s="746" t="str">
        <f t="shared" si="1688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9">IF(AL567="","",AL564*AL567)</f>
        <v/>
      </c>
      <c r="AM568" s="746" t="str">
        <f t="shared" si="1689"/>
        <v/>
      </c>
      <c r="AN568" s="746">
        <f t="shared" si="1689"/>
        <v>600</v>
      </c>
      <c r="AO568" s="746">
        <f t="shared" si="1689"/>
        <v>300</v>
      </c>
      <c r="AP568" s="746">
        <f t="shared" si="1689"/>
        <v>360</v>
      </c>
      <c r="AQ568" s="746">
        <f t="shared" si="1689"/>
        <v>300</v>
      </c>
      <c r="AR568" s="746" t="str">
        <f t="shared" si="1689"/>
        <v/>
      </c>
      <c r="AS568" s="746">
        <f t="shared" si="1689"/>
        <v>420</v>
      </c>
      <c r="AT568" s="746">
        <f t="shared" si="1689"/>
        <v>480</v>
      </c>
      <c r="AU568" s="746" t="str">
        <f t="shared" si="1689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90">IF(BD567="","",BD564*BD567)</f>
        <v/>
      </c>
      <c r="BE568" s="746">
        <f t="shared" si="1690"/>
        <v>75</v>
      </c>
      <c r="BF568" s="746">
        <f t="shared" si="1690"/>
        <v>100</v>
      </c>
      <c r="BG568" s="746">
        <f t="shared" si="1690"/>
        <v>300</v>
      </c>
      <c r="BH568" s="746">
        <f t="shared" si="1690"/>
        <v>300</v>
      </c>
      <c r="BI568" s="746" t="str">
        <f t="shared" si="1690"/>
        <v/>
      </c>
      <c r="BJ568" s="746">
        <f t="shared" si="1690"/>
        <v>420</v>
      </c>
      <c r="BK568" s="746">
        <f t="shared" si="1690"/>
        <v>420</v>
      </c>
      <c r="BL568" s="746" t="str">
        <f t="shared" si="1690"/>
        <v/>
      </c>
      <c r="BM568" s="746">
        <f t="shared" si="1690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2"/>
        <v/>
      </c>
      <c r="CE568" s="80" t="str">
        <f t="shared" si="1672"/>
        <v/>
      </c>
      <c r="CF568" s="80">
        <f t="shared" si="1672"/>
        <v>300</v>
      </c>
      <c r="CG568" s="80">
        <f t="shared" si="1672"/>
        <v>300</v>
      </c>
      <c r="CH568" s="145">
        <f t="shared" si="1672"/>
        <v>360</v>
      </c>
      <c r="CI568" s="145">
        <f t="shared" si="1672"/>
        <v>420</v>
      </c>
      <c r="CJ568" s="80">
        <f t="shared" si="1672"/>
        <v>480</v>
      </c>
      <c r="CK568" s="80">
        <f t="shared" si="1672"/>
        <v>600</v>
      </c>
      <c r="CL568" s="80" t="str">
        <f t="shared" si="1672"/>
        <v/>
      </c>
      <c r="CM568" s="79" t="str">
        <f t="shared" si="1672"/>
        <v/>
      </c>
      <c r="CN568" s="538" t="str">
        <f t="shared" si="1673"/>
        <v/>
      </c>
      <c r="CO568" s="539" t="str">
        <f t="shared" si="1673"/>
        <v/>
      </c>
      <c r="CP568" s="539" t="str">
        <f t="shared" si="1673"/>
        <v/>
      </c>
      <c r="CQ568" s="539" t="str">
        <f t="shared" si="1673"/>
        <v/>
      </c>
      <c r="CR568" s="539">
        <f t="shared" si="1673"/>
        <v>75</v>
      </c>
      <c r="CS568" s="539">
        <f t="shared" si="1673"/>
        <v>100</v>
      </c>
      <c r="CT568" s="540">
        <f t="shared" si="1673"/>
        <v>300</v>
      </c>
      <c r="CU568" s="540">
        <f t="shared" si="1673"/>
        <v>300</v>
      </c>
      <c r="CV568" s="540">
        <f t="shared" si="1673"/>
        <v>360</v>
      </c>
      <c r="CW568" s="539">
        <f t="shared" si="1673"/>
        <v>420</v>
      </c>
      <c r="CX568" s="539">
        <f t="shared" si="1673"/>
        <v>420</v>
      </c>
      <c r="CY568" s="539" t="str">
        <f t="shared" si="1673"/>
        <v/>
      </c>
      <c r="CZ568" s="539" t="str">
        <f t="shared" si="1673"/>
        <v/>
      </c>
      <c r="DA568" s="539" t="str">
        <f t="shared" si="1673"/>
        <v/>
      </c>
      <c r="DB568" s="538" t="str">
        <f t="shared" si="1673"/>
        <v/>
      </c>
      <c r="DC568" s="537" t="str">
        <f t="shared" si="1674"/>
        <v/>
      </c>
      <c r="DD568" s="875">
        <f t="shared" si="1675"/>
        <v>3</v>
      </c>
      <c r="DE568" s="830">
        <f t="shared" si="1676"/>
        <v>3</v>
      </c>
      <c r="DF568" s="830">
        <f t="shared" si="1677"/>
        <v>6</v>
      </c>
      <c r="DG568" s="830">
        <f t="shared" si="1678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394" t="s">
        <v>730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3"/>
        <v/>
      </c>
      <c r="CO569" s="527" t="str">
        <f t="shared" si="1673"/>
        <v/>
      </c>
      <c r="CP569" s="527" t="str">
        <f t="shared" si="1673"/>
        <v/>
      </c>
      <c r="CQ569" s="527" t="str">
        <f t="shared" si="1673"/>
        <v/>
      </c>
      <c r="CR569" s="527" t="str">
        <f t="shared" si="1673"/>
        <v/>
      </c>
      <c r="CS569" s="527" t="str">
        <f t="shared" si="1673"/>
        <v/>
      </c>
      <c r="CT569" s="528" t="str">
        <f t="shared" si="1673"/>
        <v/>
      </c>
      <c r="CU569" s="528" t="str">
        <f t="shared" si="1673"/>
        <v/>
      </c>
      <c r="CV569" s="528" t="str">
        <f t="shared" si="1673"/>
        <v/>
      </c>
      <c r="CW569" s="527" t="str">
        <f t="shared" si="1673"/>
        <v/>
      </c>
      <c r="CX569" s="527" t="str">
        <f t="shared" si="1673"/>
        <v/>
      </c>
      <c r="CY569" s="527" t="str">
        <f t="shared" si="1673"/>
        <v/>
      </c>
      <c r="CZ569" s="527" t="str">
        <f t="shared" si="1673"/>
        <v/>
      </c>
      <c r="DA569" s="527" t="str">
        <f t="shared" si="1673"/>
        <v/>
      </c>
      <c r="DB569" s="526" t="str">
        <f t="shared" si="1673"/>
        <v/>
      </c>
      <c r="DC569" s="525" t="str">
        <f t="shared" si="1674"/>
        <v/>
      </c>
      <c r="DD569" s="875">
        <f t="shared" si="1675"/>
        <v>0</v>
      </c>
      <c r="DE569" s="830">
        <f t="shared" si="1676"/>
        <v>0</v>
      </c>
      <c r="DF569" s="830">
        <f t="shared" si="1677"/>
        <v>0</v>
      </c>
      <c r="DG569" s="830">
        <f t="shared" si="1678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293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91">IF(DD570&lt;3,"",(SUM(B570:R570)-MIN(B570:R570)-MAX(B570:R570))/(DD570-2))</f>
        <v/>
      </c>
      <c r="CA570" s="873" t="str">
        <f t="shared" ref="CA570:CA592" si="1692">IF(DE570&lt;3,"",(SUM(T570:AJ570)-MIN(T570:AJ570)-MAX(T570:AJ570))/(DE570-2))</f>
        <v/>
      </c>
      <c r="CB570" s="873" t="str">
        <f t="shared" ref="CB570:CB592" si="1693">IF(DF570&lt;3,"",(SUM(AL570:BB570)-MIN(AL570:BB570)-MAX(AL570:BB570))/(DF570-2))</f>
        <v/>
      </c>
      <c r="CC570" s="874">
        <f t="shared" ref="CC570:CC592" si="1694">IF(DG570&lt;3,"",(SUM(BD570:BT570)-MIN(BD570:BT570)-MAX(BD570:BT570))/(DG570-2))</f>
        <v>0</v>
      </c>
      <c r="CD570" s="79" t="str">
        <f t="shared" si="1672"/>
        <v/>
      </c>
      <c r="CE570" s="80" t="str">
        <f t="shared" si="1672"/>
        <v/>
      </c>
      <c r="CF570" s="80" t="str">
        <f t="shared" si="1672"/>
        <v/>
      </c>
      <c r="CG570" s="80" t="str">
        <f t="shared" si="1672"/>
        <v/>
      </c>
      <c r="CH570" s="145" t="str">
        <f t="shared" si="1672"/>
        <v/>
      </c>
      <c r="CI570" s="145" t="str">
        <f t="shared" si="1672"/>
        <v/>
      </c>
      <c r="CJ570" s="80" t="str">
        <f t="shared" si="1672"/>
        <v/>
      </c>
      <c r="CK570" s="80" t="str">
        <f t="shared" si="1672"/>
        <v/>
      </c>
      <c r="CL570" s="80" t="str">
        <f t="shared" si="1672"/>
        <v/>
      </c>
      <c r="CM570" s="79" t="str">
        <f t="shared" si="1672"/>
        <v/>
      </c>
      <c r="CN570" s="538" t="str">
        <f t="shared" si="1673"/>
        <v/>
      </c>
      <c r="CO570" s="539" t="str">
        <f t="shared" si="1673"/>
        <v/>
      </c>
      <c r="CP570" s="539" t="str">
        <f t="shared" si="1673"/>
        <v/>
      </c>
      <c r="CQ570" s="539" t="str">
        <f t="shared" si="1673"/>
        <v/>
      </c>
      <c r="CR570" s="539">
        <f t="shared" si="1673"/>
        <v>0</v>
      </c>
      <c r="CS570" s="539">
        <f t="shared" si="1673"/>
        <v>0</v>
      </c>
      <c r="CT570" s="540">
        <f t="shared" si="1673"/>
        <v>0</v>
      </c>
      <c r="CU570" s="540">
        <f t="shared" si="1673"/>
        <v>0</v>
      </c>
      <c r="CV570" s="540">
        <f t="shared" si="1673"/>
        <v>0</v>
      </c>
      <c r="CW570" s="539">
        <f t="shared" si="1673"/>
        <v>0</v>
      </c>
      <c r="CX570" s="539">
        <f t="shared" si="1673"/>
        <v>0</v>
      </c>
      <c r="CY570" s="539">
        <f t="shared" si="1673"/>
        <v>0</v>
      </c>
      <c r="CZ570" s="539" t="str">
        <f t="shared" si="1673"/>
        <v/>
      </c>
      <c r="DA570" s="539" t="str">
        <f t="shared" si="1673"/>
        <v/>
      </c>
      <c r="DB570" s="538" t="str">
        <f t="shared" si="1673"/>
        <v/>
      </c>
      <c r="DC570" s="537" t="str">
        <f t="shared" si="1674"/>
        <v/>
      </c>
      <c r="DD570" s="875">
        <f t="shared" si="1675"/>
        <v>0</v>
      </c>
      <c r="DE570" s="830">
        <f t="shared" si="1676"/>
        <v>0</v>
      </c>
      <c r="DF570" s="830">
        <f t="shared" si="1677"/>
        <v>0</v>
      </c>
      <c r="DG570" s="830">
        <f t="shared" si="1678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284</v>
      </c>
      <c r="B571" s="747">
        <f>1160*$K$1</f>
        <v>4856.6880000000001</v>
      </c>
      <c r="C571" s="747">
        <f t="shared" ref="C571:K571" si="1695">1160*$K$1</f>
        <v>4856.6880000000001</v>
      </c>
      <c r="D571" s="747">
        <f t="shared" si="1695"/>
        <v>4856.6880000000001</v>
      </c>
      <c r="E571" s="747">
        <f t="shared" si="1695"/>
        <v>4856.6880000000001</v>
      </c>
      <c r="F571" s="747">
        <f t="shared" si="1695"/>
        <v>4856.6880000000001</v>
      </c>
      <c r="G571" s="747">
        <f t="shared" si="1695"/>
        <v>4856.6880000000001</v>
      </c>
      <c r="H571" s="747">
        <f t="shared" si="1695"/>
        <v>4856.6880000000001</v>
      </c>
      <c r="I571" s="747">
        <f t="shared" si="1695"/>
        <v>4856.6880000000001</v>
      </c>
      <c r="J571" s="747">
        <f t="shared" si="1695"/>
        <v>4856.6880000000001</v>
      </c>
      <c r="K571" s="747">
        <f t="shared" si="1695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6">1160*$K$1</f>
        <v>4856.6880000000001</v>
      </c>
      <c r="V571" s="747">
        <f t="shared" si="1696"/>
        <v>4856.6880000000001</v>
      </c>
      <c r="W571" s="747">
        <f t="shared" si="1696"/>
        <v>4856.6880000000001</v>
      </c>
      <c r="X571" s="747">
        <f t="shared" si="1696"/>
        <v>4856.6880000000001</v>
      </c>
      <c r="Y571" s="747">
        <f t="shared" si="1696"/>
        <v>4856.6880000000001</v>
      </c>
      <c r="Z571" s="747">
        <f t="shared" si="1696"/>
        <v>4856.6880000000001</v>
      </c>
      <c r="AA571" s="747">
        <f t="shared" si="1696"/>
        <v>4856.6880000000001</v>
      </c>
      <c r="AB571" s="747">
        <f t="shared" si="1696"/>
        <v>4856.6880000000001</v>
      </c>
      <c r="AC571" s="747">
        <f t="shared" si="1696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7">1160*$K$1</f>
        <v>4856.6880000000001</v>
      </c>
      <c r="AN571" s="747">
        <f t="shared" si="1697"/>
        <v>4856.6880000000001</v>
      </c>
      <c r="AO571" s="747">
        <f t="shared" si="1697"/>
        <v>4856.6880000000001</v>
      </c>
      <c r="AP571" s="747">
        <f t="shared" si="1697"/>
        <v>4856.6880000000001</v>
      </c>
      <c r="AQ571" s="747">
        <f t="shared" si="1697"/>
        <v>4856.6880000000001</v>
      </c>
      <c r="AR571" s="747">
        <f t="shared" si="1697"/>
        <v>4856.6880000000001</v>
      </c>
      <c r="AS571" s="747">
        <f t="shared" si="1697"/>
        <v>4856.6880000000001</v>
      </c>
      <c r="AT571" s="747">
        <f t="shared" si="1697"/>
        <v>4856.6880000000001</v>
      </c>
      <c r="AU571" s="747">
        <f t="shared" si="1697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8">1160*$K$1</f>
        <v>4856.6880000000001</v>
      </c>
      <c r="BF571" s="747">
        <f t="shared" si="1698"/>
        <v>4856.6880000000001</v>
      </c>
      <c r="BG571" s="747">
        <f t="shared" si="1698"/>
        <v>4856.6880000000001</v>
      </c>
      <c r="BH571" s="747">
        <f t="shared" si="1698"/>
        <v>4856.6880000000001</v>
      </c>
      <c r="BI571" s="747">
        <f t="shared" si="1698"/>
        <v>4856.6880000000001</v>
      </c>
      <c r="BJ571" s="747">
        <f t="shared" si="1698"/>
        <v>4856.6880000000001</v>
      </c>
      <c r="BK571" s="747">
        <f t="shared" si="1698"/>
        <v>4856.6880000000001</v>
      </c>
      <c r="BL571" s="747">
        <f t="shared" si="1698"/>
        <v>4856.6880000000001</v>
      </c>
      <c r="BM571" s="747">
        <f t="shared" si="1698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8"/>
        <v>4856.6880000000001</v>
      </c>
      <c r="BW571" s="747">
        <f t="shared" si="1698"/>
        <v>4856.6880000000001</v>
      </c>
      <c r="BX571" s="747">
        <f t="shared" si="1698"/>
        <v>4856.6880000000001</v>
      </c>
      <c r="BY571" s="747">
        <f t="shared" si="1698"/>
        <v>4856.6880000000001</v>
      </c>
      <c r="BZ571" s="873">
        <f t="shared" si="1691"/>
        <v>4856.688000000001</v>
      </c>
      <c r="CA571" s="873">
        <f t="shared" si="1692"/>
        <v>4856.688000000001</v>
      </c>
      <c r="CB571" s="873">
        <f t="shared" si="1693"/>
        <v>4856.688000000001</v>
      </c>
      <c r="CC571" s="874">
        <f t="shared" si="1694"/>
        <v>4856.688000000001</v>
      </c>
      <c r="CD571" s="79">
        <f t="shared" si="1672"/>
        <v>4856.6880000000001</v>
      </c>
      <c r="CE571" s="80">
        <f t="shared" si="1672"/>
        <v>4856.6880000000001</v>
      </c>
      <c r="CF571" s="80">
        <f t="shared" si="1672"/>
        <v>4856.6880000000001</v>
      </c>
      <c r="CG571" s="80">
        <f t="shared" si="1672"/>
        <v>4856.6880000000001</v>
      </c>
      <c r="CH571" s="145">
        <f t="shared" si="1672"/>
        <v>4856.6880000000001</v>
      </c>
      <c r="CI571" s="145">
        <f t="shared" si="1672"/>
        <v>4856.6880000000001</v>
      </c>
      <c r="CJ571" s="80">
        <f t="shared" si="1672"/>
        <v>4856.6880000000001</v>
      </c>
      <c r="CK571" s="80">
        <f t="shared" si="1672"/>
        <v>4856.6880000000001</v>
      </c>
      <c r="CL571" s="80">
        <f t="shared" si="1672"/>
        <v>4856.6880000000001</v>
      </c>
      <c r="CM571" s="79">
        <f t="shared" si="1672"/>
        <v>4856.6880000000001</v>
      </c>
      <c r="CN571" s="538" t="str">
        <f t="shared" si="1673"/>
        <v/>
      </c>
      <c r="CO571" s="539" t="str">
        <f t="shared" si="1673"/>
        <v/>
      </c>
      <c r="CP571" s="539" t="str">
        <f t="shared" si="1673"/>
        <v/>
      </c>
      <c r="CQ571" s="539">
        <f t="shared" si="1673"/>
        <v>4856.6880000000001</v>
      </c>
      <c r="CR571" s="539">
        <f t="shared" si="1673"/>
        <v>4856.6880000000001</v>
      </c>
      <c r="CS571" s="539">
        <f t="shared" si="1673"/>
        <v>4856.6880000000001</v>
      </c>
      <c r="CT571" s="540">
        <f t="shared" si="1673"/>
        <v>4856.6880000000001</v>
      </c>
      <c r="CU571" s="540">
        <f t="shared" si="1673"/>
        <v>4856.6880000000001</v>
      </c>
      <c r="CV571" s="540">
        <f t="shared" si="1673"/>
        <v>4856.6880000000001</v>
      </c>
      <c r="CW571" s="539">
        <f t="shared" si="1673"/>
        <v>4856.6880000000001</v>
      </c>
      <c r="CX571" s="539">
        <f t="shared" si="1673"/>
        <v>4856.6880000000001</v>
      </c>
      <c r="CY571" s="539">
        <f t="shared" si="1673"/>
        <v>4856.6880000000001</v>
      </c>
      <c r="CZ571" s="539">
        <f t="shared" si="1673"/>
        <v>4856.6880000000001</v>
      </c>
      <c r="DA571" s="539" t="str">
        <f t="shared" si="1673"/>
        <v/>
      </c>
      <c r="DB571" s="538" t="str">
        <f t="shared" si="1673"/>
        <v/>
      </c>
      <c r="DC571" s="537" t="str">
        <f t="shared" si="1674"/>
        <v/>
      </c>
      <c r="DD571" s="875">
        <f t="shared" si="1675"/>
        <v>10</v>
      </c>
      <c r="DE571" s="830">
        <f t="shared" si="1676"/>
        <v>10</v>
      </c>
      <c r="DF571" s="830">
        <f t="shared" si="1677"/>
        <v>10</v>
      </c>
      <c r="DG571" s="830">
        <f t="shared" si="1678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227</v>
      </c>
      <c r="B572" s="749" t="str">
        <f t="shared" ref="B572:K572" si="1699">IF(B570="","",B570*B571/B$46/365/$G$1)</f>
        <v/>
      </c>
      <c r="C572" s="749" t="str">
        <f t="shared" si="1699"/>
        <v/>
      </c>
      <c r="D572" s="749" t="str">
        <f t="shared" si="1699"/>
        <v/>
      </c>
      <c r="E572" s="749" t="str">
        <f t="shared" si="1699"/>
        <v/>
      </c>
      <c r="F572" s="749" t="str">
        <f t="shared" si="1699"/>
        <v/>
      </c>
      <c r="G572" s="749" t="str">
        <f t="shared" si="1699"/>
        <v/>
      </c>
      <c r="H572" s="749" t="str">
        <f t="shared" si="1699"/>
        <v/>
      </c>
      <c r="I572" s="749" t="str">
        <f t="shared" si="1699"/>
        <v/>
      </c>
      <c r="J572" s="749" t="str">
        <f t="shared" si="1699"/>
        <v/>
      </c>
      <c r="K572" s="749" t="str">
        <f t="shared" si="1699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700">IF(T570="","",T570*T571/T$46/365/$G$1)</f>
        <v/>
      </c>
      <c r="U572" s="749" t="str">
        <f t="shared" si="1700"/>
        <v/>
      </c>
      <c r="V572" s="749" t="str">
        <f t="shared" si="1700"/>
        <v/>
      </c>
      <c r="W572" s="749" t="str">
        <f t="shared" si="1700"/>
        <v/>
      </c>
      <c r="X572" s="749" t="str">
        <f t="shared" si="1700"/>
        <v/>
      </c>
      <c r="Y572" s="749" t="str">
        <f t="shared" si="1700"/>
        <v/>
      </c>
      <c r="Z572" s="749" t="str">
        <f t="shared" si="1700"/>
        <v/>
      </c>
      <c r="AA572" s="749" t="str">
        <f t="shared" si="1700"/>
        <v/>
      </c>
      <c r="AB572" s="749" t="str">
        <f t="shared" si="1700"/>
        <v/>
      </c>
      <c r="AC572" s="749" t="str">
        <f t="shared" si="1700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701">IF(AL570="","",AL570*AL571/AL$46/365/$G$1)</f>
        <v/>
      </c>
      <c r="AM572" s="749" t="str">
        <f t="shared" si="1701"/>
        <v/>
      </c>
      <c r="AN572" s="749" t="str">
        <f t="shared" si="1701"/>
        <v/>
      </c>
      <c r="AO572" s="749" t="str">
        <f t="shared" si="1701"/>
        <v/>
      </c>
      <c r="AP572" s="749" t="str">
        <f t="shared" si="1701"/>
        <v/>
      </c>
      <c r="AQ572" s="749" t="str">
        <f t="shared" si="1701"/>
        <v/>
      </c>
      <c r="AR572" s="749" t="str">
        <f t="shared" si="1701"/>
        <v/>
      </c>
      <c r="AS572" s="749" t="str">
        <f t="shared" si="1701"/>
        <v/>
      </c>
      <c r="AT572" s="749" t="str">
        <f t="shared" si="1701"/>
        <v/>
      </c>
      <c r="AU572" s="749" t="str">
        <f t="shared" si="1701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2">IF(BD570="","",BD570*BD571/BD$46/365/$G$1)</f>
        <v/>
      </c>
      <c r="BE572" s="749">
        <f t="shared" si="1702"/>
        <v>0</v>
      </c>
      <c r="BF572" s="749">
        <f t="shared" si="1702"/>
        <v>0</v>
      </c>
      <c r="BG572" s="749">
        <f t="shared" si="1702"/>
        <v>0</v>
      </c>
      <c r="BH572" s="749">
        <f t="shared" si="1702"/>
        <v>0</v>
      </c>
      <c r="BI572" s="749" t="str">
        <f t="shared" si="1702"/>
        <v/>
      </c>
      <c r="BJ572" s="749">
        <f t="shared" si="1702"/>
        <v>0</v>
      </c>
      <c r="BK572" s="749">
        <f t="shared" si="1702"/>
        <v>0</v>
      </c>
      <c r="BL572" s="749">
        <f t="shared" si="1702"/>
        <v>0</v>
      </c>
      <c r="BM572" s="749">
        <f t="shared" si="1702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91"/>
        <v/>
      </c>
      <c r="CA572" s="611" t="str">
        <f t="shared" si="1692"/>
        <v/>
      </c>
      <c r="CB572" s="611" t="str">
        <f t="shared" si="1693"/>
        <v/>
      </c>
      <c r="CC572" s="611">
        <f t="shared" si="1694"/>
        <v>0</v>
      </c>
      <c r="CD572" s="1319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0" t="str">
        <f t="shared" si="1672"/>
        <v/>
      </c>
      <c r="CF572" s="1320" t="str">
        <f t="shared" si="1672"/>
        <v/>
      </c>
      <c r="CG572" s="1320" t="str">
        <f t="shared" si="1672"/>
        <v/>
      </c>
      <c r="CH572" s="1321" t="str">
        <f t="shared" si="1672"/>
        <v/>
      </c>
      <c r="CI572" s="1321" t="str">
        <f t="shared" si="1672"/>
        <v/>
      </c>
      <c r="CJ572" s="1320" t="str">
        <f t="shared" si="1672"/>
        <v/>
      </c>
      <c r="CK572" s="1320" t="str">
        <f t="shared" si="1672"/>
        <v/>
      </c>
      <c r="CL572" s="1320" t="str">
        <f t="shared" si="1672"/>
        <v/>
      </c>
      <c r="CM572" s="1319" t="str">
        <f t="shared" si="1672"/>
        <v/>
      </c>
      <c r="CN572" s="526" t="str">
        <f t="shared" si="1673"/>
        <v/>
      </c>
      <c r="CO572" s="527" t="str">
        <f t="shared" si="1673"/>
        <v/>
      </c>
      <c r="CP572" s="527" t="str">
        <f t="shared" si="1673"/>
        <v/>
      </c>
      <c r="CQ572" s="527" t="str">
        <f t="shared" si="1673"/>
        <v/>
      </c>
      <c r="CR572" s="527">
        <f t="shared" si="1673"/>
        <v>0</v>
      </c>
      <c r="CS572" s="527">
        <f t="shared" si="1673"/>
        <v>0</v>
      </c>
      <c r="CT572" s="528">
        <f t="shared" si="1673"/>
        <v>0</v>
      </c>
      <c r="CU572" s="528">
        <f t="shared" si="1673"/>
        <v>0</v>
      </c>
      <c r="CV572" s="528">
        <f t="shared" si="1673"/>
        <v>0</v>
      </c>
      <c r="CW572" s="527">
        <f t="shared" si="1673"/>
        <v>0</v>
      </c>
      <c r="CX572" s="527">
        <f t="shared" si="1673"/>
        <v>0</v>
      </c>
      <c r="CY572" s="527">
        <f t="shared" si="1673"/>
        <v>0</v>
      </c>
      <c r="CZ572" s="527" t="str">
        <f t="shared" si="1673"/>
        <v/>
      </c>
      <c r="DA572" s="527" t="str">
        <f t="shared" si="1673"/>
        <v/>
      </c>
      <c r="DB572" s="526" t="str">
        <f t="shared" si="1673"/>
        <v/>
      </c>
      <c r="DC572" s="525" t="str">
        <f t="shared" si="1674"/>
        <v/>
      </c>
      <c r="DD572" s="641">
        <f t="shared" si="1675"/>
        <v>0</v>
      </c>
      <c r="DE572" s="95">
        <f t="shared" si="1676"/>
        <v>0</v>
      </c>
      <c r="DF572" s="95">
        <f t="shared" si="1677"/>
        <v>0</v>
      </c>
      <c r="DG572" s="95">
        <f t="shared" si="1678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1" t="s">
        <v>288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91"/>
        <v/>
      </c>
      <c r="CA573" s="873" t="str">
        <f t="shared" si="1692"/>
        <v/>
      </c>
      <c r="CB573" s="873" t="str">
        <f t="shared" si="1693"/>
        <v/>
      </c>
      <c r="CC573" s="874" t="str">
        <f t="shared" si="1694"/>
        <v/>
      </c>
      <c r="CD573" s="79" t="str">
        <f t="shared" ref="CD573:CM585" si="17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3"/>
        <v/>
      </c>
      <c r="CF573" s="80" t="str">
        <f t="shared" si="1703"/>
        <v/>
      </c>
      <c r="CG573" s="80" t="str">
        <f t="shared" si="1703"/>
        <v/>
      </c>
      <c r="CH573" s="1297" t="str">
        <f t="shared" si="1703"/>
        <v/>
      </c>
      <c r="CI573" s="145" t="str">
        <f t="shared" si="1703"/>
        <v/>
      </c>
      <c r="CJ573" s="80" t="str">
        <f t="shared" si="1703"/>
        <v/>
      </c>
      <c r="CK573" s="80" t="str">
        <f t="shared" si="1703"/>
        <v/>
      </c>
      <c r="CL573" s="80" t="str">
        <f t="shared" si="1703"/>
        <v/>
      </c>
      <c r="CM573" s="79" t="str">
        <f t="shared" si="1703"/>
        <v/>
      </c>
      <c r="CN573" s="538" t="str">
        <f t="shared" ref="CN573:DB585" si="170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4"/>
        <v/>
      </c>
      <c r="CP573" s="539" t="str">
        <f t="shared" si="1704"/>
        <v/>
      </c>
      <c r="CQ573" s="539" t="str">
        <f t="shared" si="1704"/>
        <v/>
      </c>
      <c r="CR573" s="539" t="str">
        <f t="shared" si="1704"/>
        <v/>
      </c>
      <c r="CS573" s="539" t="str">
        <f t="shared" si="1704"/>
        <v/>
      </c>
      <c r="CT573" s="540" t="str">
        <f t="shared" si="1704"/>
        <v/>
      </c>
      <c r="CU573" s="540" t="str">
        <f t="shared" si="1704"/>
        <v/>
      </c>
      <c r="CV573" s="540" t="str">
        <f t="shared" si="1704"/>
        <v/>
      </c>
      <c r="CW573" s="539" t="str">
        <f t="shared" si="1704"/>
        <v/>
      </c>
      <c r="CX573" s="539" t="str">
        <f t="shared" si="1704"/>
        <v/>
      </c>
      <c r="CY573" s="539" t="str">
        <f t="shared" si="1704"/>
        <v/>
      </c>
      <c r="CZ573" s="539" t="str">
        <f t="shared" si="1704"/>
        <v/>
      </c>
      <c r="DA573" s="539" t="str">
        <f t="shared" si="1704"/>
        <v/>
      </c>
      <c r="DB573" s="538" t="str">
        <f t="shared" si="1704"/>
        <v/>
      </c>
      <c r="DC573" s="537" t="str">
        <f t="shared" ref="DC573:DC596" si="1705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5"/>
        <v>0</v>
      </c>
      <c r="DE573" s="830">
        <f t="shared" si="1676"/>
        <v>0</v>
      </c>
      <c r="DF573" s="830">
        <f t="shared" si="1677"/>
        <v>0</v>
      </c>
      <c r="DG573" s="830">
        <f t="shared" si="1678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286</v>
      </c>
      <c r="B574" s="746" t="str">
        <f t="shared" ref="B574:K574" si="1706">IF(B573="","",B570*B573)</f>
        <v/>
      </c>
      <c r="C574" s="746" t="str">
        <f t="shared" si="1706"/>
        <v/>
      </c>
      <c r="D574" s="746" t="str">
        <f t="shared" si="1706"/>
        <v/>
      </c>
      <c r="E574" s="746" t="str">
        <f t="shared" si="1706"/>
        <v/>
      </c>
      <c r="F574" s="746" t="str">
        <f t="shared" si="1706"/>
        <v/>
      </c>
      <c r="G574" s="746" t="str">
        <f t="shared" si="1706"/>
        <v/>
      </c>
      <c r="H574" s="746" t="str">
        <f t="shared" si="1706"/>
        <v/>
      </c>
      <c r="I574" s="746" t="str">
        <f t="shared" si="1706"/>
        <v/>
      </c>
      <c r="J574" s="746" t="str">
        <f t="shared" si="1706"/>
        <v/>
      </c>
      <c r="K574" s="746" t="str">
        <f t="shared" si="1706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7">IF(T573="","",T570*T573)</f>
        <v/>
      </c>
      <c r="U574" s="746" t="str">
        <f t="shared" si="1707"/>
        <v/>
      </c>
      <c r="V574" s="746" t="str">
        <f t="shared" si="1707"/>
        <v/>
      </c>
      <c r="W574" s="746" t="str">
        <f t="shared" si="1707"/>
        <v/>
      </c>
      <c r="X574" s="746" t="str">
        <f t="shared" si="1707"/>
        <v/>
      </c>
      <c r="Y574" s="746" t="str">
        <f t="shared" si="1707"/>
        <v/>
      </c>
      <c r="Z574" s="746" t="str">
        <f t="shared" si="1707"/>
        <v/>
      </c>
      <c r="AA574" s="746" t="str">
        <f t="shared" si="1707"/>
        <v/>
      </c>
      <c r="AB574" s="746" t="str">
        <f t="shared" si="1707"/>
        <v/>
      </c>
      <c r="AC574" s="746" t="str">
        <f t="shared" si="1707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8">IF(AL573="","",AL570*AL573)</f>
        <v/>
      </c>
      <c r="AM574" s="746" t="str">
        <f t="shared" si="1708"/>
        <v/>
      </c>
      <c r="AN574" s="746" t="str">
        <f t="shared" si="1708"/>
        <v/>
      </c>
      <c r="AO574" s="746" t="str">
        <f t="shared" si="1708"/>
        <v/>
      </c>
      <c r="AP574" s="746" t="str">
        <f t="shared" si="1708"/>
        <v/>
      </c>
      <c r="AQ574" s="746" t="str">
        <f t="shared" si="1708"/>
        <v/>
      </c>
      <c r="AR574" s="746" t="str">
        <f t="shared" si="1708"/>
        <v/>
      </c>
      <c r="AS574" s="746" t="str">
        <f t="shared" si="1708"/>
        <v/>
      </c>
      <c r="AT574" s="746" t="str">
        <f t="shared" si="1708"/>
        <v/>
      </c>
      <c r="AU574" s="746" t="str">
        <f t="shared" si="1708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9">IF(BD573="","",BD570*BD573)</f>
        <v/>
      </c>
      <c r="BE574" s="746" t="str">
        <f t="shared" si="1709"/>
        <v/>
      </c>
      <c r="BF574" s="746" t="str">
        <f t="shared" si="1709"/>
        <v/>
      </c>
      <c r="BG574" s="746" t="str">
        <f t="shared" si="1709"/>
        <v/>
      </c>
      <c r="BH574" s="746" t="str">
        <f t="shared" si="1709"/>
        <v/>
      </c>
      <c r="BI574" s="746" t="str">
        <f t="shared" si="1709"/>
        <v/>
      </c>
      <c r="BJ574" s="746" t="str">
        <f t="shared" si="1709"/>
        <v/>
      </c>
      <c r="BK574" s="746" t="str">
        <f t="shared" si="1709"/>
        <v/>
      </c>
      <c r="BL574" s="746" t="str">
        <f t="shared" si="1709"/>
        <v/>
      </c>
      <c r="BM574" s="746" t="str">
        <f t="shared" si="1709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91"/>
        <v/>
      </c>
      <c r="CA574" s="873" t="str">
        <f t="shared" si="1692"/>
        <v/>
      </c>
      <c r="CB574" s="873" t="str">
        <f t="shared" si="1693"/>
        <v/>
      </c>
      <c r="CC574" s="874" t="str">
        <f t="shared" si="1694"/>
        <v/>
      </c>
      <c r="CD574" s="79" t="str">
        <f t="shared" si="1703"/>
        <v/>
      </c>
      <c r="CE574" s="80" t="str">
        <f t="shared" si="1703"/>
        <v/>
      </c>
      <c r="CF574" s="80" t="str">
        <f t="shared" si="1703"/>
        <v/>
      </c>
      <c r="CG574" s="80" t="str">
        <f t="shared" si="1703"/>
        <v/>
      </c>
      <c r="CH574" s="145" t="str">
        <f t="shared" si="1703"/>
        <v/>
      </c>
      <c r="CI574" s="145" t="str">
        <f t="shared" si="1703"/>
        <v/>
      </c>
      <c r="CJ574" s="80" t="str">
        <f t="shared" si="1703"/>
        <v/>
      </c>
      <c r="CK574" s="80" t="str">
        <f t="shared" si="1703"/>
        <v/>
      </c>
      <c r="CL574" s="80" t="str">
        <f t="shared" si="1703"/>
        <v/>
      </c>
      <c r="CM574" s="79" t="str">
        <f t="shared" si="1703"/>
        <v/>
      </c>
      <c r="CN574" s="538" t="str">
        <f t="shared" si="1704"/>
        <v/>
      </c>
      <c r="CO574" s="539" t="str">
        <f t="shared" si="1704"/>
        <v/>
      </c>
      <c r="CP574" s="539" t="str">
        <f t="shared" si="1704"/>
        <v/>
      </c>
      <c r="CQ574" s="539" t="str">
        <f t="shared" si="1704"/>
        <v/>
      </c>
      <c r="CR574" s="539" t="str">
        <f t="shared" si="1704"/>
        <v/>
      </c>
      <c r="CS574" s="539" t="str">
        <f t="shared" si="1704"/>
        <v/>
      </c>
      <c r="CT574" s="540" t="str">
        <f t="shared" si="1704"/>
        <v/>
      </c>
      <c r="CU574" s="540" t="str">
        <f t="shared" si="1704"/>
        <v/>
      </c>
      <c r="CV574" s="540" t="str">
        <f t="shared" si="1704"/>
        <v/>
      </c>
      <c r="CW574" s="539" t="str">
        <f t="shared" si="1704"/>
        <v/>
      </c>
      <c r="CX574" s="539" t="str">
        <f t="shared" si="1704"/>
        <v/>
      </c>
      <c r="CY574" s="539" t="str">
        <f t="shared" si="1704"/>
        <v/>
      </c>
      <c r="CZ574" s="539" t="str">
        <f t="shared" si="1704"/>
        <v/>
      </c>
      <c r="DA574" s="539" t="str">
        <f t="shared" si="1704"/>
        <v/>
      </c>
      <c r="DB574" s="538" t="str">
        <f t="shared" si="1704"/>
        <v/>
      </c>
      <c r="DC574" s="537" t="str">
        <f t="shared" si="1705"/>
        <v/>
      </c>
      <c r="DD574" s="875">
        <f t="shared" si="1675"/>
        <v>0</v>
      </c>
      <c r="DE574" s="830">
        <f t="shared" si="1676"/>
        <v>0</v>
      </c>
      <c r="DF574" s="830">
        <f t="shared" si="1677"/>
        <v>0</v>
      </c>
      <c r="DG574" s="830">
        <f t="shared" si="1678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394" t="s">
        <v>731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>
        <v>1</v>
      </c>
      <c r="V575" s="215">
        <v>1</v>
      </c>
      <c r="W575" s="215"/>
      <c r="X575" s="215">
        <v>1</v>
      </c>
      <c r="Y575" s="215">
        <v>1</v>
      </c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>
        <v>1</v>
      </c>
      <c r="AO575" s="215"/>
      <c r="AP575" s="215"/>
      <c r="AQ575" s="215"/>
      <c r="AR575" s="215"/>
      <c r="AS575" s="215">
        <v>1</v>
      </c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/>
      <c r="BF575" s="215"/>
      <c r="BG575" s="215"/>
      <c r="BH575" s="215"/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91"/>
        <v/>
      </c>
      <c r="CA575" s="873">
        <f t="shared" si="1692"/>
        <v>1</v>
      </c>
      <c r="CB575" s="873" t="str">
        <f t="shared" si="1693"/>
        <v/>
      </c>
      <c r="CC575" s="874" t="str">
        <f t="shared" si="1694"/>
        <v/>
      </c>
      <c r="CD575" s="79" t="str">
        <f t="shared" si="1703"/>
        <v/>
      </c>
      <c r="CE575" s="80" t="str">
        <f t="shared" si="1703"/>
        <v/>
      </c>
      <c r="CF575" s="80" t="str">
        <f t="shared" si="1703"/>
        <v/>
      </c>
      <c r="CG575" s="80" t="str">
        <f t="shared" si="1703"/>
        <v/>
      </c>
      <c r="CH575" s="145">
        <f t="shared" si="1703"/>
        <v>1</v>
      </c>
      <c r="CI575" s="145">
        <f t="shared" si="1703"/>
        <v>1</v>
      </c>
      <c r="CJ575" s="80" t="str">
        <f t="shared" si="1703"/>
        <v/>
      </c>
      <c r="CK575" s="80" t="str">
        <f t="shared" si="1703"/>
        <v/>
      </c>
      <c r="CL575" s="80" t="str">
        <f t="shared" si="1703"/>
        <v/>
      </c>
      <c r="CM575" s="79" t="str">
        <f t="shared" si="1703"/>
        <v/>
      </c>
      <c r="CN575" s="538" t="str">
        <f t="shared" si="1704"/>
        <v/>
      </c>
      <c r="CO575" s="539" t="str">
        <f t="shared" si="1704"/>
        <v/>
      </c>
      <c r="CP575" s="539" t="str">
        <f t="shared" si="1704"/>
        <v/>
      </c>
      <c r="CQ575" s="539" t="str">
        <f t="shared" si="1704"/>
        <v/>
      </c>
      <c r="CR575" s="539" t="str">
        <f t="shared" si="1704"/>
        <v/>
      </c>
      <c r="CS575" s="539" t="str">
        <f t="shared" si="1704"/>
        <v/>
      </c>
      <c r="CT575" s="540" t="str">
        <f t="shared" si="1704"/>
        <v/>
      </c>
      <c r="CU575" s="540">
        <f t="shared" si="1704"/>
        <v>2</v>
      </c>
      <c r="CV575" s="540" t="str">
        <f t="shared" si="1704"/>
        <v/>
      </c>
      <c r="CW575" s="539" t="str">
        <f t="shared" si="1704"/>
        <v/>
      </c>
      <c r="CX575" s="539" t="str">
        <f t="shared" si="1704"/>
        <v/>
      </c>
      <c r="CY575" s="539" t="str">
        <f t="shared" si="1704"/>
        <v/>
      </c>
      <c r="CZ575" s="539" t="str">
        <f t="shared" si="1704"/>
        <v/>
      </c>
      <c r="DA575" s="539" t="str">
        <f t="shared" si="1704"/>
        <v/>
      </c>
      <c r="DB575" s="538" t="str">
        <f t="shared" si="1704"/>
        <v/>
      </c>
      <c r="DC575" s="537" t="str">
        <f t="shared" si="1705"/>
        <v/>
      </c>
      <c r="DD575" s="875">
        <f t="shared" si="1675"/>
        <v>0</v>
      </c>
      <c r="DE575" s="830">
        <f t="shared" si="1676"/>
        <v>4</v>
      </c>
      <c r="DF575" s="830">
        <f t="shared" si="1677"/>
        <v>2</v>
      </c>
      <c r="DG575" s="830">
        <f t="shared" si="1678"/>
        <v>1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289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/>
      <c r="BK576" s="215">
        <v>12</v>
      </c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91"/>
        <v/>
      </c>
      <c r="CA576" s="873">
        <f t="shared" si="1692"/>
        <v>36</v>
      </c>
      <c r="CB576" s="873" t="str">
        <f t="shared" si="1693"/>
        <v/>
      </c>
      <c r="CC576" s="874" t="str">
        <f t="shared" si="1694"/>
        <v/>
      </c>
      <c r="CD576" s="79" t="str">
        <f t="shared" si="1703"/>
        <v/>
      </c>
      <c r="CE576" s="80" t="str">
        <f t="shared" si="1703"/>
        <v/>
      </c>
      <c r="CF576" s="80" t="str">
        <f t="shared" si="1703"/>
        <v/>
      </c>
      <c r="CG576" s="80" t="str">
        <f t="shared" si="1703"/>
        <v/>
      </c>
      <c r="CH576" s="145">
        <f t="shared" si="1703"/>
        <v>9</v>
      </c>
      <c r="CI576" s="145">
        <f t="shared" si="1703"/>
        <v>12</v>
      </c>
      <c r="CJ576" s="80" t="str">
        <f t="shared" si="1703"/>
        <v/>
      </c>
      <c r="CK576" s="80" t="str">
        <f t="shared" si="1703"/>
        <v/>
      </c>
      <c r="CL576" s="80" t="str">
        <f t="shared" si="1703"/>
        <v/>
      </c>
      <c r="CM576" s="79" t="str">
        <f t="shared" si="1703"/>
        <v/>
      </c>
      <c r="CN576" s="538" t="str">
        <f t="shared" si="1704"/>
        <v/>
      </c>
      <c r="CO576" s="539" t="str">
        <f t="shared" si="1704"/>
        <v/>
      </c>
      <c r="CP576" s="539" t="str">
        <f t="shared" si="1704"/>
        <v/>
      </c>
      <c r="CQ576" s="539" t="str">
        <f t="shared" si="1704"/>
        <v/>
      </c>
      <c r="CR576" s="539" t="str">
        <f t="shared" si="1704"/>
        <v/>
      </c>
      <c r="CS576" s="539" t="str">
        <f t="shared" si="1704"/>
        <v/>
      </c>
      <c r="CT576" s="540" t="str">
        <f t="shared" si="1704"/>
        <v/>
      </c>
      <c r="CU576" s="540">
        <f t="shared" si="1704"/>
        <v>12</v>
      </c>
      <c r="CV576" s="540" t="str">
        <f t="shared" si="1704"/>
        <v/>
      </c>
      <c r="CW576" s="539" t="str">
        <f t="shared" si="1704"/>
        <v/>
      </c>
      <c r="CX576" s="539" t="str">
        <f t="shared" si="1704"/>
        <v/>
      </c>
      <c r="CY576" s="539" t="str">
        <f t="shared" si="1704"/>
        <v/>
      </c>
      <c r="CZ576" s="539" t="str">
        <f t="shared" si="1704"/>
        <v/>
      </c>
      <c r="DA576" s="539" t="str">
        <f t="shared" si="1704"/>
        <v/>
      </c>
      <c r="DB576" s="538" t="str">
        <f t="shared" si="1704"/>
        <v/>
      </c>
      <c r="DC576" s="537" t="str">
        <f t="shared" si="1705"/>
        <v/>
      </c>
      <c r="DD576" s="875">
        <f t="shared" si="1675"/>
        <v>0</v>
      </c>
      <c r="DE576" s="830">
        <f t="shared" si="1676"/>
        <v>4</v>
      </c>
      <c r="DF576" s="830">
        <f t="shared" si="1677"/>
        <v>2</v>
      </c>
      <c r="DG576" s="830">
        <f t="shared" si="1678"/>
        <v>1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284</v>
      </c>
      <c r="B577" s="747">
        <f>230*$K$1</f>
        <v>962.96399999999994</v>
      </c>
      <c r="C577" s="747">
        <f t="shared" ref="C577:K577" si="1710">230*$K$1</f>
        <v>962.96399999999994</v>
      </c>
      <c r="D577" s="747">
        <f t="shared" si="1710"/>
        <v>962.96399999999994</v>
      </c>
      <c r="E577" s="747">
        <f t="shared" si="1710"/>
        <v>962.96399999999994</v>
      </c>
      <c r="F577" s="747">
        <f t="shared" si="1710"/>
        <v>962.96399999999994</v>
      </c>
      <c r="G577" s="747">
        <f t="shared" si="1710"/>
        <v>962.96399999999994</v>
      </c>
      <c r="H577" s="747">
        <f t="shared" si="1710"/>
        <v>962.96399999999994</v>
      </c>
      <c r="I577" s="747">
        <f t="shared" si="1710"/>
        <v>962.96399999999994</v>
      </c>
      <c r="J577" s="747">
        <f t="shared" si="1710"/>
        <v>962.96399999999994</v>
      </c>
      <c r="K577" s="747">
        <f t="shared" si="1710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11">230*$K$1</f>
        <v>962.96399999999994</v>
      </c>
      <c r="V577" s="747">
        <f t="shared" si="1711"/>
        <v>962.96399999999994</v>
      </c>
      <c r="W577" s="747">
        <f t="shared" si="1711"/>
        <v>962.96399999999994</v>
      </c>
      <c r="X577" s="747">
        <f t="shared" si="1711"/>
        <v>962.96399999999994</v>
      </c>
      <c r="Y577" s="747">
        <f t="shared" si="1711"/>
        <v>962.96399999999994</v>
      </c>
      <c r="Z577" s="747">
        <f t="shared" si="1711"/>
        <v>962.96399999999994</v>
      </c>
      <c r="AA577" s="747">
        <f t="shared" si="1711"/>
        <v>962.96399999999994</v>
      </c>
      <c r="AB577" s="747">
        <f t="shared" si="1711"/>
        <v>962.96399999999994</v>
      </c>
      <c r="AC577" s="747">
        <f t="shared" si="1711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2">230*$K$1</f>
        <v>962.96399999999994</v>
      </c>
      <c r="AN577" s="747">
        <f t="shared" si="1712"/>
        <v>962.96399999999994</v>
      </c>
      <c r="AO577" s="747">
        <f t="shared" si="1712"/>
        <v>962.96399999999994</v>
      </c>
      <c r="AP577" s="747">
        <f t="shared" si="1712"/>
        <v>962.96399999999994</v>
      </c>
      <c r="AQ577" s="747">
        <f t="shared" si="1712"/>
        <v>962.96399999999994</v>
      </c>
      <c r="AR577" s="747">
        <f t="shared" si="1712"/>
        <v>962.96399999999994</v>
      </c>
      <c r="AS577" s="747">
        <f t="shared" si="1712"/>
        <v>962.96399999999994</v>
      </c>
      <c r="AT577" s="747">
        <f t="shared" si="1712"/>
        <v>962.96399999999994</v>
      </c>
      <c r="AU577" s="747">
        <f t="shared" si="1712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3">230*$K$1</f>
        <v>962.96399999999994</v>
      </c>
      <c r="BF577" s="747">
        <f t="shared" si="1713"/>
        <v>962.96399999999994</v>
      </c>
      <c r="BG577" s="747">
        <f t="shared" si="1713"/>
        <v>962.96399999999994</v>
      </c>
      <c r="BH577" s="747">
        <f t="shared" si="1713"/>
        <v>962.96399999999994</v>
      </c>
      <c r="BI577" s="747">
        <f t="shared" si="1713"/>
        <v>962.96399999999994</v>
      </c>
      <c r="BJ577" s="747">
        <f t="shared" si="1713"/>
        <v>962.96399999999994</v>
      </c>
      <c r="BK577" s="747">
        <f t="shared" si="1713"/>
        <v>962.96399999999994</v>
      </c>
      <c r="BL577" s="747">
        <f t="shared" si="1713"/>
        <v>962.96399999999994</v>
      </c>
      <c r="BM577" s="747">
        <f t="shared" si="1713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3"/>
        <v>962.96399999999994</v>
      </c>
      <c r="BW577" s="747">
        <f t="shared" si="1713"/>
        <v>962.96399999999994</v>
      </c>
      <c r="BX577" s="747">
        <f t="shared" si="1713"/>
        <v>962.96399999999994</v>
      </c>
      <c r="BY577" s="747">
        <f t="shared" si="1713"/>
        <v>962.96399999999994</v>
      </c>
      <c r="BZ577" s="873">
        <f t="shared" si="1691"/>
        <v>962.96399999999994</v>
      </c>
      <c r="CA577" s="873">
        <f t="shared" si="1692"/>
        <v>962.96399999999994</v>
      </c>
      <c r="CB577" s="873">
        <f t="shared" si="1693"/>
        <v>962.96399999999994</v>
      </c>
      <c r="CC577" s="874">
        <f t="shared" si="1694"/>
        <v>962.96399999999994</v>
      </c>
      <c r="CD577" s="79">
        <f t="shared" si="1703"/>
        <v>962.96399999999994</v>
      </c>
      <c r="CE577" s="80">
        <f t="shared" si="1703"/>
        <v>962.96399999999994</v>
      </c>
      <c r="CF577" s="80">
        <f t="shared" si="1703"/>
        <v>962.96399999999994</v>
      </c>
      <c r="CG577" s="80">
        <f t="shared" si="1703"/>
        <v>962.96399999999994</v>
      </c>
      <c r="CH577" s="145">
        <f t="shared" si="1703"/>
        <v>962.96399999999994</v>
      </c>
      <c r="CI577" s="145">
        <f t="shared" si="1703"/>
        <v>962.96399999999994</v>
      </c>
      <c r="CJ577" s="80">
        <f t="shared" si="1703"/>
        <v>962.96399999999994</v>
      </c>
      <c r="CK577" s="80">
        <f t="shared" si="1703"/>
        <v>962.96399999999994</v>
      </c>
      <c r="CL577" s="80">
        <f t="shared" si="1703"/>
        <v>962.96399999999994</v>
      </c>
      <c r="CM577" s="79">
        <f t="shared" si="1703"/>
        <v>962.96399999999994</v>
      </c>
      <c r="CN577" s="538" t="str">
        <f t="shared" si="1704"/>
        <v/>
      </c>
      <c r="CO577" s="539" t="str">
        <f t="shared" si="1704"/>
        <v/>
      </c>
      <c r="CP577" s="539" t="str">
        <f t="shared" si="1704"/>
        <v/>
      </c>
      <c r="CQ577" s="539">
        <f t="shared" si="1704"/>
        <v>962.96399999999994</v>
      </c>
      <c r="CR577" s="539">
        <f t="shared" si="1704"/>
        <v>962.96399999999994</v>
      </c>
      <c r="CS577" s="539">
        <f t="shared" si="1704"/>
        <v>962.96399999999994</v>
      </c>
      <c r="CT577" s="540">
        <f t="shared" si="1704"/>
        <v>962.96399999999994</v>
      </c>
      <c r="CU577" s="540">
        <f t="shared" si="1704"/>
        <v>962.96399999999994</v>
      </c>
      <c r="CV577" s="540">
        <f t="shared" si="1704"/>
        <v>962.96399999999994</v>
      </c>
      <c r="CW577" s="539">
        <f t="shared" si="1704"/>
        <v>962.96399999999994</v>
      </c>
      <c r="CX577" s="539">
        <f t="shared" si="1704"/>
        <v>962.96399999999994</v>
      </c>
      <c r="CY577" s="539">
        <f t="shared" si="1704"/>
        <v>962.96399999999994</v>
      </c>
      <c r="CZ577" s="539">
        <f t="shared" si="1704"/>
        <v>962.96399999999994</v>
      </c>
      <c r="DA577" s="539" t="str">
        <f t="shared" si="1704"/>
        <v/>
      </c>
      <c r="DB577" s="538" t="str">
        <f t="shared" si="1704"/>
        <v/>
      </c>
      <c r="DC577" s="537" t="str">
        <f t="shared" si="1705"/>
        <v/>
      </c>
      <c r="DD577" s="875">
        <f t="shared" si="1675"/>
        <v>10</v>
      </c>
      <c r="DE577" s="830">
        <f t="shared" si="1676"/>
        <v>10</v>
      </c>
      <c r="DF577" s="830">
        <f t="shared" si="1677"/>
        <v>10</v>
      </c>
      <c r="DG577" s="830">
        <f t="shared" si="1678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227</v>
      </c>
      <c r="B578" s="749" t="str">
        <f t="shared" ref="B578:K578" si="1714">IF(B576="","",B576*B577/B$46/365/$G$1)</f>
        <v/>
      </c>
      <c r="C578" s="749" t="str">
        <f t="shared" si="1714"/>
        <v/>
      </c>
      <c r="D578" s="749" t="str">
        <f t="shared" si="1714"/>
        <v/>
      </c>
      <c r="E578" s="749" t="str">
        <f t="shared" si="1714"/>
        <v/>
      </c>
      <c r="F578" s="749" t="str">
        <f t="shared" si="1714"/>
        <v/>
      </c>
      <c r="G578" s="749" t="str">
        <f t="shared" si="1714"/>
        <v/>
      </c>
      <c r="H578" s="749" t="str">
        <f t="shared" si="1714"/>
        <v/>
      </c>
      <c r="I578" s="749" t="str">
        <f t="shared" si="1714"/>
        <v/>
      </c>
      <c r="J578" s="749" t="str">
        <f t="shared" si="1714"/>
        <v/>
      </c>
      <c r="K578" s="749" t="str">
        <f t="shared" si="1714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5">IF(T576="","",T576*T577/T$46/365/$G$1)</f>
        <v/>
      </c>
      <c r="U578" s="749">
        <f t="shared" si="1715"/>
        <v>3.8545970467888279E-4</v>
      </c>
      <c r="V578" s="749">
        <f t="shared" si="1715"/>
        <v>3.7308692403486918E-3</v>
      </c>
      <c r="W578" s="749" t="str">
        <f t="shared" si="1715"/>
        <v/>
      </c>
      <c r="X578" s="749">
        <f t="shared" si="1715"/>
        <v>2.2485149439601493E-3</v>
      </c>
      <c r="Y578" s="749">
        <f t="shared" si="1715"/>
        <v>3.5976239103362385E-4</v>
      </c>
      <c r="Z578" s="749" t="str">
        <f t="shared" si="1715"/>
        <v/>
      </c>
      <c r="AA578" s="749" t="str">
        <f t="shared" si="1715"/>
        <v/>
      </c>
      <c r="AB578" s="749" t="str">
        <f t="shared" si="1715"/>
        <v/>
      </c>
      <c r="AC578" s="749" t="str">
        <f t="shared" si="1715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6">IF(AL576="","",AL576*AL577/AL$46/365/$G$1)</f>
        <v/>
      </c>
      <c r="AM578" s="749" t="str">
        <f t="shared" si="1716"/>
        <v/>
      </c>
      <c r="AN578" s="749">
        <f t="shared" si="1716"/>
        <v>5.3964358655043585E-4</v>
      </c>
      <c r="AO578" s="749" t="str">
        <f t="shared" si="1716"/>
        <v/>
      </c>
      <c r="AP578" s="749" t="str">
        <f t="shared" si="1716"/>
        <v/>
      </c>
      <c r="AQ578" s="749" t="str">
        <f t="shared" si="1716"/>
        <v/>
      </c>
      <c r="AR578" s="749" t="str">
        <f t="shared" si="1716"/>
        <v/>
      </c>
      <c r="AS578" s="749">
        <f t="shared" si="1716"/>
        <v>3.5976239103362385E-4</v>
      </c>
      <c r="AT578" s="749" t="str">
        <f t="shared" si="1716"/>
        <v/>
      </c>
      <c r="AU578" s="749" t="str">
        <f t="shared" si="1716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7">IF(BD576="","",BD576*BD577/BD$46/365/$G$1)</f>
        <v/>
      </c>
      <c r="BE578" s="749" t="str">
        <f t="shared" si="1717"/>
        <v/>
      </c>
      <c r="BF578" s="749" t="str">
        <f t="shared" si="1717"/>
        <v/>
      </c>
      <c r="BG578" s="749" t="str">
        <f t="shared" si="1717"/>
        <v/>
      </c>
      <c r="BH578" s="749" t="str">
        <f t="shared" si="1717"/>
        <v/>
      </c>
      <c r="BI578" s="749" t="str">
        <f t="shared" si="1717"/>
        <v/>
      </c>
      <c r="BJ578" s="749" t="str">
        <f t="shared" si="1717"/>
        <v/>
      </c>
      <c r="BK578" s="749">
        <f t="shared" si="1717"/>
        <v>5.1394627290517691E-4</v>
      </c>
      <c r="BL578" s="749" t="str">
        <f t="shared" si="1717"/>
        <v/>
      </c>
      <c r="BM578" s="749" t="str">
        <f t="shared" si="1717"/>
        <v/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91"/>
        <v/>
      </c>
      <c r="CA578" s="611">
        <f t="shared" si="1692"/>
        <v>1.3169873243195161E-3</v>
      </c>
      <c r="CB578" s="611" t="str">
        <f t="shared" si="1693"/>
        <v/>
      </c>
      <c r="CC578" s="611" t="str">
        <f t="shared" si="1694"/>
        <v/>
      </c>
      <c r="CD578" s="1319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0" t="str">
        <f t="shared" si="1703"/>
        <v/>
      </c>
      <c r="CF578" s="1320" t="str">
        <f t="shared" si="1703"/>
        <v/>
      </c>
      <c r="CG578" s="1320" t="str">
        <f t="shared" si="1703"/>
        <v/>
      </c>
      <c r="CH578" s="1321">
        <f t="shared" si="1703"/>
        <v>3.5976239103362385E-4</v>
      </c>
      <c r="CI578" s="1321">
        <f t="shared" si="1703"/>
        <v>5.3964358655043585E-4</v>
      </c>
      <c r="CJ578" s="1320" t="str">
        <f t="shared" si="1703"/>
        <v/>
      </c>
      <c r="CK578" s="1320" t="str">
        <f t="shared" si="1703"/>
        <v/>
      </c>
      <c r="CL578" s="1320" t="str">
        <f t="shared" si="1703"/>
        <v/>
      </c>
      <c r="CM578" s="1319" t="str">
        <f t="shared" si="1703"/>
        <v/>
      </c>
      <c r="CN578" s="526" t="str">
        <f t="shared" si="1704"/>
        <v/>
      </c>
      <c r="CO578" s="527" t="str">
        <f t="shared" si="1704"/>
        <v/>
      </c>
      <c r="CP578" s="527" t="str">
        <f t="shared" si="1704"/>
        <v/>
      </c>
      <c r="CQ578" s="527" t="str">
        <f t="shared" si="1704"/>
        <v/>
      </c>
      <c r="CR578" s="527" t="str">
        <f t="shared" si="1704"/>
        <v/>
      </c>
      <c r="CS578" s="527" t="str">
        <f t="shared" si="1704"/>
        <v/>
      </c>
      <c r="CT578" s="528" t="str">
        <f t="shared" si="1704"/>
        <v/>
      </c>
      <c r="CU578" s="528">
        <f t="shared" si="1704"/>
        <v>5.1394627290517691E-4</v>
      </c>
      <c r="CV578" s="528" t="str">
        <f t="shared" si="1704"/>
        <v/>
      </c>
      <c r="CW578" s="527" t="str">
        <f t="shared" si="1704"/>
        <v/>
      </c>
      <c r="CX578" s="527" t="str">
        <f t="shared" si="1704"/>
        <v/>
      </c>
      <c r="CY578" s="527" t="str">
        <f t="shared" si="1704"/>
        <v/>
      </c>
      <c r="CZ578" s="527" t="str">
        <f t="shared" si="1704"/>
        <v/>
      </c>
      <c r="DA578" s="527" t="str">
        <f t="shared" si="1704"/>
        <v/>
      </c>
      <c r="DB578" s="526" t="str">
        <f t="shared" si="1704"/>
        <v/>
      </c>
      <c r="DC578" s="525" t="str">
        <f t="shared" si="1705"/>
        <v/>
      </c>
      <c r="DD578" s="641">
        <f t="shared" si="1675"/>
        <v>0</v>
      </c>
      <c r="DE578" s="95">
        <f t="shared" si="1676"/>
        <v>4</v>
      </c>
      <c r="DF578" s="95">
        <f t="shared" si="1677"/>
        <v>2</v>
      </c>
      <c r="DG578" s="95">
        <f t="shared" si="1678"/>
        <v>1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1" t="s">
        <v>288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3.33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>
        <v>5</v>
      </c>
      <c r="AO579" s="308"/>
      <c r="AP579" s="308"/>
      <c r="AQ579" s="308"/>
      <c r="AR579" s="308"/>
      <c r="AS579" s="308">
        <v>5</v>
      </c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>
        <v>5</v>
      </c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91"/>
        <v/>
      </c>
      <c r="CA579" s="873" t="str">
        <f t="shared" si="1692"/>
        <v/>
      </c>
      <c r="CB579" s="873" t="str">
        <f t="shared" si="1693"/>
        <v/>
      </c>
      <c r="CC579" s="874" t="str">
        <f t="shared" si="1694"/>
        <v/>
      </c>
      <c r="CD579" s="79" t="str">
        <f t="shared" si="1703"/>
        <v/>
      </c>
      <c r="CE579" s="80" t="str">
        <f t="shared" si="1703"/>
        <v/>
      </c>
      <c r="CF579" s="80" t="str">
        <f t="shared" si="1703"/>
        <v/>
      </c>
      <c r="CG579" s="80" t="str">
        <f t="shared" si="1703"/>
        <v/>
      </c>
      <c r="CH579" s="145">
        <f t="shared" si="1703"/>
        <v>5</v>
      </c>
      <c r="CI579" s="145">
        <f t="shared" si="1703"/>
        <v>5</v>
      </c>
      <c r="CJ579" s="80" t="str">
        <f t="shared" si="1703"/>
        <v/>
      </c>
      <c r="CK579" s="80" t="str">
        <f t="shared" si="1703"/>
        <v/>
      </c>
      <c r="CL579" s="80" t="str">
        <f t="shared" si="1703"/>
        <v/>
      </c>
      <c r="CM579" s="79" t="str">
        <f t="shared" si="1703"/>
        <v/>
      </c>
      <c r="CN579" s="538" t="str">
        <f t="shared" si="1704"/>
        <v/>
      </c>
      <c r="CO579" s="539" t="str">
        <f t="shared" si="1704"/>
        <v/>
      </c>
      <c r="CP579" s="539" t="str">
        <f t="shared" si="1704"/>
        <v/>
      </c>
      <c r="CQ579" s="539" t="str">
        <f t="shared" si="1704"/>
        <v/>
      </c>
      <c r="CR579" s="539" t="str">
        <f t="shared" si="1704"/>
        <v/>
      </c>
      <c r="CS579" s="539" t="str">
        <f t="shared" si="1704"/>
        <v/>
      </c>
      <c r="CT579" s="540" t="str">
        <f t="shared" si="1704"/>
        <v/>
      </c>
      <c r="CU579" s="540">
        <f t="shared" si="1704"/>
        <v>5</v>
      </c>
      <c r="CV579" s="540" t="str">
        <f t="shared" si="1704"/>
        <v/>
      </c>
      <c r="CW579" s="539" t="str">
        <f t="shared" si="1704"/>
        <v/>
      </c>
      <c r="CX579" s="539" t="str">
        <f t="shared" si="1704"/>
        <v/>
      </c>
      <c r="CY579" s="539" t="str">
        <f t="shared" si="1704"/>
        <v/>
      </c>
      <c r="CZ579" s="539" t="str">
        <f t="shared" si="1704"/>
        <v/>
      </c>
      <c r="DA579" s="539" t="str">
        <f t="shared" si="1704"/>
        <v/>
      </c>
      <c r="DB579" s="538" t="str">
        <f t="shared" si="1704"/>
        <v/>
      </c>
      <c r="DC579" s="537" t="str">
        <f t="shared" si="1705"/>
        <v/>
      </c>
      <c r="DD579" s="875">
        <f t="shared" si="1675"/>
        <v>0</v>
      </c>
      <c r="DE579" s="830">
        <f t="shared" si="1676"/>
        <v>1</v>
      </c>
      <c r="DF579" s="830">
        <f t="shared" si="1677"/>
        <v>2</v>
      </c>
      <c r="DG579" s="830">
        <f t="shared" si="1678"/>
        <v>1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286</v>
      </c>
      <c r="B580" s="746" t="str">
        <f>IF(B579="","",B575*B576*B579)</f>
        <v/>
      </c>
      <c r="C580" s="746" t="str">
        <f t="shared" ref="C580:K580" si="1718">IF(C579="","",C575*C576*C579)</f>
        <v/>
      </c>
      <c r="D580" s="746" t="str">
        <f t="shared" si="1718"/>
        <v/>
      </c>
      <c r="E580" s="746" t="str">
        <f t="shared" si="1718"/>
        <v/>
      </c>
      <c r="F580" s="746" t="str">
        <f t="shared" si="1718"/>
        <v/>
      </c>
      <c r="G580" s="746" t="str">
        <f t="shared" si="1718"/>
        <v/>
      </c>
      <c r="H580" s="746" t="str">
        <f t="shared" si="1718"/>
        <v/>
      </c>
      <c r="I580" s="746" t="str">
        <f t="shared" si="1718"/>
        <v/>
      </c>
      <c r="J580" s="746" t="str">
        <f t="shared" si="1718"/>
        <v/>
      </c>
      <c r="K580" s="746" t="str">
        <f t="shared" si="1718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>IF(T579="","",T575*T576*T579)</f>
        <v/>
      </c>
      <c r="U580" s="746" t="str">
        <f t="shared" ref="U580" si="1719">IF(U579="","",U575*U576*U579)</f>
        <v/>
      </c>
      <c r="V580" s="746" t="str">
        <f t="shared" ref="V580" si="1720">IF(V579="","",V575*V576*V579)</f>
        <v/>
      </c>
      <c r="W580" s="746" t="str">
        <f t="shared" ref="W580" si="1721">IF(W579="","",W575*W576*W579)</f>
        <v/>
      </c>
      <c r="X580" s="746">
        <f t="shared" ref="X580" si="1722">IF(X579="","",X575*X576*X579)</f>
        <v>199.8</v>
      </c>
      <c r="Y580" s="746" t="str">
        <f t="shared" ref="Y580" si="1723">IF(Y579="","",Y575*Y576*Y579)</f>
        <v/>
      </c>
      <c r="Z580" s="746" t="str">
        <f t="shared" ref="Z580" si="1724">IF(Z579="","",Z575*Z576*Z579)</f>
        <v/>
      </c>
      <c r="AA580" s="746" t="str">
        <f t="shared" ref="AA580" si="1725">IF(AA579="","",AA575*AA576*AA579)</f>
        <v/>
      </c>
      <c r="AB580" s="746" t="str">
        <f t="shared" ref="AB580" si="1726">IF(AB579="","",AB575*AB576*AB579)</f>
        <v/>
      </c>
      <c r="AC580" s="746" t="str">
        <f t="shared" ref="AC580" si="1727">IF(AC579="","",AC575*AC576*AC579)</f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>IF(AL579="","",AL575*AL576*AL579)</f>
        <v/>
      </c>
      <c r="AM580" s="746" t="str">
        <f t="shared" ref="AM580" si="1728">IF(AM579="","",AM575*AM576*AM579)</f>
        <v/>
      </c>
      <c r="AN580" s="746">
        <f t="shared" ref="AN580" si="1729">IF(AN579="","",AN575*AN576*AN579)</f>
        <v>45</v>
      </c>
      <c r="AO580" s="746" t="str">
        <f t="shared" ref="AO580" si="1730">IF(AO579="","",AO575*AO576*AO579)</f>
        <v/>
      </c>
      <c r="AP580" s="746" t="str">
        <f t="shared" ref="AP580" si="1731">IF(AP579="","",AP575*AP576*AP579)</f>
        <v/>
      </c>
      <c r="AQ580" s="746" t="str">
        <f t="shared" ref="AQ580" si="1732">IF(AQ579="","",AQ575*AQ576*AQ579)</f>
        <v/>
      </c>
      <c r="AR580" s="746" t="str">
        <f t="shared" ref="AR580" si="1733">IF(AR579="","",AR575*AR576*AR579)</f>
        <v/>
      </c>
      <c r="AS580" s="746">
        <f t="shared" ref="AS580" si="1734">IF(AS579="","",AS575*AS576*AS579)</f>
        <v>60</v>
      </c>
      <c r="AT580" s="746" t="str">
        <f t="shared" ref="AT580" si="1735">IF(AT579="","",AT575*AT576*AT579)</f>
        <v/>
      </c>
      <c r="AU580" s="746" t="str">
        <f t="shared" ref="AU580" si="1736">IF(AU579="","",AU575*AU576*AU579)</f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>IF(BD579="","",BD575*BD576*BD579)</f>
        <v/>
      </c>
      <c r="BE580" s="746" t="str">
        <f t="shared" ref="BE580" si="1737">IF(BE579="","",BE575*BE576*BE579)</f>
        <v/>
      </c>
      <c r="BF580" s="746" t="str">
        <f t="shared" ref="BF580" si="1738">IF(BF579="","",BF575*BF576*BF579)</f>
        <v/>
      </c>
      <c r="BG580" s="746" t="str">
        <f t="shared" ref="BG580" si="1739">IF(BG579="","",BG575*BG576*BG579)</f>
        <v/>
      </c>
      <c r="BH580" s="746" t="str">
        <f t="shared" ref="BH580" si="1740">IF(BH579="","",BH575*BH576*BH579)</f>
        <v/>
      </c>
      <c r="BI580" s="746" t="str">
        <f t="shared" ref="BI580" si="1741">IF(BI579="","",BI575*BI576*BI579)</f>
        <v/>
      </c>
      <c r="BJ580" s="746" t="str">
        <f t="shared" ref="BJ580" si="1742">IF(BJ579="","",BJ575*BJ576*BJ579)</f>
        <v/>
      </c>
      <c r="BK580" s="746">
        <f t="shared" ref="BK580" si="1743">IF(BK579="","",BK575*BK576*BK579)</f>
        <v>120</v>
      </c>
      <c r="BL580" s="746" t="str">
        <f t="shared" ref="BL580" si="1744">IF(BL579="","",BL575*BL576*BL579)</f>
        <v/>
      </c>
      <c r="BM580" s="746" t="str">
        <f t="shared" ref="BM580" si="1745">IF(BM579="","",BM575*BM576*BM579)</f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IF(BV579="","",BV575*BV576*BV579)</f>
        <v/>
      </c>
      <c r="BW580" s="746" t="str">
        <f t="shared" ref="BW580:BY580" si="1746">IF(BW579="","",BW575*BW576*BW579)</f>
        <v/>
      </c>
      <c r="BX580" s="746" t="str">
        <f t="shared" si="1746"/>
        <v/>
      </c>
      <c r="BY580" s="746" t="str">
        <f t="shared" si="1746"/>
        <v/>
      </c>
      <c r="BZ580" s="873" t="str">
        <f t="shared" si="1691"/>
        <v/>
      </c>
      <c r="CA580" s="873" t="str">
        <f t="shared" si="1692"/>
        <v/>
      </c>
      <c r="CB580" s="873" t="str">
        <f t="shared" si="1693"/>
        <v/>
      </c>
      <c r="CC580" s="874" t="str">
        <f t="shared" si="1694"/>
        <v/>
      </c>
      <c r="CD580" s="79" t="str">
        <f t="shared" si="1703"/>
        <v/>
      </c>
      <c r="CE580" s="80" t="str">
        <f t="shared" si="1703"/>
        <v/>
      </c>
      <c r="CF580" s="80" t="str">
        <f t="shared" si="1703"/>
        <v/>
      </c>
      <c r="CG580" s="80" t="str">
        <f t="shared" si="1703"/>
        <v/>
      </c>
      <c r="CH580" s="145">
        <f t="shared" si="1703"/>
        <v>45</v>
      </c>
      <c r="CI580" s="145">
        <f t="shared" si="1703"/>
        <v>60</v>
      </c>
      <c r="CJ580" s="80" t="str">
        <f t="shared" si="1703"/>
        <v/>
      </c>
      <c r="CK580" s="80" t="str">
        <f t="shared" si="1703"/>
        <v/>
      </c>
      <c r="CL580" s="80" t="str">
        <f t="shared" si="1703"/>
        <v/>
      </c>
      <c r="CM580" s="79" t="str">
        <f t="shared" si="1703"/>
        <v/>
      </c>
      <c r="CN580" s="538" t="str">
        <f t="shared" si="1704"/>
        <v/>
      </c>
      <c r="CO580" s="539" t="str">
        <f t="shared" si="1704"/>
        <v/>
      </c>
      <c r="CP580" s="539" t="str">
        <f t="shared" si="1704"/>
        <v/>
      </c>
      <c r="CQ580" s="539" t="str">
        <f t="shared" si="1704"/>
        <v/>
      </c>
      <c r="CR580" s="539" t="str">
        <f t="shared" si="1704"/>
        <v/>
      </c>
      <c r="CS580" s="539" t="str">
        <f t="shared" si="1704"/>
        <v/>
      </c>
      <c r="CT580" s="540" t="str">
        <f t="shared" si="1704"/>
        <v/>
      </c>
      <c r="CU580" s="540">
        <f t="shared" si="1704"/>
        <v>120</v>
      </c>
      <c r="CV580" s="540" t="str">
        <f t="shared" si="1704"/>
        <v/>
      </c>
      <c r="CW580" s="539" t="str">
        <f t="shared" si="1704"/>
        <v/>
      </c>
      <c r="CX580" s="539" t="str">
        <f t="shared" si="1704"/>
        <v/>
      </c>
      <c r="CY580" s="539" t="str">
        <f t="shared" si="1704"/>
        <v/>
      </c>
      <c r="CZ580" s="539" t="str">
        <f t="shared" si="1704"/>
        <v/>
      </c>
      <c r="DA580" s="539" t="str">
        <f t="shared" si="1704"/>
        <v/>
      </c>
      <c r="DB580" s="538" t="str">
        <f t="shared" si="1704"/>
        <v/>
      </c>
      <c r="DC580" s="537" t="str">
        <f t="shared" si="1705"/>
        <v/>
      </c>
      <c r="DD580" s="875">
        <f t="shared" si="1675"/>
        <v>0</v>
      </c>
      <c r="DE580" s="830">
        <f t="shared" si="1676"/>
        <v>1</v>
      </c>
      <c r="DF580" s="830">
        <f t="shared" si="1677"/>
        <v>2</v>
      </c>
      <c r="DG580" s="830">
        <f t="shared" si="1678"/>
        <v>1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590" t="s">
        <v>941</v>
      </c>
      <c r="B581" s="666"/>
      <c r="C581" s="666"/>
      <c r="D581" s="666"/>
      <c r="E581" s="666"/>
      <c r="F581" s="666"/>
      <c r="G581" s="666"/>
      <c r="H581" s="666"/>
      <c r="I581" s="666"/>
      <c r="J581" s="666"/>
      <c r="K581" s="666"/>
      <c r="L581" s="308"/>
      <c r="M581" s="308"/>
      <c r="N581" s="308"/>
      <c r="O581" s="308"/>
      <c r="P581" s="308"/>
      <c r="Q581" s="308"/>
      <c r="R581" s="308"/>
      <c r="S581" s="630"/>
      <c r="T581" s="284"/>
      <c r="U581" s="284"/>
      <c r="V581" s="284"/>
      <c r="W581" s="284"/>
      <c r="X581" s="284"/>
      <c r="Y581" s="284"/>
      <c r="Z581" s="308"/>
      <c r="AA581" s="308"/>
      <c r="AB581" s="308"/>
      <c r="AC581" s="308"/>
      <c r="AD581" s="308"/>
      <c r="AE581" s="308"/>
      <c r="AF581" s="308"/>
      <c r="AG581" s="666"/>
      <c r="AH581" s="666"/>
      <c r="AI581" s="666"/>
      <c r="AJ581" s="666"/>
      <c r="AK581" s="630"/>
      <c r="AL581" s="284"/>
      <c r="AM581" s="284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30"/>
      <c r="BD581" s="308"/>
      <c r="BE581" s="308"/>
      <c r="BF581" s="308"/>
      <c r="BG581" s="284"/>
      <c r="BH581" s="284"/>
      <c r="BI581" s="284"/>
      <c r="BJ581" s="284"/>
      <c r="BK581" s="284"/>
      <c r="BL581" s="284"/>
      <c r="BM581" s="284"/>
      <c r="BN581" s="308"/>
      <c r="BO581" s="308"/>
      <c r="BP581" s="308"/>
      <c r="BQ581" s="308"/>
      <c r="BR581" s="308"/>
      <c r="BS581" s="308"/>
      <c r="BT581" s="308"/>
      <c r="BU581" s="630"/>
      <c r="BV581" s="284"/>
      <c r="BW581" s="284"/>
      <c r="BX581" s="284"/>
      <c r="BY581" s="284"/>
      <c r="BZ581" s="873" t="str">
        <f t="shared" si="1691"/>
        <v/>
      </c>
      <c r="CA581" s="873" t="str">
        <f t="shared" si="1692"/>
        <v/>
      </c>
      <c r="CB581" s="873" t="str">
        <f t="shared" si="1693"/>
        <v/>
      </c>
      <c r="CC581" s="874" t="str">
        <f t="shared" si="1694"/>
        <v/>
      </c>
      <c r="CD581" s="79" t="str">
        <f t="shared" si="1703"/>
        <v/>
      </c>
      <c r="CE581" s="80" t="str">
        <f t="shared" si="1703"/>
        <v/>
      </c>
      <c r="CF581" s="80" t="str">
        <f t="shared" si="1703"/>
        <v/>
      </c>
      <c r="CG581" s="80" t="str">
        <f t="shared" si="1703"/>
        <v/>
      </c>
      <c r="CH581" s="145" t="str">
        <f t="shared" si="1703"/>
        <v/>
      </c>
      <c r="CI581" s="145" t="str">
        <f t="shared" si="1703"/>
        <v/>
      </c>
      <c r="CJ581" s="80" t="str">
        <f t="shared" si="1703"/>
        <v/>
      </c>
      <c r="CK581" s="80" t="str">
        <f t="shared" si="1703"/>
        <v/>
      </c>
      <c r="CL581" s="80" t="str">
        <f t="shared" si="1703"/>
        <v/>
      </c>
      <c r="CM581" s="79" t="str">
        <f t="shared" si="1703"/>
        <v/>
      </c>
      <c r="CN581" s="538" t="str">
        <f t="shared" si="1704"/>
        <v/>
      </c>
      <c r="CO581" s="539" t="str">
        <f t="shared" si="1704"/>
        <v/>
      </c>
      <c r="CP581" s="539" t="str">
        <f t="shared" si="1704"/>
        <v/>
      </c>
      <c r="CQ581" s="539" t="str">
        <f t="shared" si="1704"/>
        <v/>
      </c>
      <c r="CR581" s="539" t="str">
        <f t="shared" si="1704"/>
        <v/>
      </c>
      <c r="CS581" s="539" t="str">
        <f t="shared" si="1704"/>
        <v/>
      </c>
      <c r="CT581" s="540" t="str">
        <f t="shared" si="1704"/>
        <v/>
      </c>
      <c r="CU581" s="540" t="str">
        <f t="shared" si="1704"/>
        <v/>
      </c>
      <c r="CV581" s="540" t="str">
        <f t="shared" si="1704"/>
        <v/>
      </c>
      <c r="CW581" s="539" t="str">
        <f t="shared" si="1704"/>
        <v/>
      </c>
      <c r="CX581" s="539" t="str">
        <f t="shared" si="1704"/>
        <v/>
      </c>
      <c r="CY581" s="539" t="str">
        <f t="shared" si="1704"/>
        <v/>
      </c>
      <c r="CZ581" s="539" t="str">
        <f t="shared" si="1704"/>
        <v/>
      </c>
      <c r="DA581" s="539" t="str">
        <f t="shared" si="1704"/>
        <v/>
      </c>
      <c r="DB581" s="538" t="str">
        <f t="shared" si="1704"/>
        <v/>
      </c>
      <c r="DC581" s="537" t="str">
        <f t="shared" si="1705"/>
        <v/>
      </c>
      <c r="DD581" s="875">
        <f t="shared" si="1675"/>
        <v>0</v>
      </c>
      <c r="DE581" s="830">
        <f t="shared" si="1676"/>
        <v>0</v>
      </c>
      <c r="DF581" s="830">
        <f t="shared" si="1677"/>
        <v>0</v>
      </c>
      <c r="DG581" s="830">
        <f t="shared" si="1678"/>
        <v>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289</v>
      </c>
      <c r="B582" s="666"/>
      <c r="C582" s="672"/>
      <c r="D582" s="284"/>
      <c r="E582" s="672"/>
      <c r="F582" s="284"/>
      <c r="G582" s="672"/>
      <c r="H582" s="284"/>
      <c r="I582" s="672"/>
      <c r="J582" s="284"/>
      <c r="K582" s="672"/>
      <c r="L582" s="629"/>
      <c r="M582" s="629"/>
      <c r="N582" s="629"/>
      <c r="O582" s="629"/>
      <c r="P582" s="629"/>
      <c r="Q582" s="629"/>
      <c r="R582" s="629"/>
      <c r="S582" s="692"/>
      <c r="T582" s="672"/>
      <c r="U582" s="284"/>
      <c r="V582" s="672"/>
      <c r="W582" s="284"/>
      <c r="X582" s="672"/>
      <c r="Y582" s="284"/>
      <c r="Z582" s="672"/>
      <c r="AA582" s="284"/>
      <c r="AB582" s="672"/>
      <c r="AC582" s="284"/>
      <c r="AD582" s="629"/>
      <c r="AE582" s="629"/>
      <c r="AF582" s="629"/>
      <c r="AG582" s="631"/>
      <c r="AH582" s="631"/>
      <c r="AI582" s="631"/>
      <c r="AJ582" s="631"/>
      <c r="AK582" s="692"/>
      <c r="AL582" s="672"/>
      <c r="AM582" s="284"/>
      <c r="AN582" s="672"/>
      <c r="AO582" s="284"/>
      <c r="AP582" s="672"/>
      <c r="AQ582" s="284"/>
      <c r="AR582" s="672"/>
      <c r="AS582" s="284"/>
      <c r="AT582" s="672"/>
      <c r="AU582" s="284"/>
      <c r="AV582" s="629"/>
      <c r="AW582" s="629"/>
      <c r="AX582" s="629"/>
      <c r="AY582" s="629"/>
      <c r="AZ582" s="629"/>
      <c r="BA582" s="629"/>
      <c r="BB582" s="629"/>
      <c r="BC582" s="692"/>
      <c r="BD582" s="672"/>
      <c r="BE582" s="672"/>
      <c r="BF582" s="284"/>
      <c r="BG582" s="672"/>
      <c r="BH582" s="284"/>
      <c r="BI582" s="672"/>
      <c r="BJ582" s="284"/>
      <c r="BK582" s="672"/>
      <c r="BL582" s="284"/>
      <c r="BM582" s="672"/>
      <c r="BN582" s="629"/>
      <c r="BO582" s="629"/>
      <c r="BP582" s="629"/>
      <c r="BQ582" s="629"/>
      <c r="BR582" s="629"/>
      <c r="BS582" s="629"/>
      <c r="BT582" s="629"/>
      <c r="BU582" s="692"/>
      <c r="BV582" s="672"/>
      <c r="BW582" s="284"/>
      <c r="BX582" s="672"/>
      <c r="BY582" s="284"/>
      <c r="BZ582" s="873" t="str">
        <f t="shared" si="1691"/>
        <v/>
      </c>
      <c r="CA582" s="873" t="str">
        <f t="shared" si="1692"/>
        <v/>
      </c>
      <c r="CB582" s="873" t="str">
        <f t="shared" si="1693"/>
        <v/>
      </c>
      <c r="CC582" s="874" t="str">
        <f t="shared" si="1694"/>
        <v/>
      </c>
      <c r="CD582" s="79" t="str">
        <f t="shared" si="1703"/>
        <v/>
      </c>
      <c r="CE582" s="80" t="str">
        <f t="shared" si="1703"/>
        <v/>
      </c>
      <c r="CF582" s="80" t="str">
        <f t="shared" si="1703"/>
        <v/>
      </c>
      <c r="CG582" s="80" t="str">
        <f t="shared" si="1703"/>
        <v/>
      </c>
      <c r="CH582" s="145" t="str">
        <f t="shared" si="1703"/>
        <v/>
      </c>
      <c r="CI582" s="145" t="str">
        <f t="shared" si="1703"/>
        <v/>
      </c>
      <c r="CJ582" s="80" t="str">
        <f t="shared" si="1703"/>
        <v/>
      </c>
      <c r="CK582" s="80" t="str">
        <f t="shared" si="1703"/>
        <v/>
      </c>
      <c r="CL582" s="80" t="str">
        <f t="shared" si="1703"/>
        <v/>
      </c>
      <c r="CM582" s="79" t="str">
        <f t="shared" si="1703"/>
        <v/>
      </c>
      <c r="CN582" s="538" t="str">
        <f t="shared" si="1704"/>
        <v/>
      </c>
      <c r="CO582" s="539" t="str">
        <f t="shared" si="1704"/>
        <v/>
      </c>
      <c r="CP582" s="539" t="str">
        <f t="shared" si="1704"/>
        <v/>
      </c>
      <c r="CQ582" s="539" t="str">
        <f t="shared" si="1704"/>
        <v/>
      </c>
      <c r="CR582" s="539" t="str">
        <f t="shared" si="1704"/>
        <v/>
      </c>
      <c r="CS582" s="539" t="str">
        <f t="shared" si="1704"/>
        <v/>
      </c>
      <c r="CT582" s="540" t="str">
        <f t="shared" si="1704"/>
        <v/>
      </c>
      <c r="CU582" s="540" t="str">
        <f t="shared" si="1704"/>
        <v/>
      </c>
      <c r="CV582" s="540" t="str">
        <f t="shared" si="1704"/>
        <v/>
      </c>
      <c r="CW582" s="539" t="str">
        <f t="shared" si="1704"/>
        <v/>
      </c>
      <c r="CX582" s="539" t="str">
        <f t="shared" si="1704"/>
        <v/>
      </c>
      <c r="CY582" s="539" t="str">
        <f t="shared" si="1704"/>
        <v/>
      </c>
      <c r="CZ582" s="539" t="str">
        <f t="shared" si="1704"/>
        <v/>
      </c>
      <c r="DA582" s="539" t="str">
        <f t="shared" si="1704"/>
        <v/>
      </c>
      <c r="DB582" s="538" t="str">
        <f t="shared" si="1704"/>
        <v/>
      </c>
      <c r="DC582" s="537" t="str">
        <f t="shared" si="1705"/>
        <v/>
      </c>
      <c r="DD582" s="875">
        <f t="shared" ref="DD582:DD592" si="1747">COUNT(B582:R582)</f>
        <v>0</v>
      </c>
      <c r="DE582" s="830">
        <f t="shared" ref="DE582:DE592" si="1748">COUNT(T582:AJ582)</f>
        <v>0</v>
      </c>
      <c r="DF582" s="830">
        <f t="shared" ref="DF582:DF592" si="1749">COUNT(AL582:BB582)</f>
        <v>0</v>
      </c>
      <c r="DG582" s="830">
        <f t="shared" ref="DG582:DG592" si="1750">COUNT(BD582:BT582)</f>
        <v>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284</v>
      </c>
      <c r="B583" s="747">
        <f>2670*$K$1</f>
        <v>11178.755999999999</v>
      </c>
      <c r="C583" s="747">
        <f t="shared" ref="C583:K583" si="1751">2670*$K$1</f>
        <v>11178.755999999999</v>
      </c>
      <c r="D583" s="747">
        <f t="shared" si="1751"/>
        <v>11178.755999999999</v>
      </c>
      <c r="E583" s="747">
        <f t="shared" si="1751"/>
        <v>11178.755999999999</v>
      </c>
      <c r="F583" s="747">
        <f t="shared" si="1751"/>
        <v>11178.755999999999</v>
      </c>
      <c r="G583" s="747">
        <f t="shared" si="1751"/>
        <v>11178.755999999999</v>
      </c>
      <c r="H583" s="747">
        <f t="shared" si="1751"/>
        <v>11178.755999999999</v>
      </c>
      <c r="I583" s="747">
        <f t="shared" si="1751"/>
        <v>11178.755999999999</v>
      </c>
      <c r="J583" s="747">
        <f t="shared" si="1751"/>
        <v>11178.755999999999</v>
      </c>
      <c r="K583" s="747">
        <f t="shared" si="1751"/>
        <v>11178.755999999999</v>
      </c>
      <c r="L583" s="747"/>
      <c r="M583" s="747"/>
      <c r="N583" s="747"/>
      <c r="O583" s="747"/>
      <c r="P583" s="747"/>
      <c r="Q583" s="747"/>
      <c r="R583" s="747"/>
      <c r="S583" s="591"/>
      <c r="T583" s="747">
        <f>2670*$K$1</f>
        <v>11178.755999999999</v>
      </c>
      <c r="U583" s="747">
        <f t="shared" ref="U583:AC583" si="1752">2670*$K$1</f>
        <v>11178.755999999999</v>
      </c>
      <c r="V583" s="747">
        <f t="shared" si="1752"/>
        <v>11178.755999999999</v>
      </c>
      <c r="W583" s="747">
        <f t="shared" si="1752"/>
        <v>11178.755999999999</v>
      </c>
      <c r="X583" s="747">
        <f t="shared" si="1752"/>
        <v>11178.755999999999</v>
      </c>
      <c r="Y583" s="747">
        <f t="shared" si="1752"/>
        <v>11178.755999999999</v>
      </c>
      <c r="Z583" s="747">
        <f t="shared" si="1752"/>
        <v>11178.755999999999</v>
      </c>
      <c r="AA583" s="747">
        <f t="shared" si="1752"/>
        <v>11178.755999999999</v>
      </c>
      <c r="AB583" s="747">
        <f t="shared" si="1752"/>
        <v>11178.755999999999</v>
      </c>
      <c r="AC583" s="747">
        <f t="shared" si="1752"/>
        <v>11178.755999999999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2670*$K$1</f>
        <v>11178.755999999999</v>
      </c>
      <c r="AM583" s="747">
        <f t="shared" ref="AM583:AU583" si="1753">2670*$K$1</f>
        <v>11178.755999999999</v>
      </c>
      <c r="AN583" s="747">
        <f t="shared" si="1753"/>
        <v>11178.755999999999</v>
      </c>
      <c r="AO583" s="747">
        <f t="shared" si="1753"/>
        <v>11178.755999999999</v>
      </c>
      <c r="AP583" s="747">
        <f t="shared" si="1753"/>
        <v>11178.755999999999</v>
      </c>
      <c r="AQ583" s="747">
        <f t="shared" si="1753"/>
        <v>11178.755999999999</v>
      </c>
      <c r="AR583" s="747">
        <f t="shared" si="1753"/>
        <v>11178.755999999999</v>
      </c>
      <c r="AS583" s="747">
        <f t="shared" si="1753"/>
        <v>11178.755999999999</v>
      </c>
      <c r="AT583" s="747">
        <f t="shared" si="1753"/>
        <v>11178.755999999999</v>
      </c>
      <c r="AU583" s="747">
        <f t="shared" si="1753"/>
        <v>11178.755999999999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2670*$K$1</f>
        <v>11178.755999999999</v>
      </c>
      <c r="BE583" s="747">
        <f t="shared" ref="BE583:BM583" si="1754">2670*$K$1</f>
        <v>11178.755999999999</v>
      </c>
      <c r="BF583" s="747">
        <f t="shared" si="1754"/>
        <v>11178.755999999999</v>
      </c>
      <c r="BG583" s="747">
        <f t="shared" si="1754"/>
        <v>11178.755999999999</v>
      </c>
      <c r="BH583" s="747">
        <f t="shared" si="1754"/>
        <v>11178.755999999999</v>
      </c>
      <c r="BI583" s="747">
        <f t="shared" si="1754"/>
        <v>11178.755999999999</v>
      </c>
      <c r="BJ583" s="747">
        <f t="shared" si="1754"/>
        <v>11178.755999999999</v>
      </c>
      <c r="BK583" s="747">
        <f t="shared" si="1754"/>
        <v>11178.755999999999</v>
      </c>
      <c r="BL583" s="747">
        <f t="shared" si="1754"/>
        <v>11178.755999999999</v>
      </c>
      <c r="BM583" s="747">
        <f t="shared" si="1754"/>
        <v>11178.755999999999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55">2670*$K$1</f>
        <v>11178.755999999999</v>
      </c>
      <c r="BW583" s="747">
        <f t="shared" si="1755"/>
        <v>11178.755999999999</v>
      </c>
      <c r="BX583" s="747">
        <f t="shared" si="1755"/>
        <v>11178.755999999999</v>
      </c>
      <c r="BY583" s="747">
        <f t="shared" si="1755"/>
        <v>11178.755999999999</v>
      </c>
      <c r="BZ583" s="873">
        <f t="shared" si="1691"/>
        <v>11178.755999999998</v>
      </c>
      <c r="CA583" s="873">
        <f t="shared" si="1692"/>
        <v>11178.755999999998</v>
      </c>
      <c r="CB583" s="873">
        <f t="shared" si="1693"/>
        <v>11178.755999999998</v>
      </c>
      <c r="CC583" s="874">
        <f t="shared" si="1694"/>
        <v>11178.755999999998</v>
      </c>
      <c r="CD583" s="79">
        <f t="shared" si="1703"/>
        <v>11178.755999999999</v>
      </c>
      <c r="CE583" s="80">
        <f t="shared" si="1703"/>
        <v>11178.755999999999</v>
      </c>
      <c r="CF583" s="80">
        <f t="shared" si="1703"/>
        <v>11178.755999999999</v>
      </c>
      <c r="CG583" s="80">
        <f t="shared" si="1703"/>
        <v>11178.755999999999</v>
      </c>
      <c r="CH583" s="145">
        <f t="shared" si="1703"/>
        <v>11178.755999999999</v>
      </c>
      <c r="CI583" s="145">
        <f t="shared" si="1703"/>
        <v>11178.755999999999</v>
      </c>
      <c r="CJ583" s="80">
        <f t="shared" si="1703"/>
        <v>11178.755999999999</v>
      </c>
      <c r="CK583" s="80">
        <f t="shared" si="1703"/>
        <v>11178.755999999999</v>
      </c>
      <c r="CL583" s="80">
        <f t="shared" si="1703"/>
        <v>11178.755999999999</v>
      </c>
      <c r="CM583" s="79">
        <f t="shared" si="1703"/>
        <v>11178.755999999999</v>
      </c>
      <c r="CN583" s="538" t="str">
        <f t="shared" si="1704"/>
        <v/>
      </c>
      <c r="CO583" s="539" t="str">
        <f t="shared" si="1704"/>
        <v/>
      </c>
      <c r="CP583" s="539" t="str">
        <f t="shared" si="1704"/>
        <v/>
      </c>
      <c r="CQ583" s="539">
        <f t="shared" si="1704"/>
        <v>11178.755999999999</v>
      </c>
      <c r="CR583" s="539">
        <f t="shared" si="1704"/>
        <v>11178.755999999999</v>
      </c>
      <c r="CS583" s="539">
        <f t="shared" si="1704"/>
        <v>11178.755999999999</v>
      </c>
      <c r="CT583" s="540">
        <f t="shared" si="1704"/>
        <v>11178.755999999999</v>
      </c>
      <c r="CU583" s="540">
        <f t="shared" si="1704"/>
        <v>11178.755999999999</v>
      </c>
      <c r="CV583" s="540">
        <f t="shared" si="1704"/>
        <v>11178.755999999999</v>
      </c>
      <c r="CW583" s="539">
        <f t="shared" si="1704"/>
        <v>11178.755999999999</v>
      </c>
      <c r="CX583" s="539">
        <f t="shared" si="1704"/>
        <v>11178.755999999999</v>
      </c>
      <c r="CY583" s="539">
        <f t="shared" si="1704"/>
        <v>11178.755999999999</v>
      </c>
      <c r="CZ583" s="539">
        <f t="shared" si="1704"/>
        <v>11178.755999999999</v>
      </c>
      <c r="DA583" s="539" t="str">
        <f t="shared" si="1704"/>
        <v/>
      </c>
      <c r="DB583" s="538" t="str">
        <f t="shared" si="1704"/>
        <v/>
      </c>
      <c r="DC583" s="537" t="str">
        <f t="shared" si="1705"/>
        <v/>
      </c>
      <c r="DD583" s="875">
        <f t="shared" si="1747"/>
        <v>10</v>
      </c>
      <c r="DE583" s="830">
        <f t="shared" si="1748"/>
        <v>10</v>
      </c>
      <c r="DF583" s="830">
        <f t="shared" si="1749"/>
        <v>10</v>
      </c>
      <c r="DG583" s="830">
        <f t="shared" si="1750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227</v>
      </c>
      <c r="B584" s="749" t="str">
        <f>IF(B582="","",B581*B582*B583/B$46/365/$G$1)</f>
        <v/>
      </c>
      <c r="C584" s="749" t="str">
        <f t="shared" ref="C584:K584" si="1756">IF(C582="","",C581*C582*C583/C$46/365/$G$1)</f>
        <v/>
      </c>
      <c r="D584" s="749" t="str">
        <f t="shared" si="1756"/>
        <v/>
      </c>
      <c r="E584" s="749" t="str">
        <f t="shared" si="1756"/>
        <v/>
      </c>
      <c r="F584" s="749" t="str">
        <f t="shared" si="1756"/>
        <v/>
      </c>
      <c r="G584" s="749" t="str">
        <f t="shared" si="1756"/>
        <v/>
      </c>
      <c r="H584" s="749" t="str">
        <f t="shared" si="1756"/>
        <v/>
      </c>
      <c r="I584" s="749" t="str">
        <f t="shared" si="1756"/>
        <v/>
      </c>
      <c r="J584" s="749" t="str">
        <f t="shared" si="1756"/>
        <v/>
      </c>
      <c r="K584" s="749" t="str">
        <f t="shared" si="1756"/>
        <v/>
      </c>
      <c r="L584" s="749"/>
      <c r="M584" s="749"/>
      <c r="N584" s="749"/>
      <c r="O584" s="749"/>
      <c r="P584" s="749"/>
      <c r="Q584" s="749"/>
      <c r="R584" s="749"/>
      <c r="S584" s="577"/>
      <c r="T584" s="749" t="str">
        <f>IF(T582="","",T581*T582*T583/T$46/365/$G$1)</f>
        <v/>
      </c>
      <c r="U584" s="749" t="str">
        <f t="shared" ref="U584" si="1757">IF(U582="","",U581*U582*U583/U$46/365/$G$1)</f>
        <v/>
      </c>
      <c r="V584" s="749" t="str">
        <f t="shared" ref="V584" si="1758">IF(V582="","",V581*V582*V583/V$46/365/$G$1)</f>
        <v/>
      </c>
      <c r="W584" s="749" t="str">
        <f t="shared" ref="W584" si="1759">IF(W582="","",W581*W582*W583/W$46/365/$G$1)</f>
        <v/>
      </c>
      <c r="X584" s="749" t="str">
        <f t="shared" ref="X584" si="1760">IF(X582="","",X581*X582*X583/X$46/365/$G$1)</f>
        <v/>
      </c>
      <c r="Y584" s="749" t="str">
        <f t="shared" ref="Y584" si="1761">IF(Y582="","",Y581*Y582*Y583/Y$46/365/$G$1)</f>
        <v/>
      </c>
      <c r="Z584" s="749" t="str">
        <f t="shared" ref="Z584" si="1762">IF(Z582="","",Z581*Z582*Z583/Z$46/365/$G$1)</f>
        <v/>
      </c>
      <c r="AA584" s="749" t="str">
        <f t="shared" ref="AA584" si="1763">IF(AA582="","",AA581*AA582*AA583/AA$46/365/$G$1)</f>
        <v/>
      </c>
      <c r="AB584" s="749" t="str">
        <f t="shared" ref="AB584" si="1764">IF(AB582="","",AB581*AB582*AB583/AB$46/365/$G$1)</f>
        <v/>
      </c>
      <c r="AC584" s="749" t="str">
        <f t="shared" ref="AC584" si="1765">IF(AC582="","",AC581*AC582*AC583/AC$46/365/$G$1)</f>
        <v/>
      </c>
      <c r="AD584" s="749"/>
      <c r="AE584" s="749"/>
      <c r="AF584" s="749"/>
      <c r="AG584" s="749"/>
      <c r="AH584" s="749"/>
      <c r="AI584" s="749"/>
      <c r="AJ584" s="749"/>
      <c r="AK584" s="577"/>
      <c r="AL584" s="749" t="str">
        <f>IF(AL582="","",AL581*AL582*AL583/AL$46/365/$G$1)</f>
        <v/>
      </c>
      <c r="AM584" s="749" t="str">
        <f t="shared" ref="AM584" si="1766">IF(AM582="","",AM581*AM582*AM583/AM$46/365/$G$1)</f>
        <v/>
      </c>
      <c r="AN584" s="749" t="str">
        <f t="shared" ref="AN584" si="1767">IF(AN582="","",AN581*AN582*AN583/AN$46/365/$G$1)</f>
        <v/>
      </c>
      <c r="AO584" s="749" t="str">
        <f t="shared" ref="AO584" si="1768">IF(AO582="","",AO581*AO582*AO583/AO$46/365/$G$1)</f>
        <v/>
      </c>
      <c r="AP584" s="749" t="str">
        <f t="shared" ref="AP584" si="1769">IF(AP582="","",AP581*AP582*AP583/AP$46/365/$G$1)</f>
        <v/>
      </c>
      <c r="AQ584" s="749" t="str">
        <f t="shared" ref="AQ584" si="1770">IF(AQ582="","",AQ581*AQ582*AQ583/AQ$46/365/$G$1)</f>
        <v/>
      </c>
      <c r="AR584" s="749" t="str">
        <f t="shared" ref="AR584" si="1771">IF(AR582="","",AR581*AR582*AR583/AR$46/365/$G$1)</f>
        <v/>
      </c>
      <c r="AS584" s="749" t="str">
        <f t="shared" ref="AS584" si="1772">IF(AS582="","",AS581*AS582*AS583/AS$46/365/$G$1)</f>
        <v/>
      </c>
      <c r="AT584" s="749" t="str">
        <f t="shared" ref="AT584" si="1773">IF(AT582="","",AT581*AT582*AT583/AT$46/365/$G$1)</f>
        <v/>
      </c>
      <c r="AU584" s="749" t="str">
        <f t="shared" ref="AU584" si="1774">IF(AU582="","",AU581*AU582*AU583/AU$46/365/$G$1)</f>
        <v/>
      </c>
      <c r="AV584" s="749"/>
      <c r="AW584" s="749"/>
      <c r="AX584" s="749"/>
      <c r="AY584" s="749"/>
      <c r="AZ584" s="749"/>
      <c r="BA584" s="749"/>
      <c r="BB584" s="749"/>
      <c r="BC584" s="640"/>
      <c r="BD584" s="749" t="str">
        <f>IF(BD582="","",BD581*BD582*BD583/BD$46/365/$G$1)</f>
        <v/>
      </c>
      <c r="BE584" s="749" t="str">
        <f t="shared" ref="BE584" si="1775">IF(BE582="","",BE581*BE582*BE583/BE$46/365/$G$1)</f>
        <v/>
      </c>
      <c r="BF584" s="749" t="str">
        <f t="shared" ref="BF584" si="1776">IF(BF582="","",BF581*BF582*BF583/BF$46/365/$G$1)</f>
        <v/>
      </c>
      <c r="BG584" s="749" t="str">
        <f t="shared" ref="BG584" si="1777">IF(BG582="","",BG581*BG582*BG583/BG$46/365/$G$1)</f>
        <v/>
      </c>
      <c r="BH584" s="749" t="str">
        <f t="shared" ref="BH584" si="1778">IF(BH582="","",BH581*BH582*BH583/BH$46/365/$G$1)</f>
        <v/>
      </c>
      <c r="BI584" s="749" t="str">
        <f t="shared" ref="BI584" si="1779">IF(BI582="","",BI581*BI582*BI583/BI$46/365/$G$1)</f>
        <v/>
      </c>
      <c r="BJ584" s="749" t="str">
        <f t="shared" ref="BJ584" si="1780">IF(BJ582="","",BJ581*BJ582*BJ583/BJ$46/365/$G$1)</f>
        <v/>
      </c>
      <c r="BK584" s="749" t="str">
        <f t="shared" ref="BK584" si="1781">IF(BK582="","",BK581*BK582*BK583/BK$46/365/$G$1)</f>
        <v/>
      </c>
      <c r="BL584" s="749" t="str">
        <f t="shared" ref="BL584" si="1782">IF(BL582="","",BL581*BL582*BL583/BL$46/365/$G$1)</f>
        <v/>
      </c>
      <c r="BM584" s="749" t="str">
        <f t="shared" ref="BM584" si="1783">IF(BM582="","",BM581*BM582*BM583/BM$46/365/$G$1)</f>
        <v/>
      </c>
      <c r="BN584" s="749"/>
      <c r="BO584" s="749"/>
      <c r="BP584" s="749"/>
      <c r="BQ584" s="749"/>
      <c r="BR584" s="749"/>
      <c r="BS584" s="749"/>
      <c r="BT584" s="749"/>
      <c r="BU584" s="640"/>
      <c r="BV584" s="749" t="str">
        <f t="shared" ref="BV584" si="1784">IF(BV582="","",BV581*BV582*BV583/BV$46/365/$G$1)</f>
        <v/>
      </c>
      <c r="BW584" s="749" t="str">
        <f t="shared" ref="BW584" si="1785">IF(BW582="","",BW581*BW582*BW583/BW$46/365/$G$1)</f>
        <v/>
      </c>
      <c r="BX584" s="749" t="str">
        <f t="shared" ref="BX584" si="1786">IF(BX582="","",BX581*BX582*BX583/BX$46/365/$G$1)</f>
        <v/>
      </c>
      <c r="BY584" s="749" t="str">
        <f t="shared" ref="BY584" si="1787">IF(BY582="","",BY581*BY582*BY583/BY$46/365/$G$1)</f>
        <v/>
      </c>
      <c r="BZ584" s="611" t="str">
        <f t="shared" si="1691"/>
        <v/>
      </c>
      <c r="CA584" s="611" t="str">
        <f t="shared" si="1692"/>
        <v/>
      </c>
      <c r="CB584" s="611" t="str">
        <f t="shared" si="1693"/>
        <v/>
      </c>
      <c r="CC584" s="611" t="str">
        <f t="shared" si="1694"/>
        <v/>
      </c>
      <c r="CD584" s="1319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0" t="str">
        <f t="shared" ref="CE584:CM592" si="17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0" t="str">
        <f t="shared" si="1788"/>
        <v/>
      </c>
      <c r="CG584" s="1320" t="str">
        <f t="shared" si="1788"/>
        <v/>
      </c>
      <c r="CH584" s="1321" t="str">
        <f t="shared" si="1788"/>
        <v/>
      </c>
      <c r="CI584" s="1321" t="str">
        <f t="shared" si="1788"/>
        <v/>
      </c>
      <c r="CJ584" s="1320" t="str">
        <f t="shared" si="1788"/>
        <v/>
      </c>
      <c r="CK584" s="1320" t="str">
        <f t="shared" si="1788"/>
        <v/>
      </c>
      <c r="CL584" s="1320" t="str">
        <f t="shared" si="1788"/>
        <v/>
      </c>
      <c r="CM584" s="1319" t="str">
        <f t="shared" si="1788"/>
        <v/>
      </c>
      <c r="CN584" s="526" t="str">
        <f t="shared" ref="CN584:DB595" si="1789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89"/>
        <v/>
      </c>
      <c r="CP584" s="527" t="str">
        <f t="shared" si="1789"/>
        <v/>
      </c>
      <c r="CQ584" s="527" t="str">
        <f t="shared" si="1789"/>
        <v/>
      </c>
      <c r="CR584" s="527" t="str">
        <f t="shared" si="1789"/>
        <v/>
      </c>
      <c r="CS584" s="527" t="str">
        <f t="shared" si="1789"/>
        <v/>
      </c>
      <c r="CT584" s="528" t="str">
        <f t="shared" si="1789"/>
        <v/>
      </c>
      <c r="CU584" s="528" t="str">
        <f t="shared" si="1789"/>
        <v/>
      </c>
      <c r="CV584" s="528" t="str">
        <f t="shared" si="1789"/>
        <v/>
      </c>
      <c r="CW584" s="527" t="str">
        <f t="shared" si="1789"/>
        <v/>
      </c>
      <c r="CX584" s="527" t="str">
        <f t="shared" si="1789"/>
        <v/>
      </c>
      <c r="CY584" s="527" t="str">
        <f t="shared" si="1789"/>
        <v/>
      </c>
      <c r="CZ584" s="527" t="str">
        <f t="shared" si="1789"/>
        <v/>
      </c>
      <c r="DA584" s="527" t="str">
        <f t="shared" si="1789"/>
        <v/>
      </c>
      <c r="DB584" s="526" t="str">
        <f t="shared" si="1789"/>
        <v/>
      </c>
      <c r="DC584" s="525" t="str">
        <f t="shared" ref="DC584:DC590" si="1790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47"/>
        <v>0</v>
      </c>
      <c r="DE584" s="95">
        <f t="shared" si="1748"/>
        <v>0</v>
      </c>
      <c r="DF584" s="95">
        <f t="shared" si="1749"/>
        <v>0</v>
      </c>
      <c r="DG584" s="95">
        <f t="shared" si="1750"/>
        <v>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1" t="s">
        <v>288</v>
      </c>
      <c r="B585" s="666"/>
      <c r="C585" s="631"/>
      <c r="D585" s="666"/>
      <c r="E585" s="631"/>
      <c r="F585" s="666"/>
      <c r="G585" s="631"/>
      <c r="H585" s="666"/>
      <c r="I585" s="631"/>
      <c r="J585" s="666"/>
      <c r="K585" s="631"/>
      <c r="L585" s="629"/>
      <c r="M585" s="629"/>
      <c r="N585" s="629"/>
      <c r="O585" s="629"/>
      <c r="P585" s="629"/>
      <c r="Q585" s="629"/>
      <c r="R585" s="629"/>
      <c r="S585" s="642"/>
      <c r="T585" s="631"/>
      <c r="U585" s="666"/>
      <c r="V585" s="631"/>
      <c r="W585" s="666"/>
      <c r="X585" s="631"/>
      <c r="Y585" s="666"/>
      <c r="Z585" s="631"/>
      <c r="AA585" s="666"/>
      <c r="AB585" s="631"/>
      <c r="AC585" s="666"/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/>
      <c r="AN585" s="631"/>
      <c r="AO585" s="666"/>
      <c r="AP585" s="631"/>
      <c r="AQ585" s="666"/>
      <c r="AR585" s="631"/>
      <c r="AS585" s="666"/>
      <c r="AT585" s="631"/>
      <c r="AU585" s="666"/>
      <c r="AV585" s="629"/>
      <c r="AW585" s="629"/>
      <c r="AX585" s="629"/>
      <c r="AY585" s="629"/>
      <c r="AZ585" s="629"/>
      <c r="BA585" s="629"/>
      <c r="BB585" s="629"/>
      <c r="BC585" s="642"/>
      <c r="BD585" s="631"/>
      <c r="BE585" s="631"/>
      <c r="BF585" s="666"/>
      <c r="BG585" s="631"/>
      <c r="BH585" s="666"/>
      <c r="BI585" s="631"/>
      <c r="BJ585" s="666"/>
      <c r="BK585" s="631"/>
      <c r="BL585" s="666"/>
      <c r="BM585" s="631"/>
      <c r="BN585" s="629"/>
      <c r="BO585" s="629"/>
      <c r="BP585" s="629"/>
      <c r="BQ585" s="629"/>
      <c r="BR585" s="629"/>
      <c r="BS585" s="629"/>
      <c r="BT585" s="629"/>
      <c r="BU585" s="642"/>
      <c r="BV585" s="631"/>
      <c r="BW585" s="666"/>
      <c r="BX585" s="631"/>
      <c r="BY585" s="666"/>
      <c r="BZ585" s="873" t="str">
        <f t="shared" si="1691"/>
        <v/>
      </c>
      <c r="CA585" s="873" t="str">
        <f t="shared" si="1692"/>
        <v/>
      </c>
      <c r="CB585" s="873" t="str">
        <f t="shared" si="1693"/>
        <v/>
      </c>
      <c r="CC585" s="874" t="str">
        <f t="shared" si="1694"/>
        <v/>
      </c>
      <c r="CD585" s="79" t="str">
        <f t="shared" si="1703"/>
        <v/>
      </c>
      <c r="CE585" s="80" t="str">
        <f t="shared" si="1788"/>
        <v/>
      </c>
      <c r="CF585" s="80" t="str">
        <f t="shared" si="1788"/>
        <v/>
      </c>
      <c r="CG585" s="80" t="str">
        <f t="shared" si="1788"/>
        <v/>
      </c>
      <c r="CH585" s="145" t="str">
        <f t="shared" si="1788"/>
        <v/>
      </c>
      <c r="CI585" s="145" t="str">
        <f t="shared" si="1788"/>
        <v/>
      </c>
      <c r="CJ585" s="80" t="str">
        <f t="shared" si="1788"/>
        <v/>
      </c>
      <c r="CK585" s="80" t="str">
        <f t="shared" si="1788"/>
        <v/>
      </c>
      <c r="CL585" s="80" t="str">
        <f t="shared" si="1788"/>
        <v/>
      </c>
      <c r="CM585" s="79" t="str">
        <f t="shared" si="1788"/>
        <v/>
      </c>
      <c r="CN585" s="538" t="str">
        <f t="shared" si="1704"/>
        <v/>
      </c>
      <c r="CO585" s="539" t="str">
        <f t="shared" si="1704"/>
        <v/>
      </c>
      <c r="CP585" s="539" t="str">
        <f t="shared" si="1704"/>
        <v/>
      </c>
      <c r="CQ585" s="539" t="str">
        <f t="shared" si="1704"/>
        <v/>
      </c>
      <c r="CR585" s="539" t="str">
        <f t="shared" si="1704"/>
        <v/>
      </c>
      <c r="CS585" s="539" t="str">
        <f t="shared" si="1704"/>
        <v/>
      </c>
      <c r="CT585" s="540" t="str">
        <f t="shared" si="1704"/>
        <v/>
      </c>
      <c r="CU585" s="540" t="str">
        <f t="shared" si="1704"/>
        <v/>
      </c>
      <c r="CV585" s="540" t="str">
        <f t="shared" si="1704"/>
        <v/>
      </c>
      <c r="CW585" s="539" t="str">
        <f t="shared" si="1704"/>
        <v/>
      </c>
      <c r="CX585" s="539" t="str">
        <f t="shared" si="1704"/>
        <v/>
      </c>
      <c r="CY585" s="539" t="str">
        <f t="shared" si="1704"/>
        <v/>
      </c>
      <c r="CZ585" s="539" t="str">
        <f t="shared" si="1704"/>
        <v/>
      </c>
      <c r="DA585" s="539" t="str">
        <f t="shared" si="1704"/>
        <v/>
      </c>
      <c r="DB585" s="538" t="str">
        <f t="shared" si="1789"/>
        <v/>
      </c>
      <c r="DC585" s="537" t="str">
        <f t="shared" si="1705"/>
        <v/>
      </c>
      <c r="DD585" s="875">
        <f t="shared" si="1747"/>
        <v>0</v>
      </c>
      <c r="DE585" s="830">
        <f t="shared" si="1748"/>
        <v>0</v>
      </c>
      <c r="DF585" s="830">
        <f t="shared" si="1749"/>
        <v>0</v>
      </c>
      <c r="DG585" s="830">
        <f t="shared" si="1750"/>
        <v>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286</v>
      </c>
      <c r="B586" s="746" t="str">
        <f>IF(B585="","",B581*B582*B585)</f>
        <v/>
      </c>
      <c r="C586" s="746" t="str">
        <f t="shared" ref="C586:K586" si="1791">IF(C585="","",C581*C582*C585)</f>
        <v/>
      </c>
      <c r="D586" s="746" t="str">
        <f t="shared" si="1791"/>
        <v/>
      </c>
      <c r="E586" s="746" t="str">
        <f t="shared" si="1791"/>
        <v/>
      </c>
      <c r="F586" s="746" t="str">
        <f t="shared" si="1791"/>
        <v/>
      </c>
      <c r="G586" s="746" t="str">
        <f t="shared" si="1791"/>
        <v/>
      </c>
      <c r="H586" s="746" t="str">
        <f t="shared" si="1791"/>
        <v/>
      </c>
      <c r="I586" s="746" t="str">
        <f t="shared" si="1791"/>
        <v/>
      </c>
      <c r="J586" s="746" t="str">
        <f t="shared" si="1791"/>
        <v/>
      </c>
      <c r="K586" s="746" t="str">
        <f t="shared" si="1791"/>
        <v/>
      </c>
      <c r="L586" s="746"/>
      <c r="M586" s="746"/>
      <c r="N586" s="746"/>
      <c r="O586" s="746"/>
      <c r="P586" s="746"/>
      <c r="Q586" s="746"/>
      <c r="R586" s="746"/>
      <c r="S586" s="750"/>
      <c r="T586" s="746" t="str">
        <f>IF(T585="","",T581*T582*T585)</f>
        <v/>
      </c>
      <c r="U586" s="746" t="str">
        <f t="shared" ref="U586" si="1792">IF(U585="","",U581*U582*U585)</f>
        <v/>
      </c>
      <c r="V586" s="746" t="str">
        <f t="shared" ref="V586" si="1793">IF(V585="","",V581*V582*V585)</f>
        <v/>
      </c>
      <c r="W586" s="746" t="str">
        <f t="shared" ref="W586" si="1794">IF(W585="","",W581*W582*W585)</f>
        <v/>
      </c>
      <c r="X586" s="746" t="str">
        <f t="shared" ref="X586" si="1795">IF(X585="","",X581*X582*X585)</f>
        <v/>
      </c>
      <c r="Y586" s="746" t="str">
        <f t="shared" ref="Y586" si="1796">IF(Y585="","",Y581*Y582*Y585)</f>
        <v/>
      </c>
      <c r="Z586" s="746" t="str">
        <f t="shared" ref="Z586" si="1797">IF(Z585="","",Z581*Z582*Z585)</f>
        <v/>
      </c>
      <c r="AA586" s="746" t="str">
        <f t="shared" ref="AA586" si="1798">IF(AA585="","",AA581*AA582*AA585)</f>
        <v/>
      </c>
      <c r="AB586" s="746" t="str">
        <f t="shared" ref="AB586" si="1799">IF(AB585="","",AB581*AB582*AB585)</f>
        <v/>
      </c>
      <c r="AC586" s="746" t="str">
        <f t="shared" ref="AC586" si="1800">IF(AC585="","",AC581*AC582*AC585)</f>
        <v/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 t="str">
        <f t="shared" ref="AM586" si="1801">IF(AM585="","",AM581*AM582*AM585)</f>
        <v/>
      </c>
      <c r="AN586" s="746" t="str">
        <f t="shared" ref="AN586" si="1802">IF(AN585="","",AN581*AN582*AN585)</f>
        <v/>
      </c>
      <c r="AO586" s="746" t="str">
        <f t="shared" ref="AO586" si="1803">IF(AO585="","",AO581*AO582*AO585)</f>
        <v/>
      </c>
      <c r="AP586" s="746" t="str">
        <f t="shared" ref="AP586" si="1804">IF(AP585="","",AP581*AP582*AP585)</f>
        <v/>
      </c>
      <c r="AQ586" s="746" t="str">
        <f t="shared" ref="AQ586" si="1805">IF(AQ585="","",AQ581*AQ582*AQ585)</f>
        <v/>
      </c>
      <c r="AR586" s="746" t="str">
        <f t="shared" ref="AR586" si="1806">IF(AR585="","",AR581*AR582*AR585)</f>
        <v/>
      </c>
      <c r="AS586" s="746" t="str">
        <f t="shared" ref="AS586" si="1807">IF(AS585="","",AS581*AS582*AS585)</f>
        <v/>
      </c>
      <c r="AT586" s="746" t="str">
        <f t="shared" ref="AT586" si="1808">IF(AT585="","",AT581*AT582*AT585)</f>
        <v/>
      </c>
      <c r="AU586" s="746" t="str">
        <f t="shared" ref="AU586" si="1809">IF(AU585="","",AU581*AU582*AU585)</f>
        <v/>
      </c>
      <c r="AV586" s="746"/>
      <c r="AW586" s="746"/>
      <c r="AX586" s="746"/>
      <c r="AY586" s="746"/>
      <c r="AZ586" s="746"/>
      <c r="BA586" s="746"/>
      <c r="BB586" s="746"/>
      <c r="BC586" s="750"/>
      <c r="BD586" s="746" t="str">
        <f>IF(BD585="","",BD581*BD582*BD585)</f>
        <v/>
      </c>
      <c r="BE586" s="746" t="str">
        <f t="shared" ref="BE586" si="1810">IF(BE585="","",BE581*BE582*BE585)</f>
        <v/>
      </c>
      <c r="BF586" s="746" t="str">
        <f t="shared" ref="BF586" si="1811">IF(BF585="","",BF581*BF582*BF585)</f>
        <v/>
      </c>
      <c r="BG586" s="746" t="str">
        <f t="shared" ref="BG586" si="1812">IF(BG585="","",BG581*BG582*BG585)</f>
        <v/>
      </c>
      <c r="BH586" s="746" t="str">
        <f t="shared" ref="BH586" si="1813">IF(BH585="","",BH581*BH582*BH585)</f>
        <v/>
      </c>
      <c r="BI586" s="746" t="str">
        <f t="shared" ref="BI586" si="1814">IF(BI585="","",BI581*BI582*BI585)</f>
        <v/>
      </c>
      <c r="BJ586" s="746" t="str">
        <f t="shared" ref="BJ586" si="1815">IF(BJ585="","",BJ581*BJ582*BJ585)</f>
        <v/>
      </c>
      <c r="BK586" s="746" t="str">
        <f t="shared" ref="BK586" si="1816">IF(BK585="","",BK581*BK582*BK585)</f>
        <v/>
      </c>
      <c r="BL586" s="746" t="str">
        <f t="shared" ref="BL586" si="1817">IF(BL585="","",BL581*BL582*BL585)</f>
        <v/>
      </c>
      <c r="BM586" s="746" t="str">
        <f t="shared" ref="BM586" si="1818">IF(BM585="","",BM581*BM582*BM585)</f>
        <v/>
      </c>
      <c r="BN586" s="746"/>
      <c r="BO586" s="746"/>
      <c r="BP586" s="746"/>
      <c r="BQ586" s="746"/>
      <c r="BR586" s="746"/>
      <c r="BS586" s="746"/>
      <c r="BT586" s="746"/>
      <c r="BU586" s="750"/>
      <c r="BV586" s="746" t="str">
        <f t="shared" ref="BV586" si="1819">IF(BV585="","",BV581*BV582*BV585)</f>
        <v/>
      </c>
      <c r="BW586" s="746" t="str">
        <f t="shared" ref="BW586" si="1820">IF(BW585="","",BW581*BW582*BW585)</f>
        <v/>
      </c>
      <c r="BX586" s="746" t="str">
        <f t="shared" ref="BX586" si="1821">IF(BX585="","",BX581*BX582*BX585)</f>
        <v/>
      </c>
      <c r="BY586" s="746" t="str">
        <f t="shared" ref="BY586" si="1822">IF(BY585="","",BY581*BY582*BY585)</f>
        <v/>
      </c>
      <c r="BZ586" s="873" t="str">
        <f t="shared" si="1691"/>
        <v/>
      </c>
      <c r="CA586" s="873" t="str">
        <f t="shared" si="1692"/>
        <v/>
      </c>
      <c r="CB586" s="873" t="str">
        <f t="shared" si="1693"/>
        <v/>
      </c>
      <c r="CC586" s="874" t="str">
        <f t="shared" si="1694"/>
        <v/>
      </c>
      <c r="CD586" s="79" t="str">
        <f t="shared" ref="CD586:CD592" si="18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88"/>
        <v/>
      </c>
      <c r="CF586" s="80" t="str">
        <f t="shared" si="1788"/>
        <v/>
      </c>
      <c r="CG586" s="80" t="str">
        <f t="shared" si="1788"/>
        <v/>
      </c>
      <c r="CH586" s="145" t="str">
        <f t="shared" si="1788"/>
        <v/>
      </c>
      <c r="CI586" s="145" t="str">
        <f t="shared" si="1788"/>
        <v/>
      </c>
      <c r="CJ586" s="80" t="str">
        <f t="shared" si="1788"/>
        <v/>
      </c>
      <c r="CK586" s="80" t="str">
        <f t="shared" si="1788"/>
        <v/>
      </c>
      <c r="CL586" s="80" t="str">
        <f t="shared" si="1788"/>
        <v/>
      </c>
      <c r="CM586" s="79" t="str">
        <f t="shared" si="1788"/>
        <v/>
      </c>
      <c r="CN586" s="538" t="str">
        <f t="shared" ref="CN586:DA586" si="1824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824"/>
        <v/>
      </c>
      <c r="CP586" s="539" t="str">
        <f t="shared" si="1824"/>
        <v/>
      </c>
      <c r="CQ586" s="539" t="str">
        <f t="shared" si="1824"/>
        <v/>
      </c>
      <c r="CR586" s="539" t="str">
        <f t="shared" si="1824"/>
        <v/>
      </c>
      <c r="CS586" s="539" t="str">
        <f t="shared" si="1824"/>
        <v/>
      </c>
      <c r="CT586" s="540" t="str">
        <f t="shared" si="1824"/>
        <v/>
      </c>
      <c r="CU586" s="540" t="str">
        <f t="shared" si="1824"/>
        <v/>
      </c>
      <c r="CV586" s="540" t="str">
        <f t="shared" si="1824"/>
        <v/>
      </c>
      <c r="CW586" s="539" t="str">
        <f t="shared" si="1824"/>
        <v/>
      </c>
      <c r="CX586" s="539" t="str">
        <f t="shared" si="1824"/>
        <v/>
      </c>
      <c r="CY586" s="539" t="str">
        <f t="shared" si="1824"/>
        <v/>
      </c>
      <c r="CZ586" s="539" t="str">
        <f t="shared" si="1824"/>
        <v/>
      </c>
      <c r="DA586" s="539" t="str">
        <f t="shared" si="1824"/>
        <v/>
      </c>
      <c r="DB586" s="538" t="str">
        <f t="shared" si="1789"/>
        <v/>
      </c>
      <c r="DC586" s="537" t="str">
        <f t="shared" si="1705"/>
        <v/>
      </c>
      <c r="DD586" s="875">
        <f t="shared" si="1747"/>
        <v>0</v>
      </c>
      <c r="DE586" s="830">
        <f t="shared" si="1748"/>
        <v>0</v>
      </c>
      <c r="DF586" s="830">
        <f t="shared" si="1749"/>
        <v>0</v>
      </c>
      <c r="DG586" s="830">
        <f t="shared" si="1750"/>
        <v>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394" t="s">
        <v>733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91"/>
        <v/>
      </c>
      <c r="CA587" s="873" t="str">
        <f t="shared" si="1692"/>
        <v/>
      </c>
      <c r="CB587" s="873" t="str">
        <f t="shared" si="1693"/>
        <v/>
      </c>
      <c r="CC587" s="874">
        <f t="shared" si="1694"/>
        <v>0.5</v>
      </c>
      <c r="CD587" s="79" t="str">
        <f t="shared" si="1823"/>
        <v/>
      </c>
      <c r="CE587" s="80" t="str">
        <f t="shared" si="1788"/>
        <v/>
      </c>
      <c r="CF587" s="80" t="str">
        <f t="shared" si="1788"/>
        <v/>
      </c>
      <c r="CG587" s="80" t="str">
        <f t="shared" si="1788"/>
        <v/>
      </c>
      <c r="CH587" s="145">
        <f t="shared" si="1788"/>
        <v>0.5</v>
      </c>
      <c r="CI587" s="145" t="str">
        <f t="shared" si="1788"/>
        <v/>
      </c>
      <c r="CJ587" s="80" t="str">
        <f t="shared" si="1788"/>
        <v/>
      </c>
      <c r="CK587" s="80" t="str">
        <f t="shared" si="1788"/>
        <v/>
      </c>
      <c r="CL587" s="80" t="str">
        <f t="shared" si="1788"/>
        <v/>
      </c>
      <c r="CM587" s="79" t="str">
        <f t="shared" si="1788"/>
        <v/>
      </c>
      <c r="CN587" s="538" t="str">
        <f t="shared" si="1789"/>
        <v/>
      </c>
      <c r="CO587" s="539" t="str">
        <f t="shared" si="1789"/>
        <v/>
      </c>
      <c r="CP587" s="539" t="str">
        <f t="shared" si="1789"/>
        <v/>
      </c>
      <c r="CQ587" s="539" t="str">
        <f t="shared" si="1789"/>
        <v/>
      </c>
      <c r="CR587" s="539" t="str">
        <f t="shared" si="1789"/>
        <v/>
      </c>
      <c r="CS587" s="539" t="str">
        <f t="shared" si="1789"/>
        <v/>
      </c>
      <c r="CT587" s="540">
        <f t="shared" si="1789"/>
        <v>0.5</v>
      </c>
      <c r="CU587" s="540">
        <f t="shared" si="1789"/>
        <v>0.5</v>
      </c>
      <c r="CV587" s="540">
        <f t="shared" si="1789"/>
        <v>0.5</v>
      </c>
      <c r="CW587" s="539">
        <f t="shared" si="1789"/>
        <v>1</v>
      </c>
      <c r="CX587" s="539" t="str">
        <f t="shared" si="1789"/>
        <v/>
      </c>
      <c r="CY587" s="539" t="str">
        <f t="shared" si="1789"/>
        <v/>
      </c>
      <c r="CZ587" s="539" t="str">
        <f t="shared" si="1789"/>
        <v/>
      </c>
      <c r="DA587" s="539" t="str">
        <f t="shared" si="1789"/>
        <v/>
      </c>
      <c r="DB587" s="538" t="str">
        <f t="shared" si="1789"/>
        <v/>
      </c>
      <c r="DC587" s="537" t="str">
        <f t="shared" si="1705"/>
        <v/>
      </c>
      <c r="DD587" s="875">
        <f t="shared" ref="DD587" si="1825">COUNT(B587:R587)</f>
        <v>0</v>
      </c>
      <c r="DE587" s="830">
        <f t="shared" ref="DE587" si="1826">COUNT(T587:AJ587)</f>
        <v>0</v>
      </c>
      <c r="DF587" s="830">
        <f t="shared" ref="DF587" si="1827">COUNT(AL587:BB587)</f>
        <v>1</v>
      </c>
      <c r="DG587" s="830">
        <f t="shared" ref="DG587" si="1828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289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91"/>
        <v/>
      </c>
      <c r="CA588" s="873" t="str">
        <f t="shared" si="1692"/>
        <v/>
      </c>
      <c r="CB588" s="873" t="str">
        <f t="shared" si="1693"/>
        <v/>
      </c>
      <c r="CC588" s="874">
        <f t="shared" si="1694"/>
        <v>11</v>
      </c>
      <c r="CD588" s="79" t="str">
        <f t="shared" si="1823"/>
        <v/>
      </c>
      <c r="CE588" s="80" t="str">
        <f t="shared" si="1788"/>
        <v/>
      </c>
      <c r="CF588" s="80" t="str">
        <f t="shared" si="1788"/>
        <v/>
      </c>
      <c r="CG588" s="80" t="str">
        <f t="shared" si="1788"/>
        <v/>
      </c>
      <c r="CH588" s="145">
        <f t="shared" si="1788"/>
        <v>12</v>
      </c>
      <c r="CI588" s="145" t="str">
        <f t="shared" si="1788"/>
        <v/>
      </c>
      <c r="CJ588" s="80" t="str">
        <f t="shared" si="1788"/>
        <v/>
      </c>
      <c r="CK588" s="80" t="str">
        <f t="shared" si="1788"/>
        <v/>
      </c>
      <c r="CL588" s="80" t="str">
        <f t="shared" si="1788"/>
        <v/>
      </c>
      <c r="CM588" s="79" t="str">
        <f t="shared" si="1788"/>
        <v/>
      </c>
      <c r="CN588" s="538" t="str">
        <f t="shared" si="1789"/>
        <v/>
      </c>
      <c r="CO588" s="539" t="str">
        <f t="shared" si="1789"/>
        <v/>
      </c>
      <c r="CP588" s="539" t="str">
        <f t="shared" si="1789"/>
        <v/>
      </c>
      <c r="CQ588" s="539" t="str">
        <f t="shared" si="1789"/>
        <v/>
      </c>
      <c r="CR588" s="539">
        <f t="shared" si="1789"/>
        <v>6</v>
      </c>
      <c r="CS588" s="539">
        <f t="shared" si="1789"/>
        <v>6</v>
      </c>
      <c r="CT588" s="540">
        <f t="shared" si="1789"/>
        <v>12</v>
      </c>
      <c r="CU588" s="540">
        <f t="shared" si="1789"/>
        <v>12</v>
      </c>
      <c r="CV588" s="540">
        <f t="shared" si="1789"/>
        <v>12</v>
      </c>
      <c r="CW588" s="539">
        <f t="shared" si="1789"/>
        <v>12</v>
      </c>
      <c r="CX588" s="539">
        <f t="shared" si="1789"/>
        <v>12</v>
      </c>
      <c r="CY588" s="539">
        <f t="shared" si="1789"/>
        <v>24</v>
      </c>
      <c r="CZ588" s="539" t="str">
        <f t="shared" si="1789"/>
        <v/>
      </c>
      <c r="DA588" s="539" t="str">
        <f t="shared" si="1789"/>
        <v/>
      </c>
      <c r="DB588" s="538" t="str">
        <f t="shared" si="1789"/>
        <v/>
      </c>
      <c r="DC588" s="537" t="str">
        <f t="shared" si="1705"/>
        <v/>
      </c>
      <c r="DD588" s="875">
        <f t="shared" si="1747"/>
        <v>0</v>
      </c>
      <c r="DE588" s="830">
        <f t="shared" si="1748"/>
        <v>0</v>
      </c>
      <c r="DF588" s="830">
        <f t="shared" si="1749"/>
        <v>1</v>
      </c>
      <c r="DG588" s="830">
        <f t="shared" si="1750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284</v>
      </c>
      <c r="B589" s="747">
        <f>3322*$K$1</f>
        <v>13908.5496</v>
      </c>
      <c r="C589" s="747">
        <f t="shared" ref="C589:K589" si="1829">3322*$K$1</f>
        <v>13908.5496</v>
      </c>
      <c r="D589" s="747">
        <f t="shared" si="1829"/>
        <v>13908.5496</v>
      </c>
      <c r="E589" s="747">
        <f t="shared" si="1829"/>
        <v>13908.5496</v>
      </c>
      <c r="F589" s="747">
        <f t="shared" si="1829"/>
        <v>13908.5496</v>
      </c>
      <c r="G589" s="747">
        <f t="shared" si="1829"/>
        <v>13908.5496</v>
      </c>
      <c r="H589" s="747">
        <f t="shared" si="1829"/>
        <v>13908.5496</v>
      </c>
      <c r="I589" s="747">
        <f t="shared" si="1829"/>
        <v>13908.5496</v>
      </c>
      <c r="J589" s="747">
        <f t="shared" si="1829"/>
        <v>13908.5496</v>
      </c>
      <c r="K589" s="747">
        <f t="shared" si="1829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30">3322*$K$1</f>
        <v>13908.5496</v>
      </c>
      <c r="V589" s="747">
        <f t="shared" si="1830"/>
        <v>13908.5496</v>
      </c>
      <c r="W589" s="747">
        <f t="shared" si="1830"/>
        <v>13908.5496</v>
      </c>
      <c r="X589" s="747">
        <f t="shared" si="1830"/>
        <v>13908.5496</v>
      </c>
      <c r="Y589" s="747">
        <f t="shared" si="1830"/>
        <v>13908.5496</v>
      </c>
      <c r="Z589" s="747">
        <f t="shared" si="1830"/>
        <v>13908.5496</v>
      </c>
      <c r="AA589" s="747">
        <f t="shared" si="1830"/>
        <v>13908.5496</v>
      </c>
      <c r="AB589" s="747">
        <f t="shared" si="1830"/>
        <v>13908.5496</v>
      </c>
      <c r="AC589" s="747">
        <f t="shared" si="1830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31">3322*$K$1</f>
        <v>13908.5496</v>
      </c>
      <c r="AN589" s="747">
        <f t="shared" si="1831"/>
        <v>13908.5496</v>
      </c>
      <c r="AO589" s="747">
        <f t="shared" si="1831"/>
        <v>13908.5496</v>
      </c>
      <c r="AP589" s="747">
        <f t="shared" si="1831"/>
        <v>13908.5496</v>
      </c>
      <c r="AQ589" s="747">
        <f t="shared" si="1831"/>
        <v>13908.5496</v>
      </c>
      <c r="AR589" s="747">
        <f t="shared" si="1831"/>
        <v>13908.5496</v>
      </c>
      <c r="AS589" s="747">
        <f t="shared" si="1831"/>
        <v>13908.5496</v>
      </c>
      <c r="AT589" s="747">
        <f t="shared" si="1831"/>
        <v>13908.5496</v>
      </c>
      <c r="AU589" s="747">
        <f t="shared" si="1831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32">3322*$K$1</f>
        <v>13908.5496</v>
      </c>
      <c r="BF589" s="747">
        <f t="shared" si="1832"/>
        <v>13908.5496</v>
      </c>
      <c r="BG589" s="747">
        <f t="shared" si="1832"/>
        <v>13908.5496</v>
      </c>
      <c r="BH589" s="747">
        <f t="shared" si="1832"/>
        <v>13908.5496</v>
      </c>
      <c r="BI589" s="747">
        <f t="shared" si="1832"/>
        <v>13908.5496</v>
      </c>
      <c r="BJ589" s="747">
        <f t="shared" si="1832"/>
        <v>13908.5496</v>
      </c>
      <c r="BK589" s="747">
        <f t="shared" si="1832"/>
        <v>13908.5496</v>
      </c>
      <c r="BL589" s="747">
        <f t="shared" si="1832"/>
        <v>13908.5496</v>
      </c>
      <c r="BM589" s="747">
        <f t="shared" si="1832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32"/>
        <v>13908.5496</v>
      </c>
      <c r="BW589" s="747">
        <f t="shared" si="1832"/>
        <v>13908.5496</v>
      </c>
      <c r="BX589" s="747">
        <f t="shared" si="1832"/>
        <v>13908.5496</v>
      </c>
      <c r="BY589" s="747">
        <f t="shared" si="1832"/>
        <v>13908.5496</v>
      </c>
      <c r="BZ589" s="873">
        <f t="shared" si="1691"/>
        <v>13908.549600000002</v>
      </c>
      <c r="CA589" s="873">
        <f t="shared" si="1692"/>
        <v>13908.549600000002</v>
      </c>
      <c r="CB589" s="873">
        <f t="shared" si="1693"/>
        <v>13908.549600000002</v>
      </c>
      <c r="CC589" s="874">
        <f t="shared" si="1694"/>
        <v>13908.549600000002</v>
      </c>
      <c r="CD589" s="79">
        <f t="shared" si="1823"/>
        <v>13908.5496</v>
      </c>
      <c r="CE589" s="80">
        <f t="shared" si="1788"/>
        <v>13908.5496</v>
      </c>
      <c r="CF589" s="80">
        <f t="shared" si="1788"/>
        <v>13908.5496</v>
      </c>
      <c r="CG589" s="80">
        <f t="shared" si="1788"/>
        <v>13908.5496</v>
      </c>
      <c r="CH589" s="145">
        <f t="shared" si="1788"/>
        <v>13908.5496</v>
      </c>
      <c r="CI589" s="145">
        <f t="shared" si="1788"/>
        <v>13908.5496</v>
      </c>
      <c r="CJ589" s="80">
        <f t="shared" si="1788"/>
        <v>13908.5496</v>
      </c>
      <c r="CK589" s="80">
        <f t="shared" si="1788"/>
        <v>13908.5496</v>
      </c>
      <c r="CL589" s="80">
        <f t="shared" si="1788"/>
        <v>13908.5496</v>
      </c>
      <c r="CM589" s="79">
        <f t="shared" si="1788"/>
        <v>13908.5496</v>
      </c>
      <c r="CN589" s="538" t="str">
        <f t="shared" si="1789"/>
        <v/>
      </c>
      <c r="CO589" s="539" t="str">
        <f t="shared" si="1789"/>
        <v/>
      </c>
      <c r="CP589" s="539" t="str">
        <f t="shared" si="1789"/>
        <v/>
      </c>
      <c r="CQ589" s="539">
        <f t="shared" si="1789"/>
        <v>13908.5496</v>
      </c>
      <c r="CR589" s="539">
        <f t="shared" si="1789"/>
        <v>13908.5496</v>
      </c>
      <c r="CS589" s="539">
        <f t="shared" si="1789"/>
        <v>13908.5496</v>
      </c>
      <c r="CT589" s="540">
        <f t="shared" si="1789"/>
        <v>13908.5496</v>
      </c>
      <c r="CU589" s="540">
        <f t="shared" si="1789"/>
        <v>13908.5496</v>
      </c>
      <c r="CV589" s="540">
        <f t="shared" si="1789"/>
        <v>13908.5496</v>
      </c>
      <c r="CW589" s="539">
        <f t="shared" si="1789"/>
        <v>13908.5496</v>
      </c>
      <c r="CX589" s="539">
        <f t="shared" si="1789"/>
        <v>13908.5496</v>
      </c>
      <c r="CY589" s="539">
        <f t="shared" si="1789"/>
        <v>13908.5496</v>
      </c>
      <c r="CZ589" s="539">
        <f t="shared" si="1789"/>
        <v>13908.5496</v>
      </c>
      <c r="DA589" s="539" t="str">
        <f t="shared" si="1789"/>
        <v/>
      </c>
      <c r="DB589" s="538" t="str">
        <f t="shared" si="1789"/>
        <v/>
      </c>
      <c r="DC589" s="537" t="str">
        <f t="shared" si="1705"/>
        <v/>
      </c>
      <c r="DD589" s="875">
        <f t="shared" si="1747"/>
        <v>10</v>
      </c>
      <c r="DE589" s="830">
        <f t="shared" si="1748"/>
        <v>10</v>
      </c>
      <c r="DF589" s="830">
        <f t="shared" si="1749"/>
        <v>10</v>
      </c>
      <c r="DG589" s="830">
        <f t="shared" si="1750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227</v>
      </c>
      <c r="B590" s="749" t="str">
        <f t="shared" ref="B590:K590" si="1833">IF(B588="","",B588*B589/B$46/365/$G$1)</f>
        <v/>
      </c>
      <c r="C590" s="749" t="str">
        <f t="shared" si="1833"/>
        <v/>
      </c>
      <c r="D590" s="749" t="str">
        <f t="shared" si="1833"/>
        <v/>
      </c>
      <c r="E590" s="749" t="str">
        <f t="shared" si="1833"/>
        <v/>
      </c>
      <c r="F590" s="749" t="str">
        <f t="shared" si="1833"/>
        <v/>
      </c>
      <c r="G590" s="749" t="str">
        <f t="shared" si="1833"/>
        <v/>
      </c>
      <c r="H590" s="749" t="str">
        <f t="shared" si="1833"/>
        <v/>
      </c>
      <c r="I590" s="749" t="str">
        <f t="shared" si="1833"/>
        <v/>
      </c>
      <c r="J590" s="749" t="str">
        <f t="shared" si="1833"/>
        <v/>
      </c>
      <c r="K590" s="749" t="str">
        <f t="shared" si="1833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34">IF(T588="","",T588*T589/T$46/365/$G$1)</f>
        <v/>
      </c>
      <c r="U590" s="749" t="str">
        <f t="shared" si="1834"/>
        <v/>
      </c>
      <c r="V590" s="749" t="str">
        <f t="shared" si="1834"/>
        <v/>
      </c>
      <c r="W590" s="749" t="str">
        <f t="shared" si="1834"/>
        <v/>
      </c>
      <c r="X590" s="749" t="str">
        <f t="shared" si="1834"/>
        <v/>
      </c>
      <c r="Y590" s="749" t="str">
        <f t="shared" si="1834"/>
        <v/>
      </c>
      <c r="Z590" s="749" t="str">
        <f t="shared" si="1834"/>
        <v/>
      </c>
      <c r="AA590" s="749" t="str">
        <f t="shared" si="1834"/>
        <v/>
      </c>
      <c r="AB590" s="749" t="str">
        <f t="shared" si="1834"/>
        <v/>
      </c>
      <c r="AC590" s="749" t="str">
        <f t="shared" si="1834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35">IF(AL588="","",AL588*AL589/AL$46/365/$G$1)</f>
        <v/>
      </c>
      <c r="AM590" s="749">
        <f t="shared" si="1835"/>
        <v>6.4952753424657537E-3</v>
      </c>
      <c r="AN590" s="749" t="str">
        <f t="shared" si="1835"/>
        <v/>
      </c>
      <c r="AO590" s="749" t="str">
        <f t="shared" si="1835"/>
        <v/>
      </c>
      <c r="AP590" s="749" t="str">
        <f t="shared" si="1835"/>
        <v/>
      </c>
      <c r="AQ590" s="749" t="str">
        <f t="shared" si="1835"/>
        <v/>
      </c>
      <c r="AR590" s="749" t="str">
        <f t="shared" si="1835"/>
        <v/>
      </c>
      <c r="AS590" s="749" t="str">
        <f t="shared" si="1835"/>
        <v/>
      </c>
      <c r="AT590" s="749" t="str">
        <f t="shared" si="1835"/>
        <v/>
      </c>
      <c r="AU590" s="749" t="str">
        <f t="shared" si="1835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36">IF(BD588="","",BD588*BD589/BD$46/365/$G$1)</f>
        <v/>
      </c>
      <c r="BE590" s="749">
        <f t="shared" si="1836"/>
        <v>6.4952753424657537E-3</v>
      </c>
      <c r="BF590" s="749">
        <f t="shared" si="1836"/>
        <v>4.3301835616438361E-3</v>
      </c>
      <c r="BG590" s="749">
        <f t="shared" si="1836"/>
        <v>1.4846343639921723E-2</v>
      </c>
      <c r="BH590" s="749">
        <f t="shared" si="1836"/>
        <v>4.7238366127023666E-3</v>
      </c>
      <c r="BI590" s="749" t="str">
        <f t="shared" si="1836"/>
        <v/>
      </c>
      <c r="BJ590" s="749">
        <f t="shared" si="1836"/>
        <v>3.2476376712328768E-3</v>
      </c>
      <c r="BK590" s="749">
        <f t="shared" si="1836"/>
        <v>7.4231718199608615E-3</v>
      </c>
      <c r="BL590" s="749">
        <f t="shared" si="1836"/>
        <v>4.7238366127023666E-3</v>
      </c>
      <c r="BM590" s="749">
        <f t="shared" si="1836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91"/>
        <v/>
      </c>
      <c r="CA590" s="611" t="str">
        <f t="shared" si="1692"/>
        <v/>
      </c>
      <c r="CB590" s="611" t="str">
        <f t="shared" si="1693"/>
        <v/>
      </c>
      <c r="CC590" s="611">
        <f t="shared" si="1694"/>
        <v>5.2346483099092673E-3</v>
      </c>
      <c r="CD590" s="1319" t="str">
        <f t="shared" si="1823"/>
        <v/>
      </c>
      <c r="CE590" s="1320" t="str">
        <f t="shared" si="1788"/>
        <v/>
      </c>
      <c r="CF590" s="1320" t="str">
        <f t="shared" si="1788"/>
        <v/>
      </c>
      <c r="CG590" s="1320" t="str">
        <f t="shared" si="1788"/>
        <v/>
      </c>
      <c r="CH590" s="1321">
        <f t="shared" si="1788"/>
        <v>6.4952753424657537E-3</v>
      </c>
      <c r="CI590" s="1321" t="str">
        <f t="shared" si="1788"/>
        <v/>
      </c>
      <c r="CJ590" s="1320" t="str">
        <f t="shared" si="1788"/>
        <v/>
      </c>
      <c r="CK590" s="1320" t="str">
        <f t="shared" si="1788"/>
        <v/>
      </c>
      <c r="CL590" s="1320" t="str">
        <f t="shared" si="1788"/>
        <v/>
      </c>
      <c r="CM590" s="1319" t="str">
        <f t="shared" si="1788"/>
        <v/>
      </c>
      <c r="CN590" s="526" t="str">
        <f t="shared" si="1789"/>
        <v/>
      </c>
      <c r="CO590" s="527" t="str">
        <f t="shared" si="1789"/>
        <v/>
      </c>
      <c r="CP590" s="527" t="str">
        <f t="shared" si="1789"/>
        <v/>
      </c>
      <c r="CQ590" s="527" t="str">
        <f t="shared" si="1789"/>
        <v/>
      </c>
      <c r="CR590" s="527">
        <f t="shared" si="1789"/>
        <v>3.2476376712328768E-3</v>
      </c>
      <c r="CS590" s="527">
        <f t="shared" si="1789"/>
        <v>3.7115859099804307E-3</v>
      </c>
      <c r="CT590" s="528">
        <f t="shared" si="1789"/>
        <v>4.3301835616438361E-3</v>
      </c>
      <c r="CU590" s="528">
        <f t="shared" si="1789"/>
        <v>4.7238366127023666E-3</v>
      </c>
      <c r="CV590" s="528">
        <f t="shared" si="1789"/>
        <v>4.7238366127023666E-3</v>
      </c>
      <c r="CW590" s="527">
        <f t="shared" si="1789"/>
        <v>6.4952753424657537E-3</v>
      </c>
      <c r="CX590" s="527">
        <f t="shared" si="1789"/>
        <v>7.4231718199608615E-3</v>
      </c>
      <c r="CY590" s="527">
        <f t="shared" si="1789"/>
        <v>1.4846343639921723E-2</v>
      </c>
      <c r="CZ590" s="527" t="str">
        <f t="shared" si="1789"/>
        <v/>
      </c>
      <c r="DA590" s="527" t="str">
        <f t="shared" si="1789"/>
        <v/>
      </c>
      <c r="DB590" s="526" t="str">
        <f t="shared" si="1789"/>
        <v/>
      </c>
      <c r="DC590" s="525" t="str">
        <f t="shared" si="1790"/>
        <v/>
      </c>
      <c r="DD590" s="641">
        <f t="shared" si="1747"/>
        <v>0</v>
      </c>
      <c r="DE590" s="95">
        <f t="shared" si="1748"/>
        <v>0</v>
      </c>
      <c r="DF590" s="95">
        <f t="shared" si="1749"/>
        <v>1</v>
      </c>
      <c r="DG590" s="95">
        <f t="shared" si="1750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1" t="s">
        <v>288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91"/>
        <v/>
      </c>
      <c r="CA591" s="873" t="str">
        <f t="shared" si="1692"/>
        <v/>
      </c>
      <c r="CB591" s="873" t="str">
        <f t="shared" si="1693"/>
        <v/>
      </c>
      <c r="CC591" s="874">
        <f t="shared" si="1694"/>
        <v>13.833333333333334</v>
      </c>
      <c r="CD591" s="79" t="str">
        <f t="shared" si="1823"/>
        <v/>
      </c>
      <c r="CE591" s="80" t="str">
        <f t="shared" si="1788"/>
        <v/>
      </c>
      <c r="CF591" s="80" t="str">
        <f t="shared" si="1788"/>
        <v/>
      </c>
      <c r="CG591" s="80" t="str">
        <f t="shared" si="1788"/>
        <v/>
      </c>
      <c r="CH591" s="145" t="str">
        <f t="shared" si="1788"/>
        <v/>
      </c>
      <c r="CI591" s="145" t="str">
        <f t="shared" si="1788"/>
        <v/>
      </c>
      <c r="CJ591" s="80" t="str">
        <f t="shared" si="1788"/>
        <v/>
      </c>
      <c r="CK591" s="80" t="str">
        <f t="shared" si="1788"/>
        <v/>
      </c>
      <c r="CL591" s="80" t="str">
        <f t="shared" si="1788"/>
        <v/>
      </c>
      <c r="CM591" s="79" t="str">
        <f t="shared" si="1788"/>
        <v/>
      </c>
      <c r="CN591" s="538" t="str">
        <f t="shared" si="1789"/>
        <v/>
      </c>
      <c r="CO591" s="539" t="str">
        <f t="shared" si="1789"/>
        <v/>
      </c>
      <c r="CP591" s="539" t="str">
        <f t="shared" si="1789"/>
        <v/>
      </c>
      <c r="CQ591" s="539" t="str">
        <f t="shared" si="1789"/>
        <v/>
      </c>
      <c r="CR591" s="539">
        <f t="shared" si="1789"/>
        <v>10</v>
      </c>
      <c r="CS591" s="539">
        <f t="shared" si="1789"/>
        <v>11</v>
      </c>
      <c r="CT591" s="540">
        <f t="shared" si="1789"/>
        <v>12</v>
      </c>
      <c r="CU591" s="540">
        <f t="shared" si="1789"/>
        <v>15</v>
      </c>
      <c r="CV591" s="540">
        <f t="shared" si="1789"/>
        <v>15</v>
      </c>
      <c r="CW591" s="539">
        <f t="shared" si="1789"/>
        <v>15</v>
      </c>
      <c r="CX591" s="539">
        <f t="shared" si="1789"/>
        <v>15</v>
      </c>
      <c r="CY591" s="539">
        <f t="shared" si="1789"/>
        <v>24</v>
      </c>
      <c r="CZ591" s="539" t="str">
        <f t="shared" si="1789"/>
        <v/>
      </c>
      <c r="DA591" s="539" t="str">
        <f t="shared" si="1789"/>
        <v/>
      </c>
      <c r="DB591" s="538" t="str">
        <f t="shared" si="1789"/>
        <v/>
      </c>
      <c r="DC591" s="537" t="str">
        <f t="shared" si="1705"/>
        <v/>
      </c>
      <c r="DD591" s="875">
        <f t="shared" si="1747"/>
        <v>0</v>
      </c>
      <c r="DE591" s="830">
        <f t="shared" si="1748"/>
        <v>0</v>
      </c>
      <c r="DF591" s="830">
        <f t="shared" si="1749"/>
        <v>0</v>
      </c>
      <c r="DG591" s="830">
        <f t="shared" si="1750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286</v>
      </c>
      <c r="B592" s="746" t="str">
        <f t="shared" ref="B592:K592" si="1837">IF(B591="","",B588*B591)</f>
        <v/>
      </c>
      <c r="C592" s="746" t="str">
        <f t="shared" si="1837"/>
        <v/>
      </c>
      <c r="D592" s="746" t="str">
        <f t="shared" si="1837"/>
        <v/>
      </c>
      <c r="E592" s="746" t="str">
        <f t="shared" si="1837"/>
        <v/>
      </c>
      <c r="F592" s="746" t="str">
        <f t="shared" si="1837"/>
        <v/>
      </c>
      <c r="G592" s="746" t="str">
        <f t="shared" si="1837"/>
        <v/>
      </c>
      <c r="H592" s="746" t="str">
        <f t="shared" si="1837"/>
        <v/>
      </c>
      <c r="I592" s="746" t="str">
        <f t="shared" si="1837"/>
        <v/>
      </c>
      <c r="J592" s="746" t="str">
        <f t="shared" si="1837"/>
        <v/>
      </c>
      <c r="K592" s="746" t="str">
        <f t="shared" si="1837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38">IF(T591="","",T588*T591)</f>
        <v/>
      </c>
      <c r="U592" s="746" t="str">
        <f t="shared" si="1838"/>
        <v/>
      </c>
      <c r="V592" s="746" t="str">
        <f t="shared" si="1838"/>
        <v/>
      </c>
      <c r="W592" s="746" t="str">
        <f t="shared" si="1838"/>
        <v/>
      </c>
      <c r="X592" s="746" t="str">
        <f t="shared" si="1838"/>
        <v/>
      </c>
      <c r="Y592" s="746" t="str">
        <f t="shared" si="1838"/>
        <v/>
      </c>
      <c r="Z592" s="746" t="str">
        <f t="shared" si="1838"/>
        <v/>
      </c>
      <c r="AA592" s="746" t="str">
        <f t="shared" si="1838"/>
        <v/>
      </c>
      <c r="AB592" s="746" t="str">
        <f t="shared" si="1838"/>
        <v/>
      </c>
      <c r="AC592" s="746" t="str">
        <f t="shared" si="1838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39">IF(AL591="","",AL588*AL591)</f>
        <v/>
      </c>
      <c r="AM592" s="746" t="str">
        <f t="shared" si="1839"/>
        <v/>
      </c>
      <c r="AN592" s="746" t="str">
        <f t="shared" si="1839"/>
        <v/>
      </c>
      <c r="AO592" s="746" t="str">
        <f t="shared" si="1839"/>
        <v/>
      </c>
      <c r="AP592" s="746" t="str">
        <f t="shared" si="1839"/>
        <v/>
      </c>
      <c r="AQ592" s="746" t="str">
        <f t="shared" si="1839"/>
        <v/>
      </c>
      <c r="AR592" s="746" t="str">
        <f t="shared" si="1839"/>
        <v/>
      </c>
      <c r="AS592" s="746" t="str">
        <f t="shared" si="1839"/>
        <v/>
      </c>
      <c r="AT592" s="746" t="str">
        <f t="shared" si="1839"/>
        <v/>
      </c>
      <c r="AU592" s="746" t="str">
        <f t="shared" si="1839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40">IF(BD591="","",BD588*BD591)</f>
        <v/>
      </c>
      <c r="BE592" s="746">
        <f t="shared" si="1840"/>
        <v>120</v>
      </c>
      <c r="BF592" s="746">
        <f t="shared" si="1840"/>
        <v>180</v>
      </c>
      <c r="BG592" s="746">
        <f t="shared" si="1840"/>
        <v>360</v>
      </c>
      <c r="BH592" s="746">
        <f t="shared" si="1840"/>
        <v>132</v>
      </c>
      <c r="BI592" s="746" t="str">
        <f t="shared" si="1840"/>
        <v/>
      </c>
      <c r="BJ592" s="746">
        <f t="shared" si="1840"/>
        <v>72</v>
      </c>
      <c r="BK592" s="746">
        <f t="shared" si="1840"/>
        <v>180</v>
      </c>
      <c r="BL592" s="746">
        <f t="shared" si="1840"/>
        <v>180</v>
      </c>
      <c r="BM592" s="746">
        <f t="shared" si="1840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91"/>
        <v/>
      </c>
      <c r="CA592" s="873" t="str">
        <f t="shared" si="1692"/>
        <v/>
      </c>
      <c r="CB592" s="873" t="str">
        <f t="shared" si="1693"/>
        <v/>
      </c>
      <c r="CC592" s="874">
        <f t="shared" si="1694"/>
        <v>156</v>
      </c>
      <c r="CD592" s="79" t="str">
        <f t="shared" si="1823"/>
        <v/>
      </c>
      <c r="CE592" s="80" t="str">
        <f t="shared" si="1788"/>
        <v/>
      </c>
      <c r="CF592" s="80" t="str">
        <f t="shared" si="1788"/>
        <v/>
      </c>
      <c r="CG592" s="80" t="str">
        <f t="shared" si="1788"/>
        <v/>
      </c>
      <c r="CH592" s="145" t="str">
        <f t="shared" ref="CH592:CM592" si="1841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1841"/>
        <v/>
      </c>
      <c r="CJ592" s="80" t="str">
        <f t="shared" si="1841"/>
        <v/>
      </c>
      <c r="CK592" s="80" t="str">
        <f t="shared" si="1841"/>
        <v/>
      </c>
      <c r="CL592" s="80" t="str">
        <f t="shared" si="1841"/>
        <v/>
      </c>
      <c r="CM592" s="79" t="str">
        <f t="shared" si="1841"/>
        <v/>
      </c>
      <c r="CN592" s="538" t="str">
        <f t="shared" si="1789"/>
        <v/>
      </c>
      <c r="CO592" s="539" t="str">
        <f t="shared" si="1789"/>
        <v/>
      </c>
      <c r="CP592" s="539" t="str">
        <f t="shared" si="1789"/>
        <v/>
      </c>
      <c r="CQ592" s="539" t="str">
        <f t="shared" si="1789"/>
        <v/>
      </c>
      <c r="CR592" s="539">
        <f t="shared" si="1789"/>
        <v>72</v>
      </c>
      <c r="CS592" s="539">
        <f t="shared" si="1789"/>
        <v>120</v>
      </c>
      <c r="CT592" s="540">
        <f t="shared" si="1789"/>
        <v>132</v>
      </c>
      <c r="CU592" s="540">
        <f t="shared" si="1789"/>
        <v>144</v>
      </c>
      <c r="CV592" s="540">
        <f t="shared" si="1789"/>
        <v>180</v>
      </c>
      <c r="CW592" s="539">
        <f t="shared" si="1789"/>
        <v>180</v>
      </c>
      <c r="CX592" s="539">
        <f t="shared" si="1789"/>
        <v>180</v>
      </c>
      <c r="CY592" s="539">
        <f t="shared" si="1789"/>
        <v>360</v>
      </c>
      <c r="CZ592" s="539" t="str">
        <f t="shared" si="1789"/>
        <v/>
      </c>
      <c r="DA592" s="539" t="str">
        <f t="shared" si="1789"/>
        <v/>
      </c>
      <c r="DB592" s="538" t="str">
        <f t="shared" si="1789"/>
        <v/>
      </c>
      <c r="DC592" s="537" t="str">
        <f t="shared" si="1705"/>
        <v/>
      </c>
      <c r="DD592" s="875">
        <f t="shared" si="1747"/>
        <v>0</v>
      </c>
      <c r="DE592" s="830">
        <f t="shared" si="1748"/>
        <v>0</v>
      </c>
      <c r="DF592" s="830">
        <f t="shared" si="1749"/>
        <v>0</v>
      </c>
      <c r="DG592" s="830">
        <f t="shared" si="1750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29" t="s">
        <v>739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293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42">IF(DD594&lt;3,"",(SUM(B594:R594)-MIN(B594:R594)-MAX(B594:R594))/(DD594-2))</f>
        <v/>
      </c>
      <c r="CA594" s="873" t="str">
        <f t="shared" ref="CA594:CA599" si="1843">IF(DE594&lt;3,"",(SUM(T594:AJ594)-MIN(T594:AJ594)-MAX(T594:AJ594))/(DE594-2))</f>
        <v/>
      </c>
      <c r="CB594" s="873" t="str">
        <f t="shared" ref="CB594:CB599" si="1844">IF(DF594&lt;3,"",(SUM(AL594:BB594)-MIN(AL594:BB594)-MAX(AL594:BB594))/(DF594-2))</f>
        <v/>
      </c>
      <c r="CC594" s="874" t="str">
        <f t="shared" ref="CC594:CC599" si="1845">IF(DG594&lt;3,"",(SUM(BD594:BT594)-MIN(BD594:BT594)-MAX(BD594:BT594))/(DG594-2))</f>
        <v/>
      </c>
      <c r="CD594" s="79" t="str">
        <f t="shared" ref="CD594:CM596" si="184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6"/>
        <v/>
      </c>
      <c r="CF594" s="80" t="str">
        <f t="shared" si="1846"/>
        <v/>
      </c>
      <c r="CG594" s="80" t="str">
        <f t="shared" si="1846"/>
        <v/>
      </c>
      <c r="CH594" s="145" t="str">
        <f t="shared" si="1846"/>
        <v/>
      </c>
      <c r="CI594" s="145" t="str">
        <f t="shared" si="1846"/>
        <v/>
      </c>
      <c r="CJ594" s="80" t="str">
        <f t="shared" si="1846"/>
        <v/>
      </c>
      <c r="CK594" s="80" t="str">
        <f t="shared" si="1846"/>
        <v/>
      </c>
      <c r="CL594" s="80" t="str">
        <f t="shared" si="1846"/>
        <v/>
      </c>
      <c r="CM594" s="79" t="str">
        <f t="shared" si="1846"/>
        <v/>
      </c>
      <c r="CN594" s="538" t="str">
        <f t="shared" si="1789"/>
        <v/>
      </c>
      <c r="CO594" s="539" t="str">
        <f t="shared" si="1789"/>
        <v/>
      </c>
      <c r="CP594" s="539" t="str">
        <f t="shared" si="1789"/>
        <v/>
      </c>
      <c r="CQ594" s="539" t="str">
        <f t="shared" si="1789"/>
        <v/>
      </c>
      <c r="CR594" s="539" t="str">
        <f t="shared" si="1789"/>
        <v/>
      </c>
      <c r="CS594" s="539" t="str">
        <f t="shared" si="1789"/>
        <v/>
      </c>
      <c r="CT594" s="540" t="str">
        <f t="shared" si="1789"/>
        <v/>
      </c>
      <c r="CU594" s="540" t="str">
        <f t="shared" si="1789"/>
        <v/>
      </c>
      <c r="CV594" s="540" t="str">
        <f t="shared" si="1789"/>
        <v/>
      </c>
      <c r="CW594" s="539" t="str">
        <f t="shared" si="1789"/>
        <v/>
      </c>
      <c r="CX594" s="539" t="str">
        <f t="shared" si="1789"/>
        <v/>
      </c>
      <c r="CY594" s="539" t="str">
        <f t="shared" si="1789"/>
        <v/>
      </c>
      <c r="CZ594" s="539" t="str">
        <f t="shared" si="1789"/>
        <v/>
      </c>
      <c r="DA594" s="539" t="str">
        <f t="shared" si="1789"/>
        <v/>
      </c>
      <c r="DB594" s="538" t="str">
        <f t="shared" si="1789"/>
        <v/>
      </c>
      <c r="DC594" s="537" t="str">
        <f t="shared" si="1705"/>
        <v/>
      </c>
      <c r="DD594" s="875">
        <f t="shared" ref="DD594:DD599" si="1847">COUNT(B594:R594)</f>
        <v>0</v>
      </c>
      <c r="DE594" s="830">
        <f t="shared" ref="DE594:DE599" si="1848">COUNT(T594:AJ594)</f>
        <v>0</v>
      </c>
      <c r="DF594" s="830">
        <f t="shared" ref="DF594:DF599" si="1849">COUNT(AL594:BB594)</f>
        <v>0</v>
      </c>
      <c r="DG594" s="830">
        <f t="shared" ref="DG594:DG599" si="1850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289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42"/>
        <v/>
      </c>
      <c r="CA595" s="873" t="str">
        <f t="shared" si="1843"/>
        <v/>
      </c>
      <c r="CB595" s="873" t="str">
        <f t="shared" si="1844"/>
        <v/>
      </c>
      <c r="CC595" s="874" t="str">
        <f t="shared" si="1845"/>
        <v/>
      </c>
      <c r="CD595" s="79" t="str">
        <f t="shared" si="1846"/>
        <v/>
      </c>
      <c r="CE595" s="80" t="str">
        <f t="shared" si="1846"/>
        <v/>
      </c>
      <c r="CF595" s="80" t="str">
        <f t="shared" si="1846"/>
        <v/>
      </c>
      <c r="CG595" s="80" t="str">
        <f t="shared" si="1846"/>
        <v/>
      </c>
      <c r="CH595" s="145" t="str">
        <f t="shared" si="1846"/>
        <v/>
      </c>
      <c r="CI595" s="145" t="str">
        <f t="shared" si="1846"/>
        <v/>
      </c>
      <c r="CJ595" s="80" t="str">
        <f t="shared" si="1846"/>
        <v/>
      </c>
      <c r="CK595" s="80" t="str">
        <f t="shared" si="1846"/>
        <v/>
      </c>
      <c r="CL595" s="80" t="str">
        <f t="shared" si="1846"/>
        <v/>
      </c>
      <c r="CM595" s="79" t="str">
        <f t="shared" si="1846"/>
        <v/>
      </c>
      <c r="CN595" s="538" t="str">
        <f t="shared" si="1789"/>
        <v/>
      </c>
      <c r="CO595" s="539" t="str">
        <f t="shared" si="1789"/>
        <v/>
      </c>
      <c r="CP595" s="539" t="str">
        <f t="shared" si="1789"/>
        <v/>
      </c>
      <c r="CQ595" s="539" t="str">
        <f t="shared" si="1789"/>
        <v/>
      </c>
      <c r="CR595" s="539" t="str">
        <f t="shared" si="1789"/>
        <v/>
      </c>
      <c r="CS595" s="539" t="str">
        <f t="shared" si="1789"/>
        <v/>
      </c>
      <c r="CT595" s="540" t="str">
        <f t="shared" si="1789"/>
        <v/>
      </c>
      <c r="CU595" s="540" t="str">
        <f t="shared" si="1789"/>
        <v/>
      </c>
      <c r="CV595" s="540" t="str">
        <f t="shared" si="1789"/>
        <v/>
      </c>
      <c r="CW595" s="539" t="str">
        <f t="shared" si="1789"/>
        <v/>
      </c>
      <c r="CX595" s="539" t="str">
        <f t="shared" si="1789"/>
        <v/>
      </c>
      <c r="CY595" s="539" t="str">
        <f t="shared" si="1789"/>
        <v/>
      </c>
      <c r="CZ595" s="539" t="str">
        <f t="shared" ref="CN595:DB596" si="1851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51"/>
        <v/>
      </c>
      <c r="DB595" s="538" t="str">
        <f t="shared" si="1851"/>
        <v/>
      </c>
      <c r="DC595" s="537" t="str">
        <f t="shared" si="1705"/>
        <v/>
      </c>
      <c r="DD595" s="875">
        <f t="shared" si="1847"/>
        <v>0</v>
      </c>
      <c r="DE595" s="830">
        <f t="shared" si="1848"/>
        <v>0</v>
      </c>
      <c r="DF595" s="830">
        <f t="shared" si="1849"/>
        <v>0</v>
      </c>
      <c r="DG595" s="830">
        <f t="shared" si="1850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284</v>
      </c>
      <c r="B596" s="747">
        <f>330*$K$1</f>
        <v>1381.644</v>
      </c>
      <c r="C596" s="747">
        <f t="shared" ref="C596:K596" si="1852">330*$K$1</f>
        <v>1381.644</v>
      </c>
      <c r="D596" s="747">
        <f t="shared" si="1852"/>
        <v>1381.644</v>
      </c>
      <c r="E596" s="747">
        <f t="shared" si="1852"/>
        <v>1381.644</v>
      </c>
      <c r="F596" s="747">
        <f t="shared" si="1852"/>
        <v>1381.644</v>
      </c>
      <c r="G596" s="747">
        <f t="shared" si="1852"/>
        <v>1381.644</v>
      </c>
      <c r="H596" s="747">
        <f t="shared" si="1852"/>
        <v>1381.644</v>
      </c>
      <c r="I596" s="747">
        <f t="shared" si="1852"/>
        <v>1381.644</v>
      </c>
      <c r="J596" s="747">
        <f t="shared" si="1852"/>
        <v>1381.644</v>
      </c>
      <c r="K596" s="747">
        <f t="shared" si="1852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53">330*$K$1</f>
        <v>1381.644</v>
      </c>
      <c r="V596" s="747">
        <f t="shared" si="1853"/>
        <v>1381.644</v>
      </c>
      <c r="W596" s="747">
        <f t="shared" si="1853"/>
        <v>1381.644</v>
      </c>
      <c r="X596" s="747">
        <f t="shared" si="1853"/>
        <v>1381.644</v>
      </c>
      <c r="Y596" s="747">
        <f t="shared" si="1853"/>
        <v>1381.644</v>
      </c>
      <c r="Z596" s="747">
        <f t="shared" si="1853"/>
        <v>1381.644</v>
      </c>
      <c r="AA596" s="747">
        <f t="shared" si="1853"/>
        <v>1381.644</v>
      </c>
      <c r="AB596" s="747">
        <f t="shared" si="1853"/>
        <v>1381.644</v>
      </c>
      <c r="AC596" s="747">
        <f t="shared" si="1853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54">330*$K$1</f>
        <v>1381.644</v>
      </c>
      <c r="AN596" s="747">
        <f t="shared" si="1854"/>
        <v>1381.644</v>
      </c>
      <c r="AO596" s="747">
        <f t="shared" si="1854"/>
        <v>1381.644</v>
      </c>
      <c r="AP596" s="747">
        <f t="shared" si="1854"/>
        <v>1381.644</v>
      </c>
      <c r="AQ596" s="747">
        <f t="shared" si="1854"/>
        <v>1381.644</v>
      </c>
      <c r="AR596" s="747">
        <f t="shared" si="1854"/>
        <v>1381.644</v>
      </c>
      <c r="AS596" s="747">
        <f t="shared" si="1854"/>
        <v>1381.644</v>
      </c>
      <c r="AT596" s="747">
        <f t="shared" si="1854"/>
        <v>1381.644</v>
      </c>
      <c r="AU596" s="747">
        <f t="shared" si="1854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55">330*$K$1</f>
        <v>1381.644</v>
      </c>
      <c r="BF596" s="747">
        <f t="shared" si="1855"/>
        <v>1381.644</v>
      </c>
      <c r="BG596" s="747">
        <f t="shared" si="1855"/>
        <v>1381.644</v>
      </c>
      <c r="BH596" s="747">
        <f t="shared" si="1855"/>
        <v>1381.644</v>
      </c>
      <c r="BI596" s="747">
        <f t="shared" si="1855"/>
        <v>1381.644</v>
      </c>
      <c r="BJ596" s="747">
        <f t="shared" si="1855"/>
        <v>1381.644</v>
      </c>
      <c r="BK596" s="747">
        <f t="shared" si="1855"/>
        <v>1381.644</v>
      </c>
      <c r="BL596" s="747">
        <f t="shared" si="1855"/>
        <v>1381.644</v>
      </c>
      <c r="BM596" s="747">
        <f t="shared" si="1855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55"/>
        <v>1381.644</v>
      </c>
      <c r="BW596" s="747">
        <f t="shared" si="1855"/>
        <v>1381.644</v>
      </c>
      <c r="BX596" s="747">
        <f t="shared" si="1855"/>
        <v>1381.644</v>
      </c>
      <c r="BY596" s="747">
        <f t="shared" si="1855"/>
        <v>1381.644</v>
      </c>
      <c r="BZ596" s="873">
        <f t="shared" si="1842"/>
        <v>1381.644</v>
      </c>
      <c r="CA596" s="873">
        <f t="shared" si="1843"/>
        <v>1381.644</v>
      </c>
      <c r="CB596" s="873">
        <f t="shared" si="1844"/>
        <v>1381.644</v>
      </c>
      <c r="CC596" s="874">
        <f t="shared" si="1845"/>
        <v>1381.644</v>
      </c>
      <c r="CD596" s="79">
        <f t="shared" si="1846"/>
        <v>1381.644</v>
      </c>
      <c r="CE596" s="80">
        <f t="shared" si="1846"/>
        <v>1381.644</v>
      </c>
      <c r="CF596" s="80">
        <f t="shared" si="1846"/>
        <v>1381.644</v>
      </c>
      <c r="CG596" s="80">
        <f t="shared" si="1846"/>
        <v>1381.644</v>
      </c>
      <c r="CH596" s="145">
        <f t="shared" si="1846"/>
        <v>1381.644</v>
      </c>
      <c r="CI596" s="145">
        <f t="shared" si="1846"/>
        <v>1381.644</v>
      </c>
      <c r="CJ596" s="80">
        <f t="shared" si="1846"/>
        <v>1381.644</v>
      </c>
      <c r="CK596" s="80">
        <f t="shared" si="1846"/>
        <v>1381.644</v>
      </c>
      <c r="CL596" s="80">
        <f t="shared" si="1846"/>
        <v>1381.644</v>
      </c>
      <c r="CM596" s="79">
        <f t="shared" si="1846"/>
        <v>1381.644</v>
      </c>
      <c r="CN596" s="538" t="str">
        <f t="shared" si="1851"/>
        <v/>
      </c>
      <c r="CO596" s="539" t="str">
        <f t="shared" si="1851"/>
        <v/>
      </c>
      <c r="CP596" s="539" t="str">
        <f t="shared" si="1851"/>
        <v/>
      </c>
      <c r="CQ596" s="539">
        <f t="shared" si="1851"/>
        <v>1381.644</v>
      </c>
      <c r="CR596" s="539">
        <f t="shared" si="1851"/>
        <v>1381.644</v>
      </c>
      <c r="CS596" s="539">
        <f t="shared" si="1851"/>
        <v>1381.644</v>
      </c>
      <c r="CT596" s="540">
        <f t="shared" si="1851"/>
        <v>1381.644</v>
      </c>
      <c r="CU596" s="540">
        <f t="shared" si="1851"/>
        <v>1381.644</v>
      </c>
      <c r="CV596" s="540">
        <f t="shared" si="1851"/>
        <v>1381.644</v>
      </c>
      <c r="CW596" s="539">
        <f t="shared" si="1851"/>
        <v>1381.644</v>
      </c>
      <c r="CX596" s="539">
        <f t="shared" si="1851"/>
        <v>1381.644</v>
      </c>
      <c r="CY596" s="539">
        <f t="shared" si="1851"/>
        <v>1381.644</v>
      </c>
      <c r="CZ596" s="539">
        <f t="shared" si="1851"/>
        <v>1381.644</v>
      </c>
      <c r="DA596" s="539" t="str">
        <f t="shared" si="1851"/>
        <v/>
      </c>
      <c r="DB596" s="538" t="str">
        <f t="shared" si="1851"/>
        <v/>
      </c>
      <c r="DC596" s="537" t="str">
        <f t="shared" si="1705"/>
        <v/>
      </c>
      <c r="DD596" s="875">
        <f t="shared" si="1847"/>
        <v>10</v>
      </c>
      <c r="DE596" s="830">
        <f t="shared" si="1848"/>
        <v>10</v>
      </c>
      <c r="DF596" s="830">
        <f t="shared" si="1849"/>
        <v>10</v>
      </c>
      <c r="DG596" s="830">
        <f t="shared" si="1850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227</v>
      </c>
      <c r="B597" s="621" t="str">
        <f t="shared" ref="B597:K597" si="1856">IF(B594="","",B594*B595*B596/B$46/365/$G$1)</f>
        <v/>
      </c>
      <c r="C597" s="621" t="str">
        <f t="shared" si="1856"/>
        <v/>
      </c>
      <c r="D597" s="621" t="str">
        <f t="shared" si="1856"/>
        <v/>
      </c>
      <c r="E597" s="621" t="str">
        <f t="shared" si="1856"/>
        <v/>
      </c>
      <c r="F597" s="621" t="str">
        <f t="shared" si="1856"/>
        <v/>
      </c>
      <c r="G597" s="621" t="str">
        <f t="shared" si="1856"/>
        <v/>
      </c>
      <c r="H597" s="621" t="str">
        <f t="shared" si="1856"/>
        <v/>
      </c>
      <c r="I597" s="621" t="str">
        <f t="shared" si="1856"/>
        <v/>
      </c>
      <c r="J597" s="621" t="str">
        <f t="shared" si="1856"/>
        <v/>
      </c>
      <c r="K597" s="621" t="str">
        <f t="shared" si="1856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57">IF(T594="","",T594*T595*T596/T$46/365/$G$1)</f>
        <v/>
      </c>
      <c r="U597" s="621" t="str">
        <f t="shared" si="1857"/>
        <v/>
      </c>
      <c r="V597" s="621" t="str">
        <f t="shared" si="1857"/>
        <v/>
      </c>
      <c r="W597" s="621" t="str">
        <f t="shared" si="1857"/>
        <v/>
      </c>
      <c r="X597" s="621" t="str">
        <f t="shared" si="1857"/>
        <v/>
      </c>
      <c r="Y597" s="621" t="str">
        <f t="shared" si="1857"/>
        <v/>
      </c>
      <c r="Z597" s="621" t="str">
        <f t="shared" si="1857"/>
        <v/>
      </c>
      <c r="AA597" s="621" t="str">
        <f t="shared" si="1857"/>
        <v/>
      </c>
      <c r="AB597" s="621" t="str">
        <f t="shared" si="1857"/>
        <v/>
      </c>
      <c r="AC597" s="621" t="str">
        <f t="shared" si="1857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58">IF(AL594="","",AL594*AL595*AL596/AL$46/365/$G$1)</f>
        <v/>
      </c>
      <c r="AM597" s="621" t="str">
        <f t="shared" si="1858"/>
        <v/>
      </c>
      <c r="AN597" s="621" t="str">
        <f t="shared" si="1858"/>
        <v/>
      </c>
      <c r="AO597" s="621" t="str">
        <f t="shared" si="1858"/>
        <v/>
      </c>
      <c r="AP597" s="621" t="str">
        <f t="shared" si="1858"/>
        <v/>
      </c>
      <c r="AQ597" s="621" t="str">
        <f t="shared" si="1858"/>
        <v/>
      </c>
      <c r="AR597" s="621" t="str">
        <f t="shared" si="1858"/>
        <v/>
      </c>
      <c r="AS597" s="621" t="str">
        <f t="shared" si="1858"/>
        <v/>
      </c>
      <c r="AT597" s="621" t="str">
        <f t="shared" si="1858"/>
        <v/>
      </c>
      <c r="AU597" s="621" t="str">
        <f t="shared" si="1858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59">IF(BD594="","",BD594*BD595*BD596/BD$46/365/$G$1)</f>
        <v/>
      </c>
      <c r="BE597" s="621" t="str">
        <f t="shared" si="1859"/>
        <v/>
      </c>
      <c r="BF597" s="621" t="str">
        <f t="shared" si="1859"/>
        <v/>
      </c>
      <c r="BG597" s="621" t="str">
        <f t="shared" si="1859"/>
        <v/>
      </c>
      <c r="BH597" s="621" t="str">
        <f t="shared" si="1859"/>
        <v/>
      </c>
      <c r="BI597" s="621" t="str">
        <f t="shared" si="1859"/>
        <v/>
      </c>
      <c r="BJ597" s="621" t="str">
        <f t="shared" si="1859"/>
        <v/>
      </c>
      <c r="BK597" s="621" t="str">
        <f t="shared" si="1859"/>
        <v/>
      </c>
      <c r="BL597" s="621" t="str">
        <f t="shared" si="1859"/>
        <v/>
      </c>
      <c r="BM597" s="621" t="str">
        <f t="shared" si="1859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42"/>
        <v/>
      </c>
      <c r="CA597" s="611" t="str">
        <f t="shared" si="1843"/>
        <v/>
      </c>
      <c r="CB597" s="611" t="str">
        <f t="shared" si="1844"/>
        <v/>
      </c>
      <c r="CC597" s="611" t="str">
        <f t="shared" si="1845"/>
        <v/>
      </c>
      <c r="CD597" s="1319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0" t="str">
        <f t="shared" ref="CE597:CM597" si="186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0" t="str">
        <f t="shared" si="1860"/>
        <v/>
      </c>
      <c r="CG597" s="1320" t="str">
        <f t="shared" si="1860"/>
        <v/>
      </c>
      <c r="CH597" s="1321" t="str">
        <f t="shared" si="1860"/>
        <v/>
      </c>
      <c r="CI597" s="1321" t="str">
        <f t="shared" si="1860"/>
        <v/>
      </c>
      <c r="CJ597" s="1320" t="str">
        <f t="shared" si="1860"/>
        <v/>
      </c>
      <c r="CK597" s="1320" t="str">
        <f t="shared" si="1860"/>
        <v/>
      </c>
      <c r="CL597" s="1320" t="str">
        <f t="shared" si="1860"/>
        <v/>
      </c>
      <c r="CM597" s="1319" t="str">
        <f t="shared" si="1860"/>
        <v/>
      </c>
      <c r="CN597" s="526" t="str">
        <f t="shared" ref="CN597:DC597" si="186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61"/>
        <v/>
      </c>
      <c r="CP597" s="527" t="str">
        <f t="shared" si="1861"/>
        <v/>
      </c>
      <c r="CQ597" s="527" t="str">
        <f t="shared" si="1861"/>
        <v/>
      </c>
      <c r="CR597" s="527" t="str">
        <f t="shared" si="1861"/>
        <v/>
      </c>
      <c r="CS597" s="527" t="str">
        <f t="shared" si="1861"/>
        <v/>
      </c>
      <c r="CT597" s="528" t="str">
        <f t="shared" si="1861"/>
        <v/>
      </c>
      <c r="CU597" s="528" t="str">
        <f t="shared" si="1861"/>
        <v/>
      </c>
      <c r="CV597" s="528" t="str">
        <f t="shared" si="1861"/>
        <v/>
      </c>
      <c r="CW597" s="527" t="str">
        <f t="shared" si="1861"/>
        <v/>
      </c>
      <c r="CX597" s="527" t="str">
        <f t="shared" si="1861"/>
        <v/>
      </c>
      <c r="CY597" s="527" t="str">
        <f t="shared" si="1861"/>
        <v/>
      </c>
      <c r="CZ597" s="527" t="str">
        <f t="shared" si="1861"/>
        <v/>
      </c>
      <c r="DA597" s="527" t="str">
        <f t="shared" si="1861"/>
        <v/>
      </c>
      <c r="DB597" s="526" t="str">
        <f t="shared" si="1861"/>
        <v/>
      </c>
      <c r="DC597" s="525" t="str">
        <f t="shared" si="1861"/>
        <v/>
      </c>
      <c r="DD597" s="641">
        <f t="shared" si="1847"/>
        <v>0</v>
      </c>
      <c r="DE597" s="95">
        <f t="shared" si="1848"/>
        <v>0</v>
      </c>
      <c r="DF597" s="95">
        <f t="shared" si="1849"/>
        <v>0</v>
      </c>
      <c r="DG597" s="95">
        <f t="shared" si="1850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1" t="s">
        <v>288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42"/>
        <v/>
      </c>
      <c r="CA598" s="873" t="str">
        <f t="shared" si="1843"/>
        <v/>
      </c>
      <c r="CB598" s="873" t="str">
        <f t="shared" si="1844"/>
        <v/>
      </c>
      <c r="CC598" s="874" t="str">
        <f t="shared" si="1845"/>
        <v/>
      </c>
      <c r="CD598" s="1395"/>
      <c r="CE598" s="1396"/>
      <c r="CF598" s="1396"/>
      <c r="CG598" s="1396"/>
      <c r="CH598" s="1397"/>
      <c r="CI598" s="1397"/>
      <c r="CJ598" s="1396"/>
      <c r="CK598" s="1396"/>
      <c r="CL598" s="1396"/>
      <c r="CM598" s="1395"/>
      <c r="CN598" s="1398">
        <v>0</v>
      </c>
      <c r="CO598" s="1398">
        <v>0</v>
      </c>
      <c r="CP598" s="1398">
        <v>0</v>
      </c>
      <c r="CQ598" s="1399"/>
      <c r="CR598" s="539" t="str">
        <f t="shared" ref="CR598:DC599" si="1862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62"/>
        <v/>
      </c>
      <c r="CT598" s="540" t="str">
        <f t="shared" si="1862"/>
        <v/>
      </c>
      <c r="CU598" s="540" t="str">
        <f t="shared" si="1862"/>
        <v/>
      </c>
      <c r="CV598" s="540" t="str">
        <f t="shared" si="1862"/>
        <v/>
      </c>
      <c r="CW598" s="539" t="str">
        <f t="shared" si="1862"/>
        <v/>
      </c>
      <c r="CX598" s="539" t="str">
        <f t="shared" si="1862"/>
        <v/>
      </c>
      <c r="CY598" s="539" t="str">
        <f t="shared" si="1862"/>
        <v/>
      </c>
      <c r="CZ598" s="539" t="str">
        <f t="shared" si="1862"/>
        <v/>
      </c>
      <c r="DA598" s="539" t="str">
        <f t="shared" si="1862"/>
        <v/>
      </c>
      <c r="DB598" s="538" t="str">
        <f t="shared" si="1862"/>
        <v/>
      </c>
      <c r="DC598" s="537" t="str">
        <f t="shared" si="1862"/>
        <v/>
      </c>
      <c r="DD598" s="641">
        <f t="shared" si="1847"/>
        <v>0</v>
      </c>
      <c r="DE598" s="95">
        <f t="shared" si="1848"/>
        <v>0</v>
      </c>
      <c r="DF598" s="95">
        <f t="shared" si="1849"/>
        <v>0</v>
      </c>
      <c r="DG598" s="95">
        <f t="shared" si="1850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286</v>
      </c>
      <c r="B599" s="618" t="str">
        <f t="shared" ref="B599:K599" si="1863">IF(B598="","",B594*B595*B598)</f>
        <v/>
      </c>
      <c r="C599" s="618" t="str">
        <f t="shared" si="1863"/>
        <v/>
      </c>
      <c r="D599" s="618" t="str">
        <f t="shared" si="1863"/>
        <v/>
      </c>
      <c r="E599" s="618" t="str">
        <f t="shared" si="1863"/>
        <v/>
      </c>
      <c r="F599" s="618" t="str">
        <f t="shared" si="1863"/>
        <v/>
      </c>
      <c r="G599" s="618" t="str">
        <f t="shared" si="1863"/>
        <v/>
      </c>
      <c r="H599" s="618" t="str">
        <f t="shared" si="1863"/>
        <v/>
      </c>
      <c r="I599" s="618" t="str">
        <f t="shared" si="1863"/>
        <v/>
      </c>
      <c r="J599" s="618" t="str">
        <f t="shared" si="1863"/>
        <v/>
      </c>
      <c r="K599" s="618" t="str">
        <f t="shared" si="1863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64">IF(T598="","",T594*T595*T598)</f>
        <v/>
      </c>
      <c r="U599" s="618" t="str">
        <f t="shared" si="1864"/>
        <v/>
      </c>
      <c r="V599" s="618" t="str">
        <f t="shared" si="1864"/>
        <v/>
      </c>
      <c r="W599" s="618" t="str">
        <f t="shared" si="1864"/>
        <v/>
      </c>
      <c r="X599" s="618" t="str">
        <f t="shared" si="1864"/>
        <v/>
      </c>
      <c r="Y599" s="618" t="str">
        <f t="shared" si="1864"/>
        <v/>
      </c>
      <c r="Z599" s="618" t="str">
        <f t="shared" si="1864"/>
        <v/>
      </c>
      <c r="AA599" s="618" t="str">
        <f t="shared" si="1864"/>
        <v/>
      </c>
      <c r="AB599" s="618" t="str">
        <f t="shared" si="1864"/>
        <v/>
      </c>
      <c r="AC599" s="618" t="str">
        <f t="shared" si="1864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65">IF(AL598="","",AL594*AL595*AL598)</f>
        <v/>
      </c>
      <c r="AM599" s="618" t="str">
        <f t="shared" si="1865"/>
        <v/>
      </c>
      <c r="AN599" s="618" t="str">
        <f t="shared" si="1865"/>
        <v/>
      </c>
      <c r="AO599" s="618" t="str">
        <f t="shared" si="1865"/>
        <v/>
      </c>
      <c r="AP599" s="618" t="str">
        <f t="shared" si="1865"/>
        <v/>
      </c>
      <c r="AQ599" s="618" t="str">
        <f t="shared" si="1865"/>
        <v/>
      </c>
      <c r="AR599" s="618" t="str">
        <f t="shared" si="1865"/>
        <v/>
      </c>
      <c r="AS599" s="618" t="str">
        <f t="shared" si="1865"/>
        <v/>
      </c>
      <c r="AT599" s="618" t="str">
        <f t="shared" si="1865"/>
        <v/>
      </c>
      <c r="AU599" s="618" t="str">
        <f t="shared" si="1865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66">IF(BD598="","",BD594*BD595*BD598)</f>
        <v/>
      </c>
      <c r="BE599" s="618" t="str">
        <f t="shared" si="1866"/>
        <v/>
      </c>
      <c r="BF599" s="618" t="str">
        <f t="shared" si="1866"/>
        <v/>
      </c>
      <c r="BG599" s="618" t="str">
        <f t="shared" si="1866"/>
        <v/>
      </c>
      <c r="BH599" s="618" t="str">
        <f t="shared" si="1866"/>
        <v/>
      </c>
      <c r="BI599" s="618" t="str">
        <f t="shared" si="1866"/>
        <v/>
      </c>
      <c r="BJ599" s="618" t="str">
        <f t="shared" si="1866"/>
        <v/>
      </c>
      <c r="BK599" s="618" t="str">
        <f t="shared" si="1866"/>
        <v/>
      </c>
      <c r="BL599" s="618" t="str">
        <f t="shared" si="1866"/>
        <v/>
      </c>
      <c r="BM599" s="618" t="str">
        <f t="shared" si="1866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42"/>
        <v/>
      </c>
      <c r="CA599" s="873" t="str">
        <f t="shared" si="1843"/>
        <v/>
      </c>
      <c r="CB599" s="873" t="str">
        <f t="shared" si="1844"/>
        <v/>
      </c>
      <c r="CC599" s="874" t="str">
        <f t="shared" si="1845"/>
        <v/>
      </c>
      <c r="CD599" s="1395"/>
      <c r="CE599" s="1396"/>
      <c r="CF599" s="1396"/>
      <c r="CG599" s="1396"/>
      <c r="CH599" s="1397"/>
      <c r="CI599" s="1397"/>
      <c r="CJ599" s="1396"/>
      <c r="CK599" s="1396"/>
      <c r="CL599" s="1396"/>
      <c r="CM599" s="1395"/>
      <c r="CN599" s="1398">
        <v>0</v>
      </c>
      <c r="CO599" s="1398">
        <v>0</v>
      </c>
      <c r="CP599" s="1398">
        <v>0</v>
      </c>
      <c r="CQ599" s="1399"/>
      <c r="CR599" s="539" t="str">
        <f t="shared" si="1862"/>
        <v/>
      </c>
      <c r="CS599" s="539" t="str">
        <f t="shared" si="1862"/>
        <v/>
      </c>
      <c r="CT599" s="540" t="str">
        <f t="shared" si="1862"/>
        <v/>
      </c>
      <c r="CU599" s="540" t="str">
        <f t="shared" si="1862"/>
        <v/>
      </c>
      <c r="CV599" s="540" t="str">
        <f t="shared" si="1862"/>
        <v/>
      </c>
      <c r="CW599" s="539" t="str">
        <f t="shared" si="1862"/>
        <v/>
      </c>
      <c r="CX599" s="539" t="str">
        <f t="shared" si="1862"/>
        <v/>
      </c>
      <c r="CY599" s="539" t="str">
        <f t="shared" si="1862"/>
        <v/>
      </c>
      <c r="CZ599" s="539" t="str">
        <f t="shared" si="1862"/>
        <v/>
      </c>
      <c r="DA599" s="539" t="str">
        <f t="shared" si="1862"/>
        <v/>
      </c>
      <c r="DB599" s="538" t="str">
        <f t="shared" si="1862"/>
        <v/>
      </c>
      <c r="DC599" s="537" t="str">
        <f t="shared" si="1862"/>
        <v/>
      </c>
      <c r="DD599" s="641">
        <f t="shared" si="1847"/>
        <v>0</v>
      </c>
      <c r="DE599" s="95">
        <f t="shared" si="1848"/>
        <v>0</v>
      </c>
      <c r="DF599" s="95">
        <f t="shared" si="1849"/>
        <v>0</v>
      </c>
      <c r="DG599" s="95">
        <f t="shared" si="1850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394" t="s">
        <v>734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293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6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7"/>
        <v/>
      </c>
      <c r="CF601" s="80" t="str">
        <f t="shared" si="1867"/>
        <v/>
      </c>
      <c r="CG601" s="80" t="str">
        <f t="shared" si="1867"/>
        <v/>
      </c>
      <c r="CH601" s="145" t="str">
        <f t="shared" si="1867"/>
        <v/>
      </c>
      <c r="CI601" s="145" t="str">
        <f t="shared" si="1867"/>
        <v/>
      </c>
      <c r="CJ601" s="80" t="str">
        <f t="shared" si="1867"/>
        <v/>
      </c>
      <c r="CK601" s="80" t="str">
        <f t="shared" si="1867"/>
        <v/>
      </c>
      <c r="CL601" s="80" t="str">
        <f t="shared" si="1867"/>
        <v/>
      </c>
      <c r="CM601" s="79" t="str">
        <f t="shared" si="1867"/>
        <v/>
      </c>
      <c r="CN601" s="538" t="str">
        <f t="shared" ref="CN601:DC605" si="1868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68"/>
        <v/>
      </c>
      <c r="CP601" s="539" t="str">
        <f t="shared" si="1868"/>
        <v/>
      </c>
      <c r="CQ601" s="539" t="str">
        <f t="shared" si="1868"/>
        <v/>
      </c>
      <c r="CR601" s="539" t="str">
        <f t="shared" si="1868"/>
        <v/>
      </c>
      <c r="CS601" s="539" t="str">
        <f t="shared" si="1868"/>
        <v/>
      </c>
      <c r="CT601" s="540" t="str">
        <f t="shared" si="1868"/>
        <v/>
      </c>
      <c r="CU601" s="540" t="str">
        <f t="shared" si="1868"/>
        <v/>
      </c>
      <c r="CV601" s="540" t="str">
        <f t="shared" si="1868"/>
        <v/>
      </c>
      <c r="CW601" s="539" t="str">
        <f t="shared" si="1868"/>
        <v/>
      </c>
      <c r="CX601" s="539" t="str">
        <f t="shared" si="1868"/>
        <v/>
      </c>
      <c r="CY601" s="539" t="str">
        <f t="shared" si="1868"/>
        <v/>
      </c>
      <c r="CZ601" s="539" t="str">
        <f t="shared" si="1868"/>
        <v/>
      </c>
      <c r="DA601" s="539" t="str">
        <f t="shared" si="1868"/>
        <v/>
      </c>
      <c r="DB601" s="538" t="str">
        <f t="shared" si="1868"/>
        <v/>
      </c>
      <c r="DC601" s="537" t="str">
        <f t="shared" si="1868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284</v>
      </c>
      <c r="B602" s="599">
        <f>2166*$K$1</f>
        <v>9068.6088</v>
      </c>
      <c r="C602" s="599">
        <f t="shared" ref="C602:K602" si="1869">2166*$K$1</f>
        <v>9068.6088</v>
      </c>
      <c r="D602" s="599">
        <f t="shared" si="1869"/>
        <v>9068.6088</v>
      </c>
      <c r="E602" s="599">
        <f t="shared" si="1869"/>
        <v>9068.6088</v>
      </c>
      <c r="F602" s="599">
        <f t="shared" si="1869"/>
        <v>9068.6088</v>
      </c>
      <c r="G602" s="599">
        <f t="shared" si="1869"/>
        <v>9068.6088</v>
      </c>
      <c r="H602" s="599">
        <f t="shared" si="1869"/>
        <v>9068.6088</v>
      </c>
      <c r="I602" s="599">
        <f t="shared" si="1869"/>
        <v>9068.6088</v>
      </c>
      <c r="J602" s="599">
        <f t="shared" si="1869"/>
        <v>9068.6088</v>
      </c>
      <c r="K602" s="599">
        <f t="shared" si="1869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70">2166*$K$1</f>
        <v>9068.6088</v>
      </c>
      <c r="V602" s="599">
        <f t="shared" si="1870"/>
        <v>9068.6088</v>
      </c>
      <c r="W602" s="599">
        <f t="shared" si="1870"/>
        <v>9068.6088</v>
      </c>
      <c r="X602" s="599">
        <f t="shared" si="1870"/>
        <v>9068.6088</v>
      </c>
      <c r="Y602" s="599">
        <f t="shared" si="1870"/>
        <v>9068.6088</v>
      </c>
      <c r="Z602" s="599">
        <f t="shared" si="1870"/>
        <v>9068.6088</v>
      </c>
      <c r="AA602" s="599">
        <f t="shared" si="1870"/>
        <v>9068.6088</v>
      </c>
      <c r="AB602" s="599">
        <f t="shared" si="1870"/>
        <v>9068.6088</v>
      </c>
      <c r="AC602" s="599">
        <f t="shared" si="1870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71">2166*$K$1</f>
        <v>9068.6088</v>
      </c>
      <c r="AN602" s="599">
        <f t="shared" si="1871"/>
        <v>9068.6088</v>
      </c>
      <c r="AO602" s="599">
        <f t="shared" si="1871"/>
        <v>9068.6088</v>
      </c>
      <c r="AP602" s="599">
        <f t="shared" si="1871"/>
        <v>9068.6088</v>
      </c>
      <c r="AQ602" s="599">
        <f t="shared" si="1871"/>
        <v>9068.6088</v>
      </c>
      <c r="AR602" s="599">
        <f t="shared" si="1871"/>
        <v>9068.6088</v>
      </c>
      <c r="AS602" s="599">
        <f t="shared" si="1871"/>
        <v>9068.6088</v>
      </c>
      <c r="AT602" s="599">
        <f t="shared" si="1871"/>
        <v>9068.6088</v>
      </c>
      <c r="AU602" s="599">
        <f t="shared" si="1871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72">2166*$K$1</f>
        <v>9068.6088</v>
      </c>
      <c r="BF602" s="599">
        <f t="shared" si="1872"/>
        <v>9068.6088</v>
      </c>
      <c r="BG602" s="599">
        <f t="shared" si="1872"/>
        <v>9068.6088</v>
      </c>
      <c r="BH602" s="599">
        <f t="shared" si="1872"/>
        <v>9068.6088</v>
      </c>
      <c r="BI602" s="599">
        <f t="shared" si="1872"/>
        <v>9068.6088</v>
      </c>
      <c r="BJ602" s="599">
        <f t="shared" si="1872"/>
        <v>9068.6088</v>
      </c>
      <c r="BK602" s="599">
        <f t="shared" si="1872"/>
        <v>9068.6088</v>
      </c>
      <c r="BL602" s="599">
        <f t="shared" si="1872"/>
        <v>9068.6088</v>
      </c>
      <c r="BM602" s="599">
        <f t="shared" si="1872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72"/>
        <v>9068.6088</v>
      </c>
      <c r="BW602" s="599">
        <f t="shared" si="1872"/>
        <v>9068.6088</v>
      </c>
      <c r="BX602" s="599">
        <f t="shared" si="1872"/>
        <v>9068.6088</v>
      </c>
      <c r="BY602" s="599">
        <f t="shared" si="1872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67"/>
        <v>9068.6088</v>
      </c>
      <c r="CE602" s="80">
        <f t="shared" si="1867"/>
        <v>9068.6088</v>
      </c>
      <c r="CF602" s="80">
        <f t="shared" si="1867"/>
        <v>9068.6088</v>
      </c>
      <c r="CG602" s="80">
        <f t="shared" si="1867"/>
        <v>9068.6088</v>
      </c>
      <c r="CH602" s="145">
        <f t="shared" si="1867"/>
        <v>9068.6088</v>
      </c>
      <c r="CI602" s="145">
        <f t="shared" si="1867"/>
        <v>9068.6088</v>
      </c>
      <c r="CJ602" s="80">
        <f t="shared" si="1867"/>
        <v>9068.6088</v>
      </c>
      <c r="CK602" s="80">
        <f t="shared" si="1867"/>
        <v>9068.6088</v>
      </c>
      <c r="CL602" s="80">
        <f t="shared" si="1867"/>
        <v>9068.6088</v>
      </c>
      <c r="CM602" s="79">
        <f t="shared" si="1867"/>
        <v>9068.6088</v>
      </c>
      <c r="CN602" s="538" t="str">
        <f t="shared" si="1868"/>
        <v/>
      </c>
      <c r="CO602" s="539" t="str">
        <f t="shared" si="1868"/>
        <v/>
      </c>
      <c r="CP602" s="539" t="str">
        <f t="shared" si="1868"/>
        <v/>
      </c>
      <c r="CQ602" s="539">
        <f t="shared" si="1868"/>
        <v>9068.6088</v>
      </c>
      <c r="CR602" s="539">
        <f t="shared" si="1868"/>
        <v>9068.6088</v>
      </c>
      <c r="CS602" s="539">
        <f t="shared" si="1868"/>
        <v>9068.6088</v>
      </c>
      <c r="CT602" s="540">
        <f t="shared" si="1868"/>
        <v>9068.6088</v>
      </c>
      <c r="CU602" s="540">
        <f t="shared" si="1868"/>
        <v>9068.6088</v>
      </c>
      <c r="CV602" s="540">
        <f t="shared" si="1868"/>
        <v>9068.6088</v>
      </c>
      <c r="CW602" s="539">
        <f t="shared" si="1868"/>
        <v>9068.6088</v>
      </c>
      <c r="CX602" s="539">
        <f t="shared" si="1868"/>
        <v>9068.6088</v>
      </c>
      <c r="CY602" s="539">
        <f t="shared" si="1868"/>
        <v>9068.6088</v>
      </c>
      <c r="CZ602" s="539">
        <f t="shared" si="1868"/>
        <v>9068.6088</v>
      </c>
      <c r="DA602" s="539" t="str">
        <f t="shared" si="1868"/>
        <v/>
      </c>
      <c r="DB602" s="538" t="str">
        <f t="shared" si="1868"/>
        <v/>
      </c>
      <c r="DC602" s="537" t="str">
        <f t="shared" si="1868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227</v>
      </c>
      <c r="B603" s="621" t="str">
        <f t="shared" ref="B603:K603" si="1873">IF(B601="","",B601*B602/B$46/365/$G$1)</f>
        <v/>
      </c>
      <c r="C603" s="621" t="str">
        <f t="shared" si="1873"/>
        <v/>
      </c>
      <c r="D603" s="621" t="str">
        <f t="shared" si="1873"/>
        <v/>
      </c>
      <c r="E603" s="621" t="str">
        <f t="shared" si="1873"/>
        <v/>
      </c>
      <c r="F603" s="621" t="str">
        <f t="shared" si="1873"/>
        <v/>
      </c>
      <c r="G603" s="621" t="str">
        <f t="shared" si="1873"/>
        <v/>
      </c>
      <c r="H603" s="621" t="str">
        <f t="shared" si="1873"/>
        <v/>
      </c>
      <c r="I603" s="621" t="str">
        <f t="shared" si="1873"/>
        <v/>
      </c>
      <c r="J603" s="621" t="str">
        <f t="shared" si="1873"/>
        <v/>
      </c>
      <c r="K603" s="621" t="str">
        <f t="shared" si="1873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74">IF(T601="","",T601*T602/T$46/365/$G$1)</f>
        <v/>
      </c>
      <c r="U603" s="621" t="str">
        <f t="shared" si="1874"/>
        <v/>
      </c>
      <c r="V603" s="621" t="str">
        <f t="shared" si="1874"/>
        <v/>
      </c>
      <c r="W603" s="621" t="str">
        <f t="shared" si="1874"/>
        <v/>
      </c>
      <c r="X603" s="621" t="str">
        <f t="shared" si="1874"/>
        <v/>
      </c>
      <c r="Y603" s="621" t="str">
        <f t="shared" si="1874"/>
        <v/>
      </c>
      <c r="Z603" s="621" t="str">
        <f t="shared" si="1874"/>
        <v/>
      </c>
      <c r="AA603" s="621" t="str">
        <f t="shared" si="1874"/>
        <v/>
      </c>
      <c r="AB603" s="621" t="str">
        <f t="shared" si="1874"/>
        <v/>
      </c>
      <c r="AC603" s="621" t="str">
        <f t="shared" si="1874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75">IF(AL601="","",AL601*AL602/AL$46/365/$G$1)</f>
        <v/>
      </c>
      <c r="AM603" s="621" t="str">
        <f t="shared" si="1875"/>
        <v/>
      </c>
      <c r="AN603" s="621" t="str">
        <f t="shared" si="1875"/>
        <v/>
      </c>
      <c r="AO603" s="621" t="str">
        <f t="shared" si="1875"/>
        <v/>
      </c>
      <c r="AP603" s="621" t="str">
        <f t="shared" si="1875"/>
        <v/>
      </c>
      <c r="AQ603" s="621" t="str">
        <f t="shared" si="1875"/>
        <v/>
      </c>
      <c r="AR603" s="621" t="str">
        <f t="shared" si="1875"/>
        <v/>
      </c>
      <c r="AS603" s="621" t="str">
        <f t="shared" si="1875"/>
        <v/>
      </c>
      <c r="AT603" s="621" t="str">
        <f t="shared" si="1875"/>
        <v/>
      </c>
      <c r="AU603" s="621" t="str">
        <f t="shared" si="1875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76">IF(BD601="","",BD601*BD602/BD$46/365/$G$1)</f>
        <v/>
      </c>
      <c r="BE603" s="621" t="str">
        <f t="shared" si="1876"/>
        <v/>
      </c>
      <c r="BF603" s="621" t="str">
        <f t="shared" si="1876"/>
        <v/>
      </c>
      <c r="BG603" s="621" t="str">
        <f t="shared" si="1876"/>
        <v/>
      </c>
      <c r="BH603" s="621" t="str">
        <f t="shared" si="1876"/>
        <v/>
      </c>
      <c r="BI603" s="621" t="str">
        <f t="shared" si="1876"/>
        <v/>
      </c>
      <c r="BJ603" s="621" t="str">
        <f t="shared" si="1876"/>
        <v/>
      </c>
      <c r="BK603" s="621" t="str">
        <f t="shared" si="1876"/>
        <v/>
      </c>
      <c r="BL603" s="621" t="str">
        <f t="shared" si="1876"/>
        <v/>
      </c>
      <c r="BM603" s="621" t="str">
        <f t="shared" si="1876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19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0" t="str">
        <f t="shared" ref="CE603:CM603" si="18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0" t="str">
        <f t="shared" si="1877"/>
        <v/>
      </c>
      <c r="CG603" s="1320" t="str">
        <f t="shared" si="1877"/>
        <v/>
      </c>
      <c r="CH603" s="1321" t="str">
        <f t="shared" si="1877"/>
        <v/>
      </c>
      <c r="CI603" s="1321" t="str">
        <f t="shared" si="1877"/>
        <v/>
      </c>
      <c r="CJ603" s="1320" t="str">
        <f t="shared" si="1877"/>
        <v/>
      </c>
      <c r="CK603" s="1320" t="str">
        <f t="shared" si="1877"/>
        <v/>
      </c>
      <c r="CL603" s="1320" t="str">
        <f t="shared" si="1877"/>
        <v/>
      </c>
      <c r="CM603" s="1319" t="str">
        <f t="shared" si="1877"/>
        <v/>
      </c>
      <c r="CN603" s="526" t="str">
        <f t="shared" ref="CN603:CV603" si="1878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78"/>
        <v/>
      </c>
      <c r="CP603" s="527" t="str">
        <f t="shared" si="1878"/>
        <v/>
      </c>
      <c r="CQ603" s="527" t="str">
        <f t="shared" si="1878"/>
        <v/>
      </c>
      <c r="CR603" s="527" t="str">
        <f t="shared" si="1878"/>
        <v/>
      </c>
      <c r="CS603" s="527" t="str">
        <f t="shared" si="1878"/>
        <v/>
      </c>
      <c r="CT603" s="528" t="str">
        <f t="shared" si="1878"/>
        <v/>
      </c>
      <c r="CU603" s="528" t="str">
        <f t="shared" si="1878"/>
        <v/>
      </c>
      <c r="CV603" s="528" t="str">
        <f t="shared" si="1878"/>
        <v/>
      </c>
      <c r="CW603" s="527" t="str">
        <f t="shared" ref="CW603:DC603" si="1879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79"/>
        <v/>
      </c>
      <c r="CY603" s="527" t="str">
        <f t="shared" si="1879"/>
        <v/>
      </c>
      <c r="CZ603" s="527" t="str">
        <f t="shared" si="1879"/>
        <v/>
      </c>
      <c r="DA603" s="527" t="str">
        <f t="shared" si="1879"/>
        <v/>
      </c>
      <c r="DB603" s="526" t="str">
        <f t="shared" si="1879"/>
        <v/>
      </c>
      <c r="DC603" s="525" t="str">
        <f t="shared" si="1879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288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67"/>
        <v/>
      </c>
      <c r="CE604" s="80" t="str">
        <f t="shared" si="1867"/>
        <v/>
      </c>
      <c r="CF604" s="80" t="str">
        <f t="shared" si="1867"/>
        <v/>
      </c>
      <c r="CG604" s="80" t="str">
        <f t="shared" si="1867"/>
        <v/>
      </c>
      <c r="CH604" s="145" t="str">
        <f t="shared" si="1867"/>
        <v/>
      </c>
      <c r="CI604" s="145" t="str">
        <f t="shared" si="1867"/>
        <v/>
      </c>
      <c r="CJ604" s="80" t="str">
        <f t="shared" si="1867"/>
        <v/>
      </c>
      <c r="CK604" s="80" t="str">
        <f t="shared" si="1867"/>
        <v/>
      </c>
      <c r="CL604" s="80" t="str">
        <f t="shared" si="1867"/>
        <v/>
      </c>
      <c r="CM604" s="79" t="str">
        <f t="shared" si="1867"/>
        <v/>
      </c>
      <c r="CN604" s="538" t="str">
        <f t="shared" si="1868"/>
        <v/>
      </c>
      <c r="CO604" s="539" t="str">
        <f t="shared" si="1868"/>
        <v/>
      </c>
      <c r="CP604" s="539" t="str">
        <f t="shared" si="1868"/>
        <v/>
      </c>
      <c r="CQ604" s="539" t="str">
        <f t="shared" si="1868"/>
        <v/>
      </c>
      <c r="CR604" s="539" t="str">
        <f t="shared" si="1868"/>
        <v/>
      </c>
      <c r="CS604" s="539" t="str">
        <f t="shared" si="1868"/>
        <v/>
      </c>
      <c r="CT604" s="540" t="str">
        <f t="shared" si="1868"/>
        <v/>
      </c>
      <c r="CU604" s="540" t="str">
        <f t="shared" si="1868"/>
        <v/>
      </c>
      <c r="CV604" s="540" t="str">
        <f t="shared" si="1868"/>
        <v/>
      </c>
      <c r="CW604" s="539" t="str">
        <f t="shared" si="1868"/>
        <v/>
      </c>
      <c r="CX604" s="539" t="str">
        <f t="shared" si="1868"/>
        <v/>
      </c>
      <c r="CY604" s="539" t="str">
        <f t="shared" si="1868"/>
        <v/>
      </c>
      <c r="CZ604" s="539" t="str">
        <f t="shared" si="1868"/>
        <v/>
      </c>
      <c r="DA604" s="539" t="str">
        <f t="shared" si="1868"/>
        <v/>
      </c>
      <c r="DB604" s="538" t="str">
        <f t="shared" si="1868"/>
        <v/>
      </c>
      <c r="DC604" s="537" t="str">
        <f t="shared" si="1868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286</v>
      </c>
      <c r="B605" s="618" t="str">
        <f t="shared" ref="B605:K605" si="1880">IF(B604="","",B601*B604)</f>
        <v/>
      </c>
      <c r="C605" s="618" t="str">
        <f t="shared" si="1880"/>
        <v/>
      </c>
      <c r="D605" s="618" t="str">
        <f t="shared" si="1880"/>
        <v/>
      </c>
      <c r="E605" s="618" t="str">
        <f t="shared" si="1880"/>
        <v/>
      </c>
      <c r="F605" s="618" t="str">
        <f t="shared" si="1880"/>
        <v/>
      </c>
      <c r="G605" s="618" t="str">
        <f t="shared" si="1880"/>
        <v/>
      </c>
      <c r="H605" s="618" t="str">
        <f t="shared" si="1880"/>
        <v/>
      </c>
      <c r="I605" s="618" t="str">
        <f t="shared" si="1880"/>
        <v/>
      </c>
      <c r="J605" s="618" t="str">
        <f t="shared" si="1880"/>
        <v/>
      </c>
      <c r="K605" s="618" t="str">
        <f t="shared" si="1880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81">IF(T604="","",T601*T604)</f>
        <v/>
      </c>
      <c r="U605" s="618" t="str">
        <f t="shared" si="1881"/>
        <v/>
      </c>
      <c r="V605" s="618" t="str">
        <f t="shared" si="1881"/>
        <v/>
      </c>
      <c r="W605" s="618" t="str">
        <f t="shared" si="1881"/>
        <v/>
      </c>
      <c r="X605" s="618" t="str">
        <f t="shared" si="1881"/>
        <v/>
      </c>
      <c r="Y605" s="618" t="str">
        <f t="shared" si="1881"/>
        <v/>
      </c>
      <c r="Z605" s="618" t="str">
        <f t="shared" si="1881"/>
        <v/>
      </c>
      <c r="AA605" s="618" t="str">
        <f t="shared" si="1881"/>
        <v/>
      </c>
      <c r="AB605" s="618" t="str">
        <f t="shared" si="1881"/>
        <v/>
      </c>
      <c r="AC605" s="618" t="str">
        <f t="shared" si="1881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82">IF(AL604="","",AL601*AL604)</f>
        <v/>
      </c>
      <c r="AM605" s="618" t="str">
        <f t="shared" si="1882"/>
        <v/>
      </c>
      <c r="AN605" s="618" t="str">
        <f t="shared" si="1882"/>
        <v/>
      </c>
      <c r="AO605" s="618" t="str">
        <f t="shared" si="1882"/>
        <v/>
      </c>
      <c r="AP605" s="618" t="str">
        <f t="shared" si="1882"/>
        <v/>
      </c>
      <c r="AQ605" s="618" t="str">
        <f t="shared" si="1882"/>
        <v/>
      </c>
      <c r="AR605" s="618" t="str">
        <f t="shared" si="1882"/>
        <v/>
      </c>
      <c r="AS605" s="618" t="str">
        <f t="shared" si="1882"/>
        <v/>
      </c>
      <c r="AT605" s="618" t="str">
        <f t="shared" si="1882"/>
        <v/>
      </c>
      <c r="AU605" s="618" t="str">
        <f t="shared" si="1882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83">IF(BD604="","",BD601*BD604)</f>
        <v/>
      </c>
      <c r="BE605" s="618" t="str">
        <f t="shared" si="1883"/>
        <v/>
      </c>
      <c r="BF605" s="618" t="str">
        <f t="shared" si="1883"/>
        <v/>
      </c>
      <c r="BG605" s="618" t="str">
        <f t="shared" si="1883"/>
        <v/>
      </c>
      <c r="BH605" s="618" t="str">
        <f t="shared" si="1883"/>
        <v/>
      </c>
      <c r="BI605" s="618" t="str">
        <f t="shared" si="1883"/>
        <v/>
      </c>
      <c r="BJ605" s="618" t="str">
        <f t="shared" si="1883"/>
        <v/>
      </c>
      <c r="BK605" s="618" t="str">
        <f t="shared" si="1883"/>
        <v/>
      </c>
      <c r="BL605" s="618" t="str">
        <f t="shared" si="1883"/>
        <v/>
      </c>
      <c r="BM605" s="618" t="str">
        <f t="shared" si="1883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67"/>
        <v/>
      </c>
      <c r="CE605" s="80" t="str">
        <f t="shared" si="1867"/>
        <v/>
      </c>
      <c r="CF605" s="80" t="str">
        <f t="shared" si="1867"/>
        <v/>
      </c>
      <c r="CG605" s="80" t="str">
        <f t="shared" si="1867"/>
        <v/>
      </c>
      <c r="CH605" s="145" t="str">
        <f t="shared" si="1867"/>
        <v/>
      </c>
      <c r="CI605" s="145" t="str">
        <f t="shared" si="1867"/>
        <v/>
      </c>
      <c r="CJ605" s="80" t="str">
        <f t="shared" si="1867"/>
        <v/>
      </c>
      <c r="CK605" s="80" t="str">
        <f t="shared" si="1867"/>
        <v/>
      </c>
      <c r="CL605" s="80" t="str">
        <f t="shared" si="1867"/>
        <v/>
      </c>
      <c r="CM605" s="79" t="str">
        <f t="shared" si="1867"/>
        <v/>
      </c>
      <c r="CN605" s="538" t="str">
        <f t="shared" si="1868"/>
        <v/>
      </c>
      <c r="CO605" s="539" t="str">
        <f t="shared" si="1868"/>
        <v/>
      </c>
      <c r="CP605" s="539" t="str">
        <f t="shared" si="1868"/>
        <v/>
      </c>
      <c r="CQ605" s="539" t="str">
        <f t="shared" si="1868"/>
        <v/>
      </c>
      <c r="CR605" s="539" t="str">
        <f t="shared" si="1868"/>
        <v/>
      </c>
      <c r="CS605" s="539" t="str">
        <f t="shared" si="1868"/>
        <v/>
      </c>
      <c r="CT605" s="540" t="str">
        <f t="shared" si="1868"/>
        <v/>
      </c>
      <c r="CU605" s="540" t="str">
        <f t="shared" si="1868"/>
        <v/>
      </c>
      <c r="CV605" s="540" t="str">
        <f t="shared" si="1868"/>
        <v/>
      </c>
      <c r="CW605" s="539" t="str">
        <f t="shared" si="1868"/>
        <v/>
      </c>
      <c r="CX605" s="539" t="str">
        <f t="shared" si="1868"/>
        <v/>
      </c>
      <c r="CY605" s="539" t="str">
        <f t="shared" si="1868"/>
        <v/>
      </c>
      <c r="CZ605" s="539" t="str">
        <f t="shared" si="1868"/>
        <v/>
      </c>
      <c r="DA605" s="539" t="str">
        <f t="shared" si="1868"/>
        <v/>
      </c>
      <c r="DB605" s="538" t="str">
        <f t="shared" si="1868"/>
        <v/>
      </c>
      <c r="DC605" s="537" t="str">
        <f t="shared" si="1868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394" t="s">
        <v>735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293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1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17" t="str">
        <f t="shared" ref="CE607:CM609" si="18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7" t="str">
        <f t="shared" si="1884"/>
        <v/>
      </c>
      <c r="CG607" s="1317" t="str">
        <f t="shared" si="1884"/>
        <v/>
      </c>
      <c r="CH607" s="1318">
        <f t="shared" si="1884"/>
        <v>12</v>
      </c>
      <c r="CI607" s="1318" t="str">
        <f t="shared" si="1884"/>
        <v/>
      </c>
      <c r="CJ607" s="1317" t="str">
        <f t="shared" si="1884"/>
        <v/>
      </c>
      <c r="CK607" s="1317" t="str">
        <f t="shared" si="1884"/>
        <v/>
      </c>
      <c r="CL607" s="1317" t="str">
        <f t="shared" si="1884"/>
        <v/>
      </c>
      <c r="CM607" s="1316" t="str">
        <f t="shared" si="1884"/>
        <v/>
      </c>
      <c r="CN607" s="538" t="str">
        <f t="shared" ref="CN607:CV611" si="1885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85"/>
        <v/>
      </c>
      <c r="CP607" s="539" t="str">
        <f t="shared" si="1885"/>
        <v/>
      </c>
      <c r="CQ607" s="539" t="str">
        <f t="shared" si="1885"/>
        <v/>
      </c>
      <c r="CR607" s="539" t="str">
        <f t="shared" si="1885"/>
        <v/>
      </c>
      <c r="CS607" s="539" t="str">
        <f t="shared" si="1885"/>
        <v/>
      </c>
      <c r="CT607" s="540" t="str">
        <f t="shared" si="1885"/>
        <v/>
      </c>
      <c r="CU607" s="540" t="str">
        <f t="shared" si="1885"/>
        <v/>
      </c>
      <c r="CV607" s="540" t="str">
        <f t="shared" si="1885"/>
        <v/>
      </c>
      <c r="CW607" s="539" t="str">
        <f t="shared" ref="CW607:DC611" si="1886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86"/>
        <v/>
      </c>
      <c r="CY607" s="539" t="str">
        <f t="shared" si="1886"/>
        <v/>
      </c>
      <c r="CZ607" s="539" t="str">
        <f t="shared" si="1886"/>
        <v/>
      </c>
      <c r="DA607" s="539" t="str">
        <f t="shared" si="1886"/>
        <v/>
      </c>
      <c r="DB607" s="538" t="str">
        <f t="shared" si="1886"/>
        <v/>
      </c>
      <c r="DC607" s="537" t="str">
        <f t="shared" si="1886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284</v>
      </c>
      <c r="B608" s="599">
        <f>5470*$K$1</f>
        <v>22901.795999999998</v>
      </c>
      <c r="C608" s="599">
        <f t="shared" ref="C608:K608" si="1887">5470*$K$1</f>
        <v>22901.795999999998</v>
      </c>
      <c r="D608" s="599">
        <f t="shared" si="1887"/>
        <v>22901.795999999998</v>
      </c>
      <c r="E608" s="599">
        <f t="shared" si="1887"/>
        <v>22901.795999999998</v>
      </c>
      <c r="F608" s="599">
        <f t="shared" si="1887"/>
        <v>22901.795999999998</v>
      </c>
      <c r="G608" s="599">
        <f t="shared" si="1887"/>
        <v>22901.795999999998</v>
      </c>
      <c r="H608" s="599">
        <f t="shared" si="1887"/>
        <v>22901.795999999998</v>
      </c>
      <c r="I608" s="599">
        <f t="shared" si="1887"/>
        <v>22901.795999999998</v>
      </c>
      <c r="J608" s="599">
        <f t="shared" si="1887"/>
        <v>22901.795999999998</v>
      </c>
      <c r="K608" s="599">
        <f t="shared" si="1887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88">5470*$K$1</f>
        <v>22901.795999999998</v>
      </c>
      <c r="V608" s="599">
        <f t="shared" si="1888"/>
        <v>22901.795999999998</v>
      </c>
      <c r="W608" s="599">
        <f t="shared" si="1888"/>
        <v>22901.795999999998</v>
      </c>
      <c r="X608" s="599">
        <f t="shared" si="1888"/>
        <v>22901.795999999998</v>
      </c>
      <c r="Y608" s="599">
        <f t="shared" si="1888"/>
        <v>22901.795999999998</v>
      </c>
      <c r="Z608" s="599">
        <f t="shared" si="1888"/>
        <v>22901.795999999998</v>
      </c>
      <c r="AA608" s="599">
        <f t="shared" si="1888"/>
        <v>22901.795999999998</v>
      </c>
      <c r="AB608" s="599">
        <f t="shared" si="1888"/>
        <v>22901.795999999998</v>
      </c>
      <c r="AC608" s="599">
        <f t="shared" si="1888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89">5470*$K$1</f>
        <v>22901.795999999998</v>
      </c>
      <c r="AN608" s="599">
        <f t="shared" si="1889"/>
        <v>22901.795999999998</v>
      </c>
      <c r="AO608" s="599">
        <f t="shared" si="1889"/>
        <v>22901.795999999998</v>
      </c>
      <c r="AP608" s="599">
        <f t="shared" si="1889"/>
        <v>22901.795999999998</v>
      </c>
      <c r="AQ608" s="599">
        <f t="shared" si="1889"/>
        <v>22901.795999999998</v>
      </c>
      <c r="AR608" s="599">
        <f t="shared" si="1889"/>
        <v>22901.795999999998</v>
      </c>
      <c r="AS608" s="599">
        <f t="shared" si="1889"/>
        <v>22901.795999999998</v>
      </c>
      <c r="AT608" s="599">
        <f t="shared" si="1889"/>
        <v>22901.795999999998</v>
      </c>
      <c r="AU608" s="599">
        <f t="shared" si="1889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90">5470*$K$1</f>
        <v>22901.795999999998</v>
      </c>
      <c r="BF608" s="599">
        <f t="shared" si="1890"/>
        <v>22901.795999999998</v>
      </c>
      <c r="BG608" s="599">
        <f t="shared" si="1890"/>
        <v>22901.795999999998</v>
      </c>
      <c r="BH608" s="599">
        <f t="shared" si="1890"/>
        <v>22901.795999999998</v>
      </c>
      <c r="BI608" s="599">
        <f t="shared" si="1890"/>
        <v>22901.795999999998</v>
      </c>
      <c r="BJ608" s="599">
        <f t="shared" si="1890"/>
        <v>22901.795999999998</v>
      </c>
      <c r="BK608" s="599">
        <f t="shared" si="1890"/>
        <v>22901.795999999998</v>
      </c>
      <c r="BL608" s="599">
        <f t="shared" si="1890"/>
        <v>22901.795999999998</v>
      </c>
      <c r="BM608" s="599">
        <f t="shared" si="1890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90"/>
        <v>22901.795999999998</v>
      </c>
      <c r="BW608" s="599">
        <f t="shared" si="1890"/>
        <v>22901.795999999998</v>
      </c>
      <c r="BX608" s="599">
        <f t="shared" si="1890"/>
        <v>22901.795999999998</v>
      </c>
      <c r="BY608" s="599">
        <f t="shared" si="1890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1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17">
        <f t="shared" si="1884"/>
        <v>22901.795999999998</v>
      </c>
      <c r="CF608" s="1317">
        <f t="shared" si="1884"/>
        <v>22901.795999999998</v>
      </c>
      <c r="CG608" s="1317">
        <f t="shared" si="1884"/>
        <v>22901.795999999998</v>
      </c>
      <c r="CH608" s="1318">
        <f t="shared" si="1884"/>
        <v>22901.795999999998</v>
      </c>
      <c r="CI608" s="1318">
        <f t="shared" si="1884"/>
        <v>22901.795999999998</v>
      </c>
      <c r="CJ608" s="1317">
        <f t="shared" si="1884"/>
        <v>22901.795999999998</v>
      </c>
      <c r="CK608" s="1317">
        <f t="shared" si="1884"/>
        <v>22901.795999999998</v>
      </c>
      <c r="CL608" s="1317">
        <f t="shared" si="1884"/>
        <v>22901.795999999998</v>
      </c>
      <c r="CM608" s="1316">
        <f t="shared" si="1884"/>
        <v>22901.795999999998</v>
      </c>
      <c r="CN608" s="538" t="str">
        <f t="shared" si="1885"/>
        <v/>
      </c>
      <c r="CO608" s="539" t="str">
        <f t="shared" si="1885"/>
        <v/>
      </c>
      <c r="CP608" s="539" t="str">
        <f t="shared" si="1885"/>
        <v/>
      </c>
      <c r="CQ608" s="539">
        <f t="shared" si="1885"/>
        <v>22901.795999999998</v>
      </c>
      <c r="CR608" s="539">
        <f t="shared" si="1885"/>
        <v>22901.795999999998</v>
      </c>
      <c r="CS608" s="539">
        <f t="shared" si="1885"/>
        <v>22901.795999999998</v>
      </c>
      <c r="CT608" s="540">
        <f t="shared" si="1885"/>
        <v>22901.795999999998</v>
      </c>
      <c r="CU608" s="540">
        <f t="shared" si="1885"/>
        <v>22901.795999999998</v>
      </c>
      <c r="CV608" s="540">
        <f t="shared" si="1885"/>
        <v>22901.795999999998</v>
      </c>
      <c r="CW608" s="539">
        <f t="shared" si="1886"/>
        <v>22901.795999999998</v>
      </c>
      <c r="CX608" s="539">
        <f t="shared" si="1886"/>
        <v>22901.795999999998</v>
      </c>
      <c r="CY608" s="539">
        <f t="shared" si="1886"/>
        <v>22901.795999999998</v>
      </c>
      <c r="CZ608" s="539">
        <f t="shared" si="1886"/>
        <v>22901.795999999998</v>
      </c>
      <c r="DA608" s="539" t="str">
        <f t="shared" si="1886"/>
        <v/>
      </c>
      <c r="DB608" s="538" t="str">
        <f t="shared" si="1886"/>
        <v/>
      </c>
      <c r="DC608" s="537" t="str">
        <f t="shared" si="1886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227</v>
      </c>
      <c r="B609" s="621" t="str">
        <f t="shared" ref="B609:K609" si="1891">IF(B607="","",B607*B608/B$46/365/$G$1)</f>
        <v/>
      </c>
      <c r="C609" s="621" t="str">
        <f t="shared" si="1891"/>
        <v/>
      </c>
      <c r="D609" s="621" t="str">
        <f t="shared" si="1891"/>
        <v/>
      </c>
      <c r="E609" s="621" t="str">
        <f t="shared" si="1891"/>
        <v/>
      </c>
      <c r="F609" s="621" t="str">
        <f t="shared" si="1891"/>
        <v/>
      </c>
      <c r="G609" s="621" t="str">
        <f t="shared" si="1891"/>
        <v/>
      </c>
      <c r="H609" s="621" t="str">
        <f t="shared" si="1891"/>
        <v/>
      </c>
      <c r="I609" s="621" t="str">
        <f t="shared" si="1891"/>
        <v/>
      </c>
      <c r="J609" s="621" t="str">
        <f t="shared" si="1891"/>
        <v/>
      </c>
      <c r="K609" s="621" t="str">
        <f t="shared" si="1891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92">IF(T607="","",T607*T608/T$46/365/$G$1)</f>
        <v/>
      </c>
      <c r="U609" s="621" t="str">
        <f t="shared" si="1892"/>
        <v/>
      </c>
      <c r="V609" s="621" t="str">
        <f t="shared" si="1892"/>
        <v/>
      </c>
      <c r="W609" s="621" t="str">
        <f t="shared" si="1892"/>
        <v/>
      </c>
      <c r="X609" s="621" t="str">
        <f t="shared" si="1892"/>
        <v/>
      </c>
      <c r="Y609" s="621" t="str">
        <f t="shared" si="1892"/>
        <v/>
      </c>
      <c r="Z609" s="621" t="str">
        <f t="shared" si="1892"/>
        <v/>
      </c>
      <c r="AA609" s="621" t="str">
        <f t="shared" si="1892"/>
        <v/>
      </c>
      <c r="AB609" s="621" t="str">
        <f t="shared" si="1892"/>
        <v/>
      </c>
      <c r="AC609" s="621" t="str">
        <f t="shared" si="1892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93">IF(AL607="","",AL607*AL608/AL$46/365/$G$1)</f>
        <v/>
      </c>
      <c r="AM609" s="621">
        <f t="shared" si="1893"/>
        <v>1.0695110211706101E-2</v>
      </c>
      <c r="AN609" s="621" t="str">
        <f t="shared" si="1893"/>
        <v/>
      </c>
      <c r="AO609" s="621" t="str">
        <f t="shared" si="1893"/>
        <v/>
      </c>
      <c r="AP609" s="621" t="str">
        <f t="shared" si="1893"/>
        <v/>
      </c>
      <c r="AQ609" s="621" t="str">
        <f t="shared" si="1893"/>
        <v/>
      </c>
      <c r="AR609" s="621" t="str">
        <f t="shared" si="1893"/>
        <v/>
      </c>
      <c r="AS609" s="621" t="str">
        <f t="shared" si="1893"/>
        <v/>
      </c>
      <c r="AT609" s="621" t="str">
        <f t="shared" si="1893"/>
        <v/>
      </c>
      <c r="AU609" s="621" t="str">
        <f t="shared" si="1893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94">IF(BD607="","",BD607*BD608/BD$46/365/$G$1)</f>
        <v/>
      </c>
      <c r="BE609" s="621" t="str">
        <f t="shared" si="1894"/>
        <v/>
      </c>
      <c r="BF609" s="621" t="str">
        <f t="shared" si="1894"/>
        <v/>
      </c>
      <c r="BG609" s="621" t="str">
        <f t="shared" si="1894"/>
        <v/>
      </c>
      <c r="BH609" s="621" t="str">
        <f t="shared" si="1894"/>
        <v/>
      </c>
      <c r="BI609" s="621" t="str">
        <f t="shared" si="1894"/>
        <v/>
      </c>
      <c r="BJ609" s="621" t="str">
        <f t="shared" si="1894"/>
        <v/>
      </c>
      <c r="BK609" s="621" t="str">
        <f t="shared" si="1894"/>
        <v/>
      </c>
      <c r="BL609" s="621" t="str">
        <f t="shared" si="1894"/>
        <v/>
      </c>
      <c r="BM609" s="621" t="str">
        <f t="shared" si="1894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19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0" t="str">
        <f t="shared" si="1884"/>
        <v/>
      </c>
      <c r="CF609" s="1320" t="str">
        <f t="shared" si="1884"/>
        <v/>
      </c>
      <c r="CG609" s="1320" t="str">
        <f t="shared" si="1884"/>
        <v/>
      </c>
      <c r="CH609" s="1321">
        <f t="shared" si="1884"/>
        <v>1.0695110211706101E-2</v>
      </c>
      <c r="CI609" s="1321" t="str">
        <f t="shared" si="1884"/>
        <v/>
      </c>
      <c r="CJ609" s="1320" t="str">
        <f t="shared" si="1884"/>
        <v/>
      </c>
      <c r="CK609" s="1320" t="str">
        <f t="shared" si="1884"/>
        <v/>
      </c>
      <c r="CL609" s="1320" t="str">
        <f t="shared" si="1884"/>
        <v/>
      </c>
      <c r="CM609" s="1319" t="str">
        <f t="shared" si="1884"/>
        <v/>
      </c>
      <c r="CN609" s="526" t="str">
        <f t="shared" si="1885"/>
        <v/>
      </c>
      <c r="CO609" s="527" t="str">
        <f t="shared" si="1885"/>
        <v/>
      </c>
      <c r="CP609" s="527" t="str">
        <f t="shared" si="1885"/>
        <v/>
      </c>
      <c r="CQ609" s="527" t="str">
        <f t="shared" si="1885"/>
        <v/>
      </c>
      <c r="CR609" s="527" t="str">
        <f t="shared" si="1885"/>
        <v/>
      </c>
      <c r="CS609" s="527" t="str">
        <f t="shared" si="1885"/>
        <v/>
      </c>
      <c r="CT609" s="528" t="str">
        <f t="shared" si="1885"/>
        <v/>
      </c>
      <c r="CU609" s="528" t="str">
        <f t="shared" si="1885"/>
        <v/>
      </c>
      <c r="CV609" s="528" t="str">
        <f t="shared" si="1885"/>
        <v/>
      </c>
      <c r="CW609" s="527" t="str">
        <f t="shared" si="1886"/>
        <v/>
      </c>
      <c r="CX609" s="527" t="str">
        <f t="shared" si="1886"/>
        <v/>
      </c>
      <c r="CY609" s="527" t="str">
        <f t="shared" si="1886"/>
        <v/>
      </c>
      <c r="CZ609" s="527" t="str">
        <f t="shared" si="1886"/>
        <v/>
      </c>
      <c r="DA609" s="527" t="str">
        <f t="shared" si="1886"/>
        <v/>
      </c>
      <c r="DB609" s="526" t="str">
        <f t="shared" si="1886"/>
        <v/>
      </c>
      <c r="DC609" s="525" t="str">
        <f t="shared" si="1886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288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16" t="str">
        <f t="shared" ref="CD610:CM611" si="18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7" t="str">
        <f t="shared" si="1895"/>
        <v/>
      </c>
      <c r="CF610" s="1317" t="str">
        <f t="shared" si="1895"/>
        <v/>
      </c>
      <c r="CG610" s="1317" t="str">
        <f t="shared" si="1895"/>
        <v/>
      </c>
      <c r="CH610" s="1318">
        <f t="shared" si="1895"/>
        <v>35</v>
      </c>
      <c r="CI610" s="1318" t="str">
        <f t="shared" si="1895"/>
        <v/>
      </c>
      <c r="CJ610" s="1317" t="str">
        <f t="shared" si="1895"/>
        <v/>
      </c>
      <c r="CK610" s="1317" t="str">
        <f t="shared" si="1895"/>
        <v/>
      </c>
      <c r="CL610" s="1317" t="str">
        <f t="shared" si="1895"/>
        <v/>
      </c>
      <c r="CM610" s="1316" t="str">
        <f t="shared" si="1895"/>
        <v/>
      </c>
      <c r="CN610" s="538" t="str">
        <f t="shared" si="1885"/>
        <v/>
      </c>
      <c r="CO610" s="539" t="str">
        <f t="shared" si="1885"/>
        <v/>
      </c>
      <c r="CP610" s="539" t="str">
        <f t="shared" si="1885"/>
        <v/>
      </c>
      <c r="CQ610" s="539" t="str">
        <f t="shared" si="1885"/>
        <v/>
      </c>
      <c r="CR610" s="539" t="str">
        <f t="shared" si="1885"/>
        <v/>
      </c>
      <c r="CS610" s="539" t="str">
        <f t="shared" si="1885"/>
        <v/>
      </c>
      <c r="CT610" s="540" t="str">
        <f t="shared" si="1885"/>
        <v/>
      </c>
      <c r="CU610" s="540" t="str">
        <f t="shared" si="1885"/>
        <v/>
      </c>
      <c r="CV610" s="540" t="str">
        <f t="shared" si="1885"/>
        <v/>
      </c>
      <c r="CW610" s="539" t="str">
        <f t="shared" si="1886"/>
        <v/>
      </c>
      <c r="CX610" s="539" t="str">
        <f t="shared" si="1886"/>
        <v/>
      </c>
      <c r="CY610" s="539" t="str">
        <f t="shared" si="1886"/>
        <v/>
      </c>
      <c r="CZ610" s="539" t="str">
        <f t="shared" si="1886"/>
        <v/>
      </c>
      <c r="DA610" s="539" t="str">
        <f t="shared" si="1886"/>
        <v/>
      </c>
      <c r="DB610" s="538" t="str">
        <f t="shared" si="1886"/>
        <v/>
      </c>
      <c r="DC610" s="537" t="str">
        <f t="shared" si="1886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286</v>
      </c>
      <c r="B611" s="618" t="str">
        <f t="shared" ref="B611:K611" si="1896">IF(B610="","",B607*B610)</f>
        <v/>
      </c>
      <c r="C611" s="618" t="str">
        <f t="shared" si="1896"/>
        <v/>
      </c>
      <c r="D611" s="618" t="str">
        <f t="shared" si="1896"/>
        <v/>
      </c>
      <c r="E611" s="618" t="str">
        <f t="shared" si="1896"/>
        <v/>
      </c>
      <c r="F611" s="618" t="str">
        <f t="shared" si="1896"/>
        <v/>
      </c>
      <c r="G611" s="618" t="str">
        <f t="shared" si="1896"/>
        <v/>
      </c>
      <c r="H611" s="618" t="str">
        <f t="shared" si="1896"/>
        <v/>
      </c>
      <c r="I611" s="618" t="str">
        <f t="shared" si="1896"/>
        <v/>
      </c>
      <c r="J611" s="618" t="str">
        <f t="shared" si="1896"/>
        <v/>
      </c>
      <c r="K611" s="618" t="str">
        <f t="shared" si="1896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97">IF(T610="","",T607*T610)</f>
        <v/>
      </c>
      <c r="U611" s="618" t="str">
        <f t="shared" si="1897"/>
        <v/>
      </c>
      <c r="V611" s="618" t="str">
        <f t="shared" si="1897"/>
        <v/>
      </c>
      <c r="W611" s="618" t="str">
        <f t="shared" si="1897"/>
        <v/>
      </c>
      <c r="X611" s="618" t="str">
        <f t="shared" si="1897"/>
        <v/>
      </c>
      <c r="Y611" s="618" t="str">
        <f t="shared" si="1897"/>
        <v/>
      </c>
      <c r="Z611" s="618" t="str">
        <f t="shared" si="1897"/>
        <v/>
      </c>
      <c r="AA611" s="618" t="str">
        <f t="shared" si="1897"/>
        <v/>
      </c>
      <c r="AB611" s="618" t="str">
        <f t="shared" si="1897"/>
        <v/>
      </c>
      <c r="AC611" s="618" t="str">
        <f t="shared" si="1897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98">IF(AL610="","",AL607*AL610)</f>
        <v/>
      </c>
      <c r="AM611" s="618">
        <f t="shared" si="1898"/>
        <v>420</v>
      </c>
      <c r="AN611" s="618" t="str">
        <f t="shared" si="1898"/>
        <v/>
      </c>
      <c r="AO611" s="618" t="str">
        <f t="shared" si="1898"/>
        <v/>
      </c>
      <c r="AP611" s="618" t="str">
        <f t="shared" si="1898"/>
        <v/>
      </c>
      <c r="AQ611" s="618" t="str">
        <f t="shared" si="1898"/>
        <v/>
      </c>
      <c r="AR611" s="618" t="str">
        <f t="shared" si="1898"/>
        <v/>
      </c>
      <c r="AS611" s="618" t="str">
        <f t="shared" si="1898"/>
        <v/>
      </c>
      <c r="AT611" s="618" t="str">
        <f t="shared" si="1898"/>
        <v/>
      </c>
      <c r="AU611" s="618" t="str">
        <f t="shared" si="1898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99">IF(BD610="","",BD607*BD610)</f>
        <v/>
      </c>
      <c r="BE611" s="618" t="str">
        <f t="shared" si="1899"/>
        <v/>
      </c>
      <c r="BF611" s="618" t="str">
        <f t="shared" si="1899"/>
        <v/>
      </c>
      <c r="BG611" s="618" t="str">
        <f t="shared" si="1899"/>
        <v/>
      </c>
      <c r="BH611" s="618" t="str">
        <f t="shared" si="1899"/>
        <v/>
      </c>
      <c r="BI611" s="618" t="str">
        <f t="shared" si="1899"/>
        <v/>
      </c>
      <c r="BJ611" s="618" t="str">
        <f t="shared" si="1899"/>
        <v/>
      </c>
      <c r="BK611" s="618" t="str">
        <f t="shared" si="1899"/>
        <v/>
      </c>
      <c r="BL611" s="618" t="str">
        <f t="shared" si="1899"/>
        <v/>
      </c>
      <c r="BM611" s="618" t="str">
        <f t="shared" si="1899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16" t="str">
        <f t="shared" si="1895"/>
        <v/>
      </c>
      <c r="CE611" s="1317" t="str">
        <f t="shared" ref="CE611:CM611" si="19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7" t="str">
        <f t="shared" si="1900"/>
        <v/>
      </c>
      <c r="CG611" s="1317" t="str">
        <f t="shared" si="1900"/>
        <v/>
      </c>
      <c r="CH611" s="1318">
        <f t="shared" si="1900"/>
        <v>420</v>
      </c>
      <c r="CI611" s="1318" t="str">
        <f t="shared" si="1900"/>
        <v/>
      </c>
      <c r="CJ611" s="1317" t="str">
        <f t="shared" si="1900"/>
        <v/>
      </c>
      <c r="CK611" s="1317" t="str">
        <f t="shared" si="1900"/>
        <v/>
      </c>
      <c r="CL611" s="1317" t="str">
        <f t="shared" si="1900"/>
        <v/>
      </c>
      <c r="CM611" s="1316" t="str">
        <f t="shared" si="1900"/>
        <v/>
      </c>
      <c r="CN611" s="538" t="str">
        <f t="shared" si="1885"/>
        <v/>
      </c>
      <c r="CO611" s="539" t="str">
        <f t="shared" si="1885"/>
        <v/>
      </c>
      <c r="CP611" s="539" t="str">
        <f t="shared" si="1885"/>
        <v/>
      </c>
      <c r="CQ611" s="539" t="str">
        <f t="shared" si="1885"/>
        <v/>
      </c>
      <c r="CR611" s="539" t="str">
        <f t="shared" si="1885"/>
        <v/>
      </c>
      <c r="CS611" s="539" t="str">
        <f t="shared" si="1885"/>
        <v/>
      </c>
      <c r="CT611" s="540" t="str">
        <f t="shared" si="1885"/>
        <v/>
      </c>
      <c r="CU611" s="540" t="str">
        <f t="shared" si="1885"/>
        <v/>
      </c>
      <c r="CV611" s="540" t="str">
        <f t="shared" si="1885"/>
        <v/>
      </c>
      <c r="CW611" s="539" t="str">
        <f t="shared" si="1886"/>
        <v/>
      </c>
      <c r="CX611" s="539" t="str">
        <f t="shared" si="1886"/>
        <v/>
      </c>
      <c r="CY611" s="539" t="str">
        <f t="shared" si="1886"/>
        <v/>
      </c>
      <c r="CZ611" s="539" t="str">
        <f t="shared" si="1886"/>
        <v/>
      </c>
      <c r="DA611" s="539" t="str">
        <f t="shared" si="1886"/>
        <v/>
      </c>
      <c r="DB611" s="538" t="str">
        <f t="shared" si="1886"/>
        <v/>
      </c>
      <c r="DC611" s="537" t="str">
        <f t="shared" si="1886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29" t="s">
        <v>740</v>
      </c>
      <c r="B612" s="629" t="s">
        <v>267</v>
      </c>
      <c r="C612" s="629" t="s">
        <v>267</v>
      </c>
      <c r="D612" s="629" t="s">
        <v>267</v>
      </c>
      <c r="E612" s="629" t="s">
        <v>267</v>
      </c>
      <c r="F612" s="629" t="s">
        <v>267</v>
      </c>
      <c r="G612" s="629" t="s">
        <v>267</v>
      </c>
      <c r="H612" s="629" t="s">
        <v>267</v>
      </c>
      <c r="I612" s="629" t="s">
        <v>267</v>
      </c>
      <c r="J612" s="629" t="s">
        <v>267</v>
      </c>
      <c r="K612" s="629" t="s">
        <v>267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267</v>
      </c>
      <c r="U612" s="629" t="s">
        <v>267</v>
      </c>
      <c r="V612" s="629" t="s">
        <v>267</v>
      </c>
      <c r="W612" s="629" t="s">
        <v>267</v>
      </c>
      <c r="X612" s="629" t="s">
        <v>267</v>
      </c>
      <c r="Y612" s="629" t="s">
        <v>267</v>
      </c>
      <c r="Z612" s="629" t="s">
        <v>267</v>
      </c>
      <c r="AA612" s="629" t="s">
        <v>267</v>
      </c>
      <c r="AB612" s="629" t="s">
        <v>267</v>
      </c>
      <c r="AC612" s="629" t="s">
        <v>267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267</v>
      </c>
      <c r="AM612" s="629" t="s">
        <v>267</v>
      </c>
      <c r="AN612" s="629" t="s">
        <v>267</v>
      </c>
      <c r="AO612" s="629" t="s">
        <v>267</v>
      </c>
      <c r="AP612" s="629" t="s">
        <v>267</v>
      </c>
      <c r="AQ612" s="629" t="s">
        <v>267</v>
      </c>
      <c r="AR612" s="629" t="s">
        <v>267</v>
      </c>
      <c r="AS612" s="629" t="s">
        <v>267</v>
      </c>
      <c r="AT612" s="629" t="s">
        <v>267</v>
      </c>
      <c r="AU612" s="629" t="s">
        <v>267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267</v>
      </c>
      <c r="BE612" s="629" t="s">
        <v>267</v>
      </c>
      <c r="BF612" s="629" t="s">
        <v>267</v>
      </c>
      <c r="BG612" s="629" t="s">
        <v>267</v>
      </c>
      <c r="BH612" s="629" t="s">
        <v>267</v>
      </c>
      <c r="BI612" s="629" t="s">
        <v>267</v>
      </c>
      <c r="BJ612" s="629" t="s">
        <v>267</v>
      </c>
      <c r="BK612" s="629" t="s">
        <v>267</v>
      </c>
      <c r="BL612" s="629" t="s">
        <v>267</v>
      </c>
      <c r="BM612" s="629" t="s">
        <v>267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28"/>
      <c r="CE612" s="1328"/>
      <c r="CF612" s="1328"/>
      <c r="CG612" s="1328"/>
      <c r="CH612" s="1328"/>
      <c r="CI612" s="1328"/>
      <c r="CJ612" s="1328"/>
      <c r="CK612" s="1328"/>
      <c r="CL612" s="1328"/>
      <c r="CM612" s="1328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293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16" t="str">
        <f t="shared" ref="CD613:CM614" si="19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7" t="str">
        <f t="shared" si="1901"/>
        <v/>
      </c>
      <c r="CF613" s="1317" t="str">
        <f t="shared" si="1901"/>
        <v/>
      </c>
      <c r="CG613" s="1317" t="str">
        <f t="shared" si="1901"/>
        <v/>
      </c>
      <c r="CH613" s="1318" t="str">
        <f t="shared" si="1901"/>
        <v/>
      </c>
      <c r="CI613" s="1318" t="str">
        <f t="shared" si="1901"/>
        <v/>
      </c>
      <c r="CJ613" s="1317" t="str">
        <f t="shared" si="1901"/>
        <v/>
      </c>
      <c r="CK613" s="1317" t="str">
        <f t="shared" si="1901"/>
        <v/>
      </c>
      <c r="CL613" s="1317" t="str">
        <f t="shared" si="1901"/>
        <v/>
      </c>
      <c r="CM613" s="1316" t="str">
        <f t="shared" si="1901"/>
        <v/>
      </c>
      <c r="CN613" s="538" t="str">
        <f t="shared" ref="CN613:CV617" si="1902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902"/>
        <v/>
      </c>
      <c r="CP613" s="539" t="str">
        <f t="shared" si="1902"/>
        <v/>
      </c>
      <c r="CQ613" s="539" t="str">
        <f t="shared" si="1902"/>
        <v/>
      </c>
      <c r="CR613" s="539" t="str">
        <f t="shared" si="1902"/>
        <v/>
      </c>
      <c r="CS613" s="539" t="str">
        <f t="shared" si="1902"/>
        <v/>
      </c>
      <c r="CT613" s="540" t="str">
        <f t="shared" si="1902"/>
        <v/>
      </c>
      <c r="CU613" s="540" t="str">
        <f t="shared" si="1902"/>
        <v/>
      </c>
      <c r="CV613" s="540" t="str">
        <f t="shared" si="1902"/>
        <v/>
      </c>
      <c r="CW613" s="539" t="str">
        <f t="shared" ref="CW613:DC617" si="1903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903"/>
        <v/>
      </c>
      <c r="CY613" s="539" t="str">
        <f t="shared" si="1903"/>
        <v/>
      </c>
      <c r="CZ613" s="539" t="str">
        <f t="shared" si="1903"/>
        <v/>
      </c>
      <c r="DA613" s="539" t="str">
        <f t="shared" si="1903"/>
        <v/>
      </c>
      <c r="DB613" s="538" t="str">
        <f t="shared" si="1903"/>
        <v/>
      </c>
      <c r="DC613" s="537" t="str">
        <f t="shared" si="1903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284</v>
      </c>
      <c r="B614" s="599">
        <f>530*$K$1</f>
        <v>2219.0039999999999</v>
      </c>
      <c r="C614" s="599">
        <f t="shared" ref="C614:K614" si="1904">530*$K$1</f>
        <v>2219.0039999999999</v>
      </c>
      <c r="D614" s="599">
        <f t="shared" si="1904"/>
        <v>2219.0039999999999</v>
      </c>
      <c r="E614" s="599">
        <f t="shared" si="1904"/>
        <v>2219.0039999999999</v>
      </c>
      <c r="F614" s="599">
        <f t="shared" si="1904"/>
        <v>2219.0039999999999</v>
      </c>
      <c r="G614" s="599">
        <f t="shared" si="1904"/>
        <v>2219.0039999999999</v>
      </c>
      <c r="H614" s="599">
        <f t="shared" si="1904"/>
        <v>2219.0039999999999</v>
      </c>
      <c r="I614" s="599">
        <f t="shared" si="1904"/>
        <v>2219.0039999999999</v>
      </c>
      <c r="J614" s="599">
        <f t="shared" si="1904"/>
        <v>2219.0039999999999</v>
      </c>
      <c r="K614" s="599">
        <f t="shared" si="1904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905">530*$K$1</f>
        <v>2219.0039999999999</v>
      </c>
      <c r="V614" s="599">
        <f t="shared" si="1905"/>
        <v>2219.0039999999999</v>
      </c>
      <c r="W614" s="599">
        <f t="shared" si="1905"/>
        <v>2219.0039999999999</v>
      </c>
      <c r="X614" s="599">
        <f t="shared" si="1905"/>
        <v>2219.0039999999999</v>
      </c>
      <c r="Y614" s="599">
        <f t="shared" si="1905"/>
        <v>2219.0039999999999</v>
      </c>
      <c r="Z614" s="599">
        <f t="shared" si="1905"/>
        <v>2219.0039999999999</v>
      </c>
      <c r="AA614" s="599">
        <f t="shared" si="1905"/>
        <v>2219.0039999999999</v>
      </c>
      <c r="AB614" s="599">
        <f t="shared" si="1905"/>
        <v>2219.0039999999999</v>
      </c>
      <c r="AC614" s="599">
        <f t="shared" si="1905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906">530*$K$1</f>
        <v>2219.0039999999999</v>
      </c>
      <c r="AN614" s="599">
        <f t="shared" si="1906"/>
        <v>2219.0039999999999</v>
      </c>
      <c r="AO614" s="599">
        <f t="shared" si="1906"/>
        <v>2219.0039999999999</v>
      </c>
      <c r="AP614" s="599">
        <f t="shared" si="1906"/>
        <v>2219.0039999999999</v>
      </c>
      <c r="AQ614" s="599">
        <f t="shared" si="1906"/>
        <v>2219.0039999999999</v>
      </c>
      <c r="AR614" s="599">
        <f t="shared" si="1906"/>
        <v>2219.0039999999999</v>
      </c>
      <c r="AS614" s="599">
        <f t="shared" si="1906"/>
        <v>2219.0039999999999</v>
      </c>
      <c r="AT614" s="599">
        <f t="shared" si="1906"/>
        <v>2219.0039999999999</v>
      </c>
      <c r="AU614" s="599">
        <f t="shared" si="1906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907">530*$K$1</f>
        <v>2219.0039999999999</v>
      </c>
      <c r="BF614" s="599">
        <f t="shared" si="1907"/>
        <v>2219.0039999999999</v>
      </c>
      <c r="BG614" s="599">
        <f t="shared" si="1907"/>
        <v>2219.0039999999999</v>
      </c>
      <c r="BH614" s="599">
        <f t="shared" si="1907"/>
        <v>2219.0039999999999</v>
      </c>
      <c r="BI614" s="599">
        <f t="shared" si="1907"/>
        <v>2219.0039999999999</v>
      </c>
      <c r="BJ614" s="599">
        <f t="shared" si="1907"/>
        <v>2219.0039999999999</v>
      </c>
      <c r="BK614" s="599">
        <f t="shared" si="1907"/>
        <v>2219.0039999999999</v>
      </c>
      <c r="BL614" s="599">
        <f t="shared" si="1907"/>
        <v>2219.0039999999999</v>
      </c>
      <c r="BM614" s="599">
        <f t="shared" si="1907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907"/>
        <v>2219.0039999999999</v>
      </c>
      <c r="BW614" s="599">
        <f t="shared" si="1907"/>
        <v>2219.0039999999999</v>
      </c>
      <c r="BX614" s="599">
        <f t="shared" si="1907"/>
        <v>2219.0039999999999</v>
      </c>
      <c r="BY614" s="599">
        <f t="shared" si="1907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16">
        <f t="shared" si="1901"/>
        <v>2219.0039999999999</v>
      </c>
      <c r="CE614" s="1317">
        <f t="shared" ref="CE614:CM615" si="19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7">
        <f t="shared" si="1908"/>
        <v>2219.0039999999999</v>
      </c>
      <c r="CG614" s="1317">
        <f t="shared" si="1908"/>
        <v>2219.0039999999999</v>
      </c>
      <c r="CH614" s="1318">
        <f t="shared" si="1908"/>
        <v>2219.0039999999999</v>
      </c>
      <c r="CI614" s="1318">
        <f t="shared" si="1908"/>
        <v>2219.0039999999999</v>
      </c>
      <c r="CJ614" s="1317">
        <f t="shared" si="1908"/>
        <v>2219.0039999999999</v>
      </c>
      <c r="CK614" s="1317">
        <f t="shared" si="1908"/>
        <v>2219.0039999999999</v>
      </c>
      <c r="CL614" s="1317">
        <f t="shared" si="1908"/>
        <v>2219.0039999999999</v>
      </c>
      <c r="CM614" s="1316">
        <f t="shared" si="1908"/>
        <v>2219.0039999999999</v>
      </c>
      <c r="CN614" s="538" t="str">
        <f t="shared" si="1902"/>
        <v/>
      </c>
      <c r="CO614" s="539" t="str">
        <f t="shared" si="1902"/>
        <v/>
      </c>
      <c r="CP614" s="539" t="str">
        <f t="shared" si="1902"/>
        <v/>
      </c>
      <c r="CQ614" s="539">
        <f t="shared" si="1902"/>
        <v>2219.0039999999999</v>
      </c>
      <c r="CR614" s="539">
        <f t="shared" si="1902"/>
        <v>2219.0039999999999</v>
      </c>
      <c r="CS614" s="539">
        <f t="shared" si="1902"/>
        <v>2219.0039999999999</v>
      </c>
      <c r="CT614" s="540">
        <f t="shared" si="1902"/>
        <v>2219.0039999999999</v>
      </c>
      <c r="CU614" s="540">
        <f t="shared" si="1902"/>
        <v>2219.0039999999999</v>
      </c>
      <c r="CV614" s="540">
        <f t="shared" si="1902"/>
        <v>2219.0039999999999</v>
      </c>
      <c r="CW614" s="539">
        <f t="shared" si="1903"/>
        <v>2219.0039999999999</v>
      </c>
      <c r="CX614" s="539">
        <f t="shared" si="1903"/>
        <v>2219.0039999999999</v>
      </c>
      <c r="CY614" s="539">
        <f t="shared" si="1903"/>
        <v>2219.0039999999999</v>
      </c>
      <c r="CZ614" s="539">
        <f t="shared" si="1903"/>
        <v>2219.0039999999999</v>
      </c>
      <c r="DA614" s="539" t="str">
        <f t="shared" si="1903"/>
        <v/>
      </c>
      <c r="DB614" s="538" t="str">
        <f t="shared" si="1903"/>
        <v/>
      </c>
      <c r="DC614" s="537" t="str">
        <f t="shared" si="1903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227</v>
      </c>
      <c r="B615" s="621" t="str">
        <f t="shared" ref="B615:K615" si="1909">IF(B613="","",B613*B614/B$46/365/$G$1)</f>
        <v/>
      </c>
      <c r="C615" s="621" t="str">
        <f t="shared" si="1909"/>
        <v/>
      </c>
      <c r="D615" s="621" t="str">
        <f t="shared" si="1909"/>
        <v/>
      </c>
      <c r="E615" s="621" t="str">
        <f t="shared" si="1909"/>
        <v/>
      </c>
      <c r="F615" s="621" t="str">
        <f t="shared" si="1909"/>
        <v/>
      </c>
      <c r="G615" s="621" t="str">
        <f t="shared" si="1909"/>
        <v/>
      </c>
      <c r="H615" s="621" t="str">
        <f t="shared" si="1909"/>
        <v/>
      </c>
      <c r="I615" s="621" t="str">
        <f t="shared" si="1909"/>
        <v/>
      </c>
      <c r="J615" s="621" t="str">
        <f t="shared" si="1909"/>
        <v/>
      </c>
      <c r="K615" s="621" t="str">
        <f t="shared" si="1909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910">IF(T613="","",T613*T614/T$46/365/$G$1)</f>
        <v/>
      </c>
      <c r="U615" s="621" t="str">
        <f t="shared" si="1910"/>
        <v/>
      </c>
      <c r="V615" s="621" t="str">
        <f t="shared" si="1910"/>
        <v/>
      </c>
      <c r="W615" s="621" t="str">
        <f t="shared" si="1910"/>
        <v/>
      </c>
      <c r="X615" s="621" t="str">
        <f t="shared" si="1910"/>
        <v/>
      </c>
      <c r="Y615" s="621" t="str">
        <f t="shared" si="1910"/>
        <v/>
      </c>
      <c r="Z615" s="621" t="str">
        <f t="shared" si="1910"/>
        <v/>
      </c>
      <c r="AA615" s="621" t="str">
        <f t="shared" si="1910"/>
        <v/>
      </c>
      <c r="AB615" s="621" t="str">
        <f t="shared" si="1910"/>
        <v/>
      </c>
      <c r="AC615" s="621" t="str">
        <f t="shared" si="1910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911">IF(AL613="","",AL613*AL614/AL$46/365/$G$1)</f>
        <v/>
      </c>
      <c r="AM615" s="621" t="str">
        <f t="shared" si="1911"/>
        <v/>
      </c>
      <c r="AN615" s="621" t="str">
        <f t="shared" si="1911"/>
        <v/>
      </c>
      <c r="AO615" s="621" t="str">
        <f t="shared" si="1911"/>
        <v/>
      </c>
      <c r="AP615" s="621" t="str">
        <f t="shared" si="1911"/>
        <v/>
      </c>
      <c r="AQ615" s="621" t="str">
        <f t="shared" si="1911"/>
        <v/>
      </c>
      <c r="AR615" s="621" t="str">
        <f t="shared" si="1911"/>
        <v/>
      </c>
      <c r="AS615" s="621" t="str">
        <f t="shared" si="1911"/>
        <v/>
      </c>
      <c r="AT615" s="621" t="str">
        <f t="shared" si="1911"/>
        <v/>
      </c>
      <c r="AU615" s="621" t="str">
        <f t="shared" si="1911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912">IF(BD613="","",BD613*BD614/BD$46/365/$G$1)</f>
        <v/>
      </c>
      <c r="BE615" s="621" t="str">
        <f t="shared" si="1912"/>
        <v/>
      </c>
      <c r="BF615" s="621" t="str">
        <f t="shared" si="1912"/>
        <v/>
      </c>
      <c r="BG615" s="621" t="str">
        <f t="shared" si="1912"/>
        <v/>
      </c>
      <c r="BH615" s="621" t="str">
        <f t="shared" si="1912"/>
        <v/>
      </c>
      <c r="BI615" s="621" t="str">
        <f t="shared" si="1912"/>
        <v/>
      </c>
      <c r="BJ615" s="621" t="str">
        <f t="shared" si="1912"/>
        <v/>
      </c>
      <c r="BK615" s="621" t="str">
        <f t="shared" si="1912"/>
        <v/>
      </c>
      <c r="BL615" s="621" t="str">
        <f t="shared" si="1912"/>
        <v/>
      </c>
      <c r="BM615" s="621" t="str">
        <f t="shared" si="1912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19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1908"/>
        <v/>
      </c>
      <c r="CF615" s="1320" t="str">
        <f t="shared" si="1908"/>
        <v/>
      </c>
      <c r="CG615" s="1320" t="str">
        <f t="shared" si="1908"/>
        <v/>
      </c>
      <c r="CH615" s="1321" t="str">
        <f t="shared" si="1908"/>
        <v/>
      </c>
      <c r="CI615" s="1321" t="str">
        <f t="shared" si="1908"/>
        <v/>
      </c>
      <c r="CJ615" s="1320" t="str">
        <f t="shared" si="1908"/>
        <v/>
      </c>
      <c r="CK615" s="1320" t="str">
        <f t="shared" si="1908"/>
        <v/>
      </c>
      <c r="CL615" s="1320" t="str">
        <f t="shared" si="1908"/>
        <v/>
      </c>
      <c r="CM615" s="1319" t="str">
        <f t="shared" si="1908"/>
        <v/>
      </c>
      <c r="CN615" s="526" t="str">
        <f t="shared" si="1902"/>
        <v/>
      </c>
      <c r="CO615" s="527" t="str">
        <f t="shared" si="1902"/>
        <v/>
      </c>
      <c r="CP615" s="527" t="str">
        <f t="shared" si="1902"/>
        <v/>
      </c>
      <c r="CQ615" s="527" t="str">
        <f t="shared" si="1902"/>
        <v/>
      </c>
      <c r="CR615" s="527" t="str">
        <f t="shared" si="1902"/>
        <v/>
      </c>
      <c r="CS615" s="527" t="str">
        <f t="shared" si="1902"/>
        <v/>
      </c>
      <c r="CT615" s="528" t="str">
        <f t="shared" si="1902"/>
        <v/>
      </c>
      <c r="CU615" s="528" t="str">
        <f t="shared" si="1902"/>
        <v/>
      </c>
      <c r="CV615" s="528" t="str">
        <f t="shared" si="1902"/>
        <v/>
      </c>
      <c r="CW615" s="527" t="str">
        <f t="shared" si="1903"/>
        <v/>
      </c>
      <c r="CX615" s="527" t="str">
        <f t="shared" si="1903"/>
        <v/>
      </c>
      <c r="CY615" s="527" t="str">
        <f t="shared" si="1903"/>
        <v/>
      </c>
      <c r="CZ615" s="527" t="str">
        <f t="shared" si="1903"/>
        <v/>
      </c>
      <c r="DA615" s="527" t="str">
        <f t="shared" si="1903"/>
        <v/>
      </c>
      <c r="DB615" s="526" t="str">
        <f t="shared" si="1903"/>
        <v/>
      </c>
      <c r="DC615" s="525" t="str">
        <f t="shared" si="1903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288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16" t="str">
        <f t="shared" ref="CD616:CM617" si="19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7" t="str">
        <f t="shared" si="1913"/>
        <v/>
      </c>
      <c r="CF616" s="1317" t="str">
        <f t="shared" si="1913"/>
        <v/>
      </c>
      <c r="CG616" s="1317" t="str">
        <f t="shared" si="1913"/>
        <v/>
      </c>
      <c r="CH616" s="1318" t="str">
        <f t="shared" si="1913"/>
        <v/>
      </c>
      <c r="CI616" s="1318" t="str">
        <f t="shared" si="1913"/>
        <v/>
      </c>
      <c r="CJ616" s="1317" t="str">
        <f t="shared" si="1913"/>
        <v/>
      </c>
      <c r="CK616" s="1317" t="str">
        <f t="shared" si="1913"/>
        <v/>
      </c>
      <c r="CL616" s="1317" t="str">
        <f t="shared" si="1913"/>
        <v/>
      </c>
      <c r="CM616" s="1316" t="str">
        <f t="shared" si="1913"/>
        <v/>
      </c>
      <c r="CN616" s="538" t="str">
        <f t="shared" si="1902"/>
        <v/>
      </c>
      <c r="CO616" s="539" t="str">
        <f t="shared" si="1902"/>
        <v/>
      </c>
      <c r="CP616" s="539" t="str">
        <f t="shared" si="1902"/>
        <v/>
      </c>
      <c r="CQ616" s="539" t="str">
        <f t="shared" si="1902"/>
        <v/>
      </c>
      <c r="CR616" s="539" t="str">
        <f t="shared" si="1902"/>
        <v/>
      </c>
      <c r="CS616" s="539" t="str">
        <f t="shared" si="1902"/>
        <v/>
      </c>
      <c r="CT616" s="540" t="str">
        <f t="shared" si="1902"/>
        <v/>
      </c>
      <c r="CU616" s="540" t="str">
        <f t="shared" si="1902"/>
        <v/>
      </c>
      <c r="CV616" s="540" t="str">
        <f t="shared" si="1902"/>
        <v/>
      </c>
      <c r="CW616" s="539" t="str">
        <f t="shared" si="1903"/>
        <v/>
      </c>
      <c r="CX616" s="539" t="str">
        <f t="shared" si="1903"/>
        <v/>
      </c>
      <c r="CY616" s="539" t="str">
        <f t="shared" si="1903"/>
        <v/>
      </c>
      <c r="CZ616" s="539" t="str">
        <f t="shared" si="1903"/>
        <v/>
      </c>
      <c r="DA616" s="539" t="str">
        <f t="shared" si="1903"/>
        <v/>
      </c>
      <c r="DB616" s="538" t="str">
        <f t="shared" si="1903"/>
        <v/>
      </c>
      <c r="DC616" s="537" t="str">
        <f t="shared" si="1903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286</v>
      </c>
      <c r="B617" s="618" t="str">
        <f t="shared" ref="B617:K617" si="1914">IF(B616="","",B613*B616)</f>
        <v/>
      </c>
      <c r="C617" s="618" t="str">
        <f t="shared" si="1914"/>
        <v/>
      </c>
      <c r="D617" s="618" t="str">
        <f t="shared" si="1914"/>
        <v/>
      </c>
      <c r="E617" s="618" t="str">
        <f t="shared" si="1914"/>
        <v/>
      </c>
      <c r="F617" s="618" t="str">
        <f t="shared" si="1914"/>
        <v/>
      </c>
      <c r="G617" s="618" t="str">
        <f t="shared" si="1914"/>
        <v/>
      </c>
      <c r="H617" s="618" t="str">
        <f t="shared" si="1914"/>
        <v/>
      </c>
      <c r="I617" s="618" t="str">
        <f t="shared" si="1914"/>
        <v/>
      </c>
      <c r="J617" s="618" t="str">
        <f t="shared" si="1914"/>
        <v/>
      </c>
      <c r="K617" s="618" t="str">
        <f t="shared" si="1914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915">IF(T616="","",T613*T616)</f>
        <v/>
      </c>
      <c r="U617" s="618" t="str">
        <f t="shared" si="1915"/>
        <v/>
      </c>
      <c r="V617" s="618" t="str">
        <f t="shared" si="1915"/>
        <v/>
      </c>
      <c r="W617" s="618" t="str">
        <f t="shared" si="1915"/>
        <v/>
      </c>
      <c r="X617" s="618" t="str">
        <f t="shared" si="1915"/>
        <v/>
      </c>
      <c r="Y617" s="618" t="str">
        <f t="shared" si="1915"/>
        <v/>
      </c>
      <c r="Z617" s="618" t="str">
        <f t="shared" si="1915"/>
        <v/>
      </c>
      <c r="AA617" s="618" t="str">
        <f t="shared" si="1915"/>
        <v/>
      </c>
      <c r="AB617" s="618" t="str">
        <f t="shared" si="1915"/>
        <v/>
      </c>
      <c r="AC617" s="618" t="str">
        <f t="shared" si="1915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916">IF(AL616="","",AL613*AL616)</f>
        <v/>
      </c>
      <c r="AM617" s="618" t="str">
        <f t="shared" si="1916"/>
        <v/>
      </c>
      <c r="AN617" s="618" t="str">
        <f t="shared" si="1916"/>
        <v/>
      </c>
      <c r="AO617" s="618" t="str">
        <f t="shared" si="1916"/>
        <v/>
      </c>
      <c r="AP617" s="618" t="str">
        <f t="shared" si="1916"/>
        <v/>
      </c>
      <c r="AQ617" s="618" t="str">
        <f t="shared" si="1916"/>
        <v/>
      </c>
      <c r="AR617" s="618" t="str">
        <f t="shared" si="1916"/>
        <v/>
      </c>
      <c r="AS617" s="618" t="str">
        <f t="shared" si="1916"/>
        <v/>
      </c>
      <c r="AT617" s="618" t="str">
        <f t="shared" si="1916"/>
        <v/>
      </c>
      <c r="AU617" s="618" t="str">
        <f t="shared" si="1916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917">IF(BD616="","",BD613*BD616)</f>
        <v/>
      </c>
      <c r="BE617" s="618" t="str">
        <f t="shared" si="1917"/>
        <v/>
      </c>
      <c r="BF617" s="618" t="str">
        <f t="shared" si="1917"/>
        <v/>
      </c>
      <c r="BG617" s="618" t="str">
        <f t="shared" si="1917"/>
        <v/>
      </c>
      <c r="BH617" s="618" t="str">
        <f t="shared" si="1917"/>
        <v/>
      </c>
      <c r="BI617" s="618" t="str">
        <f t="shared" si="1917"/>
        <v/>
      </c>
      <c r="BJ617" s="618" t="str">
        <f t="shared" si="1917"/>
        <v/>
      </c>
      <c r="BK617" s="618" t="str">
        <f t="shared" si="1917"/>
        <v/>
      </c>
      <c r="BL617" s="618" t="str">
        <f t="shared" si="1917"/>
        <v/>
      </c>
      <c r="BM617" s="618" t="str">
        <f t="shared" si="1917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16" t="str">
        <f t="shared" si="1913"/>
        <v/>
      </c>
      <c r="CE617" s="1317" t="str">
        <f t="shared" ref="CE617:CM617" si="191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7" t="str">
        <f t="shared" si="1918"/>
        <v/>
      </c>
      <c r="CG617" s="1317" t="str">
        <f t="shared" si="1918"/>
        <v/>
      </c>
      <c r="CH617" s="1318" t="str">
        <f t="shared" si="1918"/>
        <v/>
      </c>
      <c r="CI617" s="1318" t="str">
        <f t="shared" si="1918"/>
        <v/>
      </c>
      <c r="CJ617" s="1317" t="str">
        <f t="shared" si="1918"/>
        <v/>
      </c>
      <c r="CK617" s="1317" t="str">
        <f t="shared" si="1918"/>
        <v/>
      </c>
      <c r="CL617" s="1317" t="str">
        <f t="shared" si="1918"/>
        <v/>
      </c>
      <c r="CM617" s="1316" t="str">
        <f t="shared" si="1918"/>
        <v/>
      </c>
      <c r="CN617" s="538" t="str">
        <f t="shared" si="1902"/>
        <v/>
      </c>
      <c r="CO617" s="539" t="str">
        <f t="shared" si="1902"/>
        <v/>
      </c>
      <c r="CP617" s="539" t="str">
        <f t="shared" si="1902"/>
        <v/>
      </c>
      <c r="CQ617" s="539" t="str">
        <f t="shared" si="1902"/>
        <v/>
      </c>
      <c r="CR617" s="539" t="str">
        <f t="shared" si="1902"/>
        <v/>
      </c>
      <c r="CS617" s="539" t="str">
        <f t="shared" si="1902"/>
        <v/>
      </c>
      <c r="CT617" s="540" t="str">
        <f t="shared" si="1902"/>
        <v/>
      </c>
      <c r="CU617" s="540" t="str">
        <f t="shared" si="1902"/>
        <v/>
      </c>
      <c r="CV617" s="540" t="str">
        <f t="shared" si="1902"/>
        <v/>
      </c>
      <c r="CW617" s="539" t="str">
        <f t="shared" si="1903"/>
        <v/>
      </c>
      <c r="CX617" s="539" t="str">
        <f t="shared" si="1903"/>
        <v/>
      </c>
      <c r="CY617" s="539" t="str">
        <f t="shared" si="1903"/>
        <v/>
      </c>
      <c r="CZ617" s="539" t="str">
        <f t="shared" si="1903"/>
        <v/>
      </c>
      <c r="DA617" s="539" t="str">
        <f t="shared" si="1903"/>
        <v/>
      </c>
      <c r="DB617" s="538" t="str">
        <f t="shared" si="1903"/>
        <v/>
      </c>
      <c r="DC617" s="537" t="str">
        <f t="shared" si="1903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394" t="s">
        <v>736</v>
      </c>
      <c r="B618" s="629" t="s">
        <v>267</v>
      </c>
      <c r="C618" s="629" t="s">
        <v>267</v>
      </c>
      <c r="D618" s="629" t="s">
        <v>267</v>
      </c>
      <c r="E618" s="629" t="s">
        <v>267</v>
      </c>
      <c r="F618" s="629" t="s">
        <v>267</v>
      </c>
      <c r="G618" s="629" t="s">
        <v>267</v>
      </c>
      <c r="H618" s="629" t="s">
        <v>267</v>
      </c>
      <c r="I618" s="629" t="s">
        <v>267</v>
      </c>
      <c r="J618" s="629" t="s">
        <v>267</v>
      </c>
      <c r="K618" s="629" t="s">
        <v>267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267</v>
      </c>
      <c r="U618" s="629" t="s">
        <v>267</v>
      </c>
      <c r="V618" s="629" t="s">
        <v>267</v>
      </c>
      <c r="W618" s="629" t="s">
        <v>267</v>
      </c>
      <c r="X618" s="629" t="s">
        <v>267</v>
      </c>
      <c r="Y618" s="629" t="s">
        <v>267</v>
      </c>
      <c r="Z618" s="629" t="s">
        <v>267</v>
      </c>
      <c r="AA618" s="629" t="s">
        <v>267</v>
      </c>
      <c r="AB618" s="629" t="s">
        <v>267</v>
      </c>
      <c r="AC618" s="629" t="s">
        <v>267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267</v>
      </c>
      <c r="AM618" s="629" t="s">
        <v>267</v>
      </c>
      <c r="AN618" s="629" t="s">
        <v>267</v>
      </c>
      <c r="AO618" s="629" t="s">
        <v>267</v>
      </c>
      <c r="AP618" s="629" t="s">
        <v>267</v>
      </c>
      <c r="AQ618" s="629" t="s">
        <v>267</v>
      </c>
      <c r="AR618" s="629" t="s">
        <v>267</v>
      </c>
      <c r="AS618" s="629" t="s">
        <v>267</v>
      </c>
      <c r="AT618" s="629" t="s">
        <v>267</v>
      </c>
      <c r="AU618" s="629" t="s">
        <v>267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267</v>
      </c>
      <c r="BE618" s="629" t="s">
        <v>267</v>
      </c>
      <c r="BF618" s="629" t="s">
        <v>267</v>
      </c>
      <c r="BG618" s="629" t="s">
        <v>267</v>
      </c>
      <c r="BH618" s="629" t="s">
        <v>267</v>
      </c>
      <c r="BI618" s="629" t="s">
        <v>267</v>
      </c>
      <c r="BJ618" s="629" t="s">
        <v>267</v>
      </c>
      <c r="BK618" s="629" t="s">
        <v>267</v>
      </c>
      <c r="BL618" s="629" t="s">
        <v>267</v>
      </c>
      <c r="BM618" s="629" t="s">
        <v>267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28"/>
      <c r="CE618" s="1328"/>
      <c r="CF618" s="1328"/>
      <c r="CG618" s="1328"/>
      <c r="CH618" s="1328"/>
      <c r="CI618" s="1328"/>
      <c r="CJ618" s="1328"/>
      <c r="CK618" s="1328"/>
      <c r="CL618" s="1328"/>
      <c r="CM618" s="1328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293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16" t="str">
        <f t="shared" ref="CD619:CM620" si="19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7" t="str">
        <f t="shared" si="1919"/>
        <v/>
      </c>
      <c r="CF619" s="1317" t="str">
        <f t="shared" si="1919"/>
        <v/>
      </c>
      <c r="CG619" s="1317" t="str">
        <f t="shared" si="1919"/>
        <v/>
      </c>
      <c r="CH619" s="1318" t="str">
        <f t="shared" si="1919"/>
        <v/>
      </c>
      <c r="CI619" s="1318" t="str">
        <f t="shared" si="1919"/>
        <v/>
      </c>
      <c r="CJ619" s="1317" t="str">
        <f t="shared" si="1919"/>
        <v/>
      </c>
      <c r="CK619" s="1317" t="str">
        <f t="shared" si="1919"/>
        <v/>
      </c>
      <c r="CL619" s="1317" t="str">
        <f t="shared" si="1919"/>
        <v/>
      </c>
      <c r="CM619" s="1316" t="str">
        <f t="shared" si="1919"/>
        <v/>
      </c>
      <c r="CN619" s="538" t="str">
        <f t="shared" ref="CN619:CV623" si="1920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920"/>
        <v/>
      </c>
      <c r="CP619" s="539" t="str">
        <f t="shared" si="1920"/>
        <v/>
      </c>
      <c r="CQ619" s="539" t="str">
        <f t="shared" si="1920"/>
        <v/>
      </c>
      <c r="CR619" s="539" t="str">
        <f t="shared" si="1920"/>
        <v/>
      </c>
      <c r="CS619" s="539" t="str">
        <f t="shared" si="1920"/>
        <v/>
      </c>
      <c r="CT619" s="540" t="str">
        <f t="shared" si="1920"/>
        <v/>
      </c>
      <c r="CU619" s="540">
        <f t="shared" si="1920"/>
        <v>144</v>
      </c>
      <c r="CV619" s="540" t="str">
        <f t="shared" si="1920"/>
        <v/>
      </c>
      <c r="CW619" s="539" t="str">
        <f t="shared" ref="CW619:DC623" si="1921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921"/>
        <v/>
      </c>
      <c r="CY619" s="539" t="str">
        <f t="shared" si="1921"/>
        <v/>
      </c>
      <c r="CZ619" s="539" t="str">
        <f t="shared" si="1921"/>
        <v/>
      </c>
      <c r="DA619" s="539" t="str">
        <f t="shared" si="1921"/>
        <v/>
      </c>
      <c r="DB619" s="538" t="str">
        <f t="shared" si="1921"/>
        <v/>
      </c>
      <c r="DC619" s="537" t="str">
        <f t="shared" si="1921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284</v>
      </c>
      <c r="B620" s="599">
        <f>430*$K$1</f>
        <v>1800.3239999999998</v>
      </c>
      <c r="C620" s="599">
        <f t="shared" ref="C620:K620" si="1922">430*$K$1</f>
        <v>1800.3239999999998</v>
      </c>
      <c r="D620" s="599">
        <f t="shared" si="1922"/>
        <v>1800.3239999999998</v>
      </c>
      <c r="E620" s="599">
        <f t="shared" si="1922"/>
        <v>1800.3239999999998</v>
      </c>
      <c r="F620" s="599">
        <f t="shared" si="1922"/>
        <v>1800.3239999999998</v>
      </c>
      <c r="G620" s="599">
        <f t="shared" si="1922"/>
        <v>1800.3239999999998</v>
      </c>
      <c r="H620" s="599">
        <f t="shared" si="1922"/>
        <v>1800.3239999999998</v>
      </c>
      <c r="I620" s="599">
        <f t="shared" si="1922"/>
        <v>1800.3239999999998</v>
      </c>
      <c r="J620" s="599">
        <f t="shared" si="1922"/>
        <v>1800.3239999999998</v>
      </c>
      <c r="K620" s="599">
        <f t="shared" si="1922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923">430*$K$1</f>
        <v>1800.3239999999998</v>
      </c>
      <c r="V620" s="599">
        <f t="shared" si="1923"/>
        <v>1800.3239999999998</v>
      </c>
      <c r="W620" s="599">
        <f t="shared" si="1923"/>
        <v>1800.3239999999998</v>
      </c>
      <c r="X620" s="599">
        <f t="shared" si="1923"/>
        <v>1800.3239999999998</v>
      </c>
      <c r="Y620" s="599">
        <f t="shared" si="1923"/>
        <v>1800.3239999999998</v>
      </c>
      <c r="Z620" s="599">
        <f t="shared" si="1923"/>
        <v>1800.3239999999998</v>
      </c>
      <c r="AA620" s="599">
        <f t="shared" si="1923"/>
        <v>1800.3239999999998</v>
      </c>
      <c r="AB620" s="599">
        <f t="shared" si="1923"/>
        <v>1800.3239999999998</v>
      </c>
      <c r="AC620" s="599">
        <f t="shared" si="1923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924">430*$K$1</f>
        <v>1800.3239999999998</v>
      </c>
      <c r="AN620" s="599">
        <f t="shared" si="1924"/>
        <v>1800.3239999999998</v>
      </c>
      <c r="AO620" s="599">
        <f t="shared" si="1924"/>
        <v>1800.3239999999998</v>
      </c>
      <c r="AP620" s="599">
        <f t="shared" si="1924"/>
        <v>1800.3239999999998</v>
      </c>
      <c r="AQ620" s="599">
        <f t="shared" si="1924"/>
        <v>1800.3239999999998</v>
      </c>
      <c r="AR620" s="599">
        <f t="shared" si="1924"/>
        <v>1800.3239999999998</v>
      </c>
      <c r="AS620" s="599">
        <f t="shared" si="1924"/>
        <v>1800.3239999999998</v>
      </c>
      <c r="AT620" s="599">
        <f t="shared" si="1924"/>
        <v>1800.3239999999998</v>
      </c>
      <c r="AU620" s="599">
        <f t="shared" si="1924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925">430*$K$1</f>
        <v>1800.3239999999998</v>
      </c>
      <c r="BF620" s="599">
        <f t="shared" si="1925"/>
        <v>1800.3239999999998</v>
      </c>
      <c r="BG620" s="599">
        <f t="shared" si="1925"/>
        <v>1800.3239999999998</v>
      </c>
      <c r="BH620" s="599">
        <f t="shared" si="1925"/>
        <v>1800.3239999999998</v>
      </c>
      <c r="BI620" s="599">
        <f t="shared" si="1925"/>
        <v>1800.3239999999998</v>
      </c>
      <c r="BJ620" s="599">
        <f t="shared" si="1925"/>
        <v>1800.3239999999998</v>
      </c>
      <c r="BK620" s="599">
        <f t="shared" si="1925"/>
        <v>1800.3239999999998</v>
      </c>
      <c r="BL620" s="599">
        <f t="shared" si="1925"/>
        <v>1800.3239999999998</v>
      </c>
      <c r="BM620" s="599">
        <f t="shared" si="1925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925"/>
        <v>1800.3239999999998</v>
      </c>
      <c r="BW620" s="599">
        <f t="shared" si="1925"/>
        <v>1800.3239999999998</v>
      </c>
      <c r="BX620" s="599">
        <f t="shared" si="1925"/>
        <v>1800.3239999999998</v>
      </c>
      <c r="BY620" s="599">
        <f t="shared" si="1925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16">
        <f t="shared" si="1919"/>
        <v>1800.3239999999998</v>
      </c>
      <c r="CE620" s="1317">
        <f t="shared" ref="CE620:CM621" si="192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7">
        <f t="shared" si="1926"/>
        <v>1800.3239999999998</v>
      </c>
      <c r="CG620" s="1317">
        <f t="shared" si="1926"/>
        <v>1800.3239999999998</v>
      </c>
      <c r="CH620" s="1318">
        <f t="shared" si="1926"/>
        <v>1800.3239999999998</v>
      </c>
      <c r="CI620" s="1318">
        <f t="shared" si="1926"/>
        <v>1800.3239999999998</v>
      </c>
      <c r="CJ620" s="1317">
        <f t="shared" si="1926"/>
        <v>1800.3239999999998</v>
      </c>
      <c r="CK620" s="1317">
        <f t="shared" si="1926"/>
        <v>1800.3239999999998</v>
      </c>
      <c r="CL620" s="1317">
        <f t="shared" si="1926"/>
        <v>1800.3239999999998</v>
      </c>
      <c r="CM620" s="1316">
        <f t="shared" si="1926"/>
        <v>1800.3239999999998</v>
      </c>
      <c r="CN620" s="538" t="str">
        <f t="shared" si="1920"/>
        <v/>
      </c>
      <c r="CO620" s="539" t="str">
        <f t="shared" si="1920"/>
        <v/>
      </c>
      <c r="CP620" s="539" t="str">
        <f t="shared" si="1920"/>
        <v/>
      </c>
      <c r="CQ620" s="539">
        <f t="shared" si="1920"/>
        <v>1800.3239999999998</v>
      </c>
      <c r="CR620" s="539">
        <f t="shared" si="1920"/>
        <v>1800.3239999999998</v>
      </c>
      <c r="CS620" s="539">
        <f t="shared" si="1920"/>
        <v>1800.3239999999998</v>
      </c>
      <c r="CT620" s="540">
        <f t="shared" si="1920"/>
        <v>1800.3239999999998</v>
      </c>
      <c r="CU620" s="540">
        <f t="shared" si="1920"/>
        <v>1800.3239999999998</v>
      </c>
      <c r="CV620" s="540">
        <f t="shared" si="1920"/>
        <v>1800.3239999999998</v>
      </c>
      <c r="CW620" s="539">
        <f t="shared" si="1921"/>
        <v>1800.3239999999998</v>
      </c>
      <c r="CX620" s="539">
        <f t="shared" si="1921"/>
        <v>1800.3239999999998</v>
      </c>
      <c r="CY620" s="539">
        <f t="shared" si="1921"/>
        <v>1800.3239999999998</v>
      </c>
      <c r="CZ620" s="539">
        <f t="shared" si="1921"/>
        <v>1800.3239999999998</v>
      </c>
      <c r="DA620" s="539" t="str">
        <f t="shared" si="1921"/>
        <v/>
      </c>
      <c r="DB620" s="538" t="str">
        <f t="shared" si="1921"/>
        <v/>
      </c>
      <c r="DC620" s="537" t="str">
        <f t="shared" si="1921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227</v>
      </c>
      <c r="B621" s="621" t="str">
        <f t="shared" ref="B621:K621" si="1927">IF(B619="","",B619*B620/B$46/365/$G$1)</f>
        <v/>
      </c>
      <c r="C621" s="621" t="str">
        <f t="shared" si="1927"/>
        <v/>
      </c>
      <c r="D621" s="621" t="str">
        <f t="shared" si="1927"/>
        <v/>
      </c>
      <c r="E621" s="621" t="str">
        <f t="shared" si="1927"/>
        <v/>
      </c>
      <c r="F621" s="621" t="str">
        <f t="shared" si="1927"/>
        <v/>
      </c>
      <c r="G621" s="621" t="str">
        <f t="shared" si="1927"/>
        <v/>
      </c>
      <c r="H621" s="621" t="str">
        <f t="shared" si="1927"/>
        <v/>
      </c>
      <c r="I621" s="621" t="str">
        <f t="shared" si="1927"/>
        <v/>
      </c>
      <c r="J621" s="621" t="str">
        <f t="shared" si="1927"/>
        <v/>
      </c>
      <c r="K621" s="621" t="str">
        <f t="shared" si="1927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28">IF(T619="","",T619*T620/T$46/365/$G$1)</f>
        <v/>
      </c>
      <c r="U621" s="621" t="str">
        <f t="shared" si="1928"/>
        <v/>
      </c>
      <c r="V621" s="621" t="str">
        <f t="shared" si="1928"/>
        <v/>
      </c>
      <c r="W621" s="621" t="str">
        <f t="shared" si="1928"/>
        <v/>
      </c>
      <c r="X621" s="621" t="str">
        <f t="shared" si="1928"/>
        <v/>
      </c>
      <c r="Y621" s="621" t="str">
        <f t="shared" si="1928"/>
        <v/>
      </c>
      <c r="Z621" s="621" t="str">
        <f t="shared" si="1928"/>
        <v/>
      </c>
      <c r="AA621" s="621" t="str">
        <f t="shared" si="1928"/>
        <v/>
      </c>
      <c r="AB621" s="621" t="str">
        <f t="shared" si="1928"/>
        <v/>
      </c>
      <c r="AC621" s="621" t="str">
        <f t="shared" si="1928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29">IF(AL619="","",AL619*AL620/AL$46/365/$G$1)</f>
        <v/>
      </c>
      <c r="AM621" s="621" t="str">
        <f t="shared" si="1929"/>
        <v/>
      </c>
      <c r="AN621" s="621" t="str">
        <f t="shared" si="1929"/>
        <v/>
      </c>
      <c r="AO621" s="621" t="str">
        <f t="shared" si="1929"/>
        <v/>
      </c>
      <c r="AP621" s="621" t="str">
        <f t="shared" si="1929"/>
        <v/>
      </c>
      <c r="AQ621" s="621" t="str">
        <f t="shared" si="1929"/>
        <v/>
      </c>
      <c r="AR621" s="621" t="str">
        <f t="shared" si="1929"/>
        <v/>
      </c>
      <c r="AS621" s="621" t="str">
        <f t="shared" si="1929"/>
        <v/>
      </c>
      <c r="AT621" s="621" t="str">
        <f t="shared" si="1929"/>
        <v/>
      </c>
      <c r="AU621" s="621" t="str">
        <f t="shared" si="1929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30">IF(BD619="","",BD619*BD620/BD$46/365/$G$1)</f>
        <v>6.7259925280199247E-3</v>
      </c>
      <c r="BE621" s="621" t="str">
        <f t="shared" si="1930"/>
        <v/>
      </c>
      <c r="BF621" s="621" t="str">
        <f t="shared" si="1930"/>
        <v/>
      </c>
      <c r="BG621" s="621" t="str">
        <f t="shared" si="1930"/>
        <v/>
      </c>
      <c r="BH621" s="621" t="str">
        <f t="shared" si="1930"/>
        <v/>
      </c>
      <c r="BI621" s="621" t="str">
        <f t="shared" si="1930"/>
        <v/>
      </c>
      <c r="BJ621" s="621" t="str">
        <f t="shared" si="1930"/>
        <v/>
      </c>
      <c r="BK621" s="621" t="str">
        <f t="shared" si="1930"/>
        <v/>
      </c>
      <c r="BL621" s="621" t="str">
        <f t="shared" si="1930"/>
        <v/>
      </c>
      <c r="BM621" s="621" t="str">
        <f t="shared" si="1930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19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1926"/>
        <v/>
      </c>
      <c r="CF621" s="1320" t="str">
        <f t="shared" si="1926"/>
        <v/>
      </c>
      <c r="CG621" s="1320" t="str">
        <f t="shared" si="1926"/>
        <v/>
      </c>
      <c r="CH621" s="1321" t="str">
        <f t="shared" si="1926"/>
        <v/>
      </c>
      <c r="CI621" s="1321" t="str">
        <f t="shared" si="1926"/>
        <v/>
      </c>
      <c r="CJ621" s="1320" t="str">
        <f t="shared" si="1926"/>
        <v/>
      </c>
      <c r="CK621" s="1320" t="str">
        <f t="shared" si="1926"/>
        <v/>
      </c>
      <c r="CL621" s="1320" t="str">
        <f t="shared" si="1926"/>
        <v/>
      </c>
      <c r="CM621" s="1319" t="str">
        <f t="shared" si="1926"/>
        <v/>
      </c>
      <c r="CN621" s="526" t="str">
        <f t="shared" si="1920"/>
        <v/>
      </c>
      <c r="CO621" s="527" t="str">
        <f t="shared" si="1920"/>
        <v/>
      </c>
      <c r="CP621" s="527" t="str">
        <f t="shared" si="1920"/>
        <v/>
      </c>
      <c r="CQ621" s="527" t="str">
        <f t="shared" si="1920"/>
        <v/>
      </c>
      <c r="CR621" s="527" t="str">
        <f t="shared" si="1920"/>
        <v/>
      </c>
      <c r="CS621" s="527" t="str">
        <f t="shared" si="1920"/>
        <v/>
      </c>
      <c r="CT621" s="528" t="str">
        <f t="shared" si="1920"/>
        <v/>
      </c>
      <c r="CU621" s="528">
        <f t="shared" si="1920"/>
        <v>6.7259925280199247E-3</v>
      </c>
      <c r="CV621" s="528" t="str">
        <f t="shared" si="1920"/>
        <v/>
      </c>
      <c r="CW621" s="527" t="str">
        <f t="shared" si="1921"/>
        <v/>
      </c>
      <c r="CX621" s="527" t="str">
        <f t="shared" si="1921"/>
        <v/>
      </c>
      <c r="CY621" s="527" t="str">
        <f t="shared" si="1921"/>
        <v/>
      </c>
      <c r="CZ621" s="527" t="str">
        <f t="shared" si="1921"/>
        <v/>
      </c>
      <c r="DA621" s="527" t="str">
        <f t="shared" si="1921"/>
        <v/>
      </c>
      <c r="DB621" s="526" t="str">
        <f t="shared" si="1921"/>
        <v/>
      </c>
      <c r="DC621" s="525" t="str">
        <f t="shared" si="1921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288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16" t="str">
        <f t="shared" ref="CD622:CM623" si="19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7" t="str">
        <f t="shared" si="1931"/>
        <v/>
      </c>
      <c r="CF622" s="1317" t="str">
        <f t="shared" si="1931"/>
        <v/>
      </c>
      <c r="CG622" s="1317" t="str">
        <f t="shared" si="1931"/>
        <v/>
      </c>
      <c r="CH622" s="1318" t="str">
        <f t="shared" si="1931"/>
        <v/>
      </c>
      <c r="CI622" s="1318" t="str">
        <f t="shared" si="1931"/>
        <v/>
      </c>
      <c r="CJ622" s="1317" t="str">
        <f t="shared" si="1931"/>
        <v/>
      </c>
      <c r="CK622" s="1317" t="str">
        <f t="shared" si="1931"/>
        <v/>
      </c>
      <c r="CL622" s="1317" t="str">
        <f t="shared" si="1931"/>
        <v/>
      </c>
      <c r="CM622" s="1316" t="str">
        <f t="shared" si="1931"/>
        <v/>
      </c>
      <c r="CN622" s="538" t="str">
        <f t="shared" si="1920"/>
        <v/>
      </c>
      <c r="CO622" s="539" t="str">
        <f t="shared" si="1920"/>
        <v/>
      </c>
      <c r="CP622" s="539" t="str">
        <f t="shared" si="1920"/>
        <v/>
      </c>
      <c r="CQ622" s="539" t="str">
        <f t="shared" si="1920"/>
        <v/>
      </c>
      <c r="CR622" s="539" t="str">
        <f t="shared" si="1920"/>
        <v/>
      </c>
      <c r="CS622" s="539" t="str">
        <f t="shared" si="1920"/>
        <v/>
      </c>
      <c r="CT622" s="540" t="str">
        <f t="shared" si="1920"/>
        <v/>
      </c>
      <c r="CU622" s="540" t="str">
        <f t="shared" si="1920"/>
        <v/>
      </c>
      <c r="CV622" s="540" t="str">
        <f t="shared" si="1920"/>
        <v/>
      </c>
      <c r="CW622" s="539" t="str">
        <f t="shared" si="1921"/>
        <v/>
      </c>
      <c r="CX622" s="539" t="str">
        <f t="shared" si="1921"/>
        <v/>
      </c>
      <c r="CY622" s="539" t="str">
        <f t="shared" si="1921"/>
        <v/>
      </c>
      <c r="CZ622" s="539" t="str">
        <f t="shared" si="1921"/>
        <v/>
      </c>
      <c r="DA622" s="539" t="str">
        <f t="shared" si="1921"/>
        <v/>
      </c>
      <c r="DB622" s="538" t="str">
        <f t="shared" si="1921"/>
        <v/>
      </c>
      <c r="DC622" s="537" t="str">
        <f t="shared" si="1921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286</v>
      </c>
      <c r="B623" s="618" t="str">
        <f t="shared" ref="B623:K623" si="1932">IF(B622="","",B619*B622)</f>
        <v/>
      </c>
      <c r="C623" s="618" t="str">
        <f t="shared" si="1932"/>
        <v/>
      </c>
      <c r="D623" s="618" t="str">
        <f t="shared" si="1932"/>
        <v/>
      </c>
      <c r="E623" s="618" t="str">
        <f t="shared" si="1932"/>
        <v/>
      </c>
      <c r="F623" s="618" t="str">
        <f t="shared" si="1932"/>
        <v/>
      </c>
      <c r="G623" s="618" t="str">
        <f t="shared" si="1932"/>
        <v/>
      </c>
      <c r="H623" s="618" t="str">
        <f t="shared" si="1932"/>
        <v/>
      </c>
      <c r="I623" s="618" t="str">
        <f t="shared" si="1932"/>
        <v/>
      </c>
      <c r="J623" s="618" t="str">
        <f t="shared" si="1932"/>
        <v/>
      </c>
      <c r="K623" s="618" t="str">
        <f t="shared" si="1932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33">IF(T622="","",T619*T622)</f>
        <v/>
      </c>
      <c r="U623" s="618" t="str">
        <f t="shared" si="1933"/>
        <v/>
      </c>
      <c r="V623" s="618" t="str">
        <f t="shared" si="1933"/>
        <v/>
      </c>
      <c r="W623" s="618" t="str">
        <f t="shared" si="1933"/>
        <v/>
      </c>
      <c r="X623" s="618" t="str">
        <f t="shared" si="1933"/>
        <v/>
      </c>
      <c r="Y623" s="618" t="str">
        <f t="shared" si="1933"/>
        <v/>
      </c>
      <c r="Z623" s="618" t="str">
        <f t="shared" si="1933"/>
        <v/>
      </c>
      <c r="AA623" s="618" t="str">
        <f t="shared" si="1933"/>
        <v/>
      </c>
      <c r="AB623" s="618" t="str">
        <f t="shared" si="1933"/>
        <v/>
      </c>
      <c r="AC623" s="618" t="str">
        <f t="shared" si="1933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34">IF(AL622="","",AL619*AL622)</f>
        <v/>
      </c>
      <c r="AM623" s="618" t="str">
        <f t="shared" si="1934"/>
        <v/>
      </c>
      <c r="AN623" s="618" t="str">
        <f t="shared" si="1934"/>
        <v/>
      </c>
      <c r="AO623" s="618" t="str">
        <f t="shared" si="1934"/>
        <v/>
      </c>
      <c r="AP623" s="618" t="str">
        <f t="shared" si="1934"/>
        <v/>
      </c>
      <c r="AQ623" s="618" t="str">
        <f t="shared" si="1934"/>
        <v/>
      </c>
      <c r="AR623" s="618" t="str">
        <f t="shared" si="1934"/>
        <v/>
      </c>
      <c r="AS623" s="618" t="str">
        <f t="shared" si="1934"/>
        <v/>
      </c>
      <c r="AT623" s="618" t="str">
        <f t="shared" si="1934"/>
        <v/>
      </c>
      <c r="AU623" s="618" t="str">
        <f t="shared" si="1934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35">IF(BD622="","",BD619*BD622)</f>
        <v/>
      </c>
      <c r="BE623" s="618" t="str">
        <f t="shared" si="1935"/>
        <v/>
      </c>
      <c r="BF623" s="618" t="str">
        <f t="shared" si="1935"/>
        <v/>
      </c>
      <c r="BG623" s="618" t="str">
        <f t="shared" si="1935"/>
        <v/>
      </c>
      <c r="BH623" s="618" t="str">
        <f t="shared" si="1935"/>
        <v/>
      </c>
      <c r="BI623" s="618" t="str">
        <f t="shared" si="1935"/>
        <v/>
      </c>
      <c r="BJ623" s="618" t="str">
        <f t="shared" si="1935"/>
        <v/>
      </c>
      <c r="BK623" s="618" t="str">
        <f t="shared" si="1935"/>
        <v/>
      </c>
      <c r="BL623" s="618" t="str">
        <f t="shared" si="1935"/>
        <v/>
      </c>
      <c r="BM623" s="618" t="str">
        <f t="shared" si="1935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16" t="str">
        <f t="shared" si="1931"/>
        <v/>
      </c>
      <c r="CE623" s="1317" t="str">
        <f t="shared" ref="CE623:CM623" si="19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7" t="str">
        <f t="shared" si="1936"/>
        <v/>
      </c>
      <c r="CG623" s="1317" t="str">
        <f t="shared" si="1936"/>
        <v/>
      </c>
      <c r="CH623" s="1318" t="str">
        <f t="shared" si="1936"/>
        <v/>
      </c>
      <c r="CI623" s="1318" t="str">
        <f t="shared" si="1936"/>
        <v/>
      </c>
      <c r="CJ623" s="1317" t="str">
        <f t="shared" si="1936"/>
        <v/>
      </c>
      <c r="CK623" s="1317" t="str">
        <f t="shared" si="1936"/>
        <v/>
      </c>
      <c r="CL623" s="1317" t="str">
        <f t="shared" si="1936"/>
        <v/>
      </c>
      <c r="CM623" s="1316" t="str">
        <f t="shared" si="1936"/>
        <v/>
      </c>
      <c r="CN623" s="538" t="str">
        <f t="shared" si="1920"/>
        <v/>
      </c>
      <c r="CO623" s="539" t="str">
        <f t="shared" si="1920"/>
        <v/>
      </c>
      <c r="CP623" s="539" t="str">
        <f t="shared" si="1920"/>
        <v/>
      </c>
      <c r="CQ623" s="539" t="str">
        <f t="shared" si="1920"/>
        <v/>
      </c>
      <c r="CR623" s="539" t="str">
        <f t="shared" si="1920"/>
        <v/>
      </c>
      <c r="CS623" s="539" t="str">
        <f t="shared" si="1920"/>
        <v/>
      </c>
      <c r="CT623" s="540" t="str">
        <f t="shared" si="1920"/>
        <v/>
      </c>
      <c r="CU623" s="540" t="str">
        <f t="shared" si="1920"/>
        <v/>
      </c>
      <c r="CV623" s="540" t="str">
        <f t="shared" si="1920"/>
        <v/>
      </c>
      <c r="CW623" s="539" t="str">
        <f t="shared" si="1921"/>
        <v/>
      </c>
      <c r="CX623" s="539" t="str">
        <f t="shared" si="1921"/>
        <v/>
      </c>
      <c r="CY623" s="539" t="str">
        <f t="shared" si="1921"/>
        <v/>
      </c>
      <c r="CZ623" s="539" t="str">
        <f t="shared" si="1921"/>
        <v/>
      </c>
      <c r="DA623" s="539" t="str">
        <f t="shared" si="1921"/>
        <v/>
      </c>
      <c r="DB623" s="538" t="str">
        <f t="shared" si="1921"/>
        <v/>
      </c>
      <c r="DC623" s="537" t="str">
        <f t="shared" si="1921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29" t="s">
        <v>914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28"/>
      <c r="CE624" s="1328"/>
      <c r="CF624" s="1328"/>
      <c r="CG624" s="1328"/>
      <c r="CH624" s="1328"/>
      <c r="CI624" s="1328"/>
      <c r="CJ624" s="1328"/>
      <c r="CK624" s="1328"/>
      <c r="CL624" s="1328"/>
      <c r="CM624" s="1328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293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16" t="str">
        <f t="shared" ref="CD625:CM626" si="19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7" t="str">
        <f t="shared" si="1937"/>
        <v/>
      </c>
      <c r="CF625" s="1317" t="str">
        <f t="shared" si="1937"/>
        <v/>
      </c>
      <c r="CG625" s="1317" t="str">
        <f t="shared" si="1937"/>
        <v/>
      </c>
      <c r="CH625" s="1318">
        <f t="shared" si="1937"/>
        <v>120</v>
      </c>
      <c r="CI625" s="1318">
        <f t="shared" si="1937"/>
        <v>120</v>
      </c>
      <c r="CJ625" s="1317" t="str">
        <f t="shared" si="1937"/>
        <v/>
      </c>
      <c r="CK625" s="1317" t="str">
        <f t="shared" si="1937"/>
        <v/>
      </c>
      <c r="CL625" s="1317" t="str">
        <f t="shared" si="1937"/>
        <v/>
      </c>
      <c r="CM625" s="1316" t="str">
        <f t="shared" si="1937"/>
        <v/>
      </c>
      <c r="CN625" s="538" t="str">
        <f t="shared" ref="CN625:CV629" si="1938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38"/>
        <v/>
      </c>
      <c r="CP625" s="539" t="str">
        <f t="shared" si="1938"/>
        <v/>
      </c>
      <c r="CQ625" s="539" t="str">
        <f t="shared" si="1938"/>
        <v/>
      </c>
      <c r="CR625" s="539" t="str">
        <f t="shared" si="1938"/>
        <v/>
      </c>
      <c r="CS625" s="539" t="str">
        <f t="shared" si="1938"/>
        <v/>
      </c>
      <c r="CT625" s="540" t="str">
        <f t="shared" si="1938"/>
        <v/>
      </c>
      <c r="CU625" s="540">
        <f t="shared" si="1938"/>
        <v>84</v>
      </c>
      <c r="CV625" s="540" t="str">
        <f t="shared" si="1938"/>
        <v/>
      </c>
      <c r="CW625" s="539" t="str">
        <f t="shared" ref="CW625:DC629" si="1939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39"/>
        <v/>
      </c>
      <c r="CY625" s="539" t="str">
        <f t="shared" si="1939"/>
        <v/>
      </c>
      <c r="CZ625" s="539" t="str">
        <f t="shared" si="1939"/>
        <v/>
      </c>
      <c r="DA625" s="539" t="str">
        <f t="shared" si="1939"/>
        <v/>
      </c>
      <c r="DB625" s="538" t="str">
        <f t="shared" si="1939"/>
        <v/>
      </c>
      <c r="DC625" s="537" t="str">
        <f t="shared" si="1939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284</v>
      </c>
      <c r="B626" s="599">
        <f>0*$K$1</f>
        <v>0</v>
      </c>
      <c r="C626" s="599">
        <f t="shared" ref="C626:K626" si="1940">0*$K$1</f>
        <v>0</v>
      </c>
      <c r="D626" s="599">
        <f t="shared" si="1940"/>
        <v>0</v>
      </c>
      <c r="E626" s="599">
        <f t="shared" si="1940"/>
        <v>0</v>
      </c>
      <c r="F626" s="599">
        <f t="shared" si="1940"/>
        <v>0</v>
      </c>
      <c r="G626" s="599">
        <f t="shared" si="1940"/>
        <v>0</v>
      </c>
      <c r="H626" s="599">
        <f t="shared" si="1940"/>
        <v>0</v>
      </c>
      <c r="I626" s="599">
        <f t="shared" si="1940"/>
        <v>0</v>
      </c>
      <c r="J626" s="599">
        <f t="shared" si="1940"/>
        <v>0</v>
      </c>
      <c r="K626" s="599">
        <f t="shared" si="1940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41">0*$K$1</f>
        <v>0</v>
      </c>
      <c r="V626" s="599">
        <f t="shared" si="1941"/>
        <v>0</v>
      </c>
      <c r="W626" s="599">
        <v>1510</v>
      </c>
      <c r="X626" s="599">
        <f t="shared" si="1941"/>
        <v>0</v>
      </c>
      <c r="Y626" s="599">
        <f t="shared" si="1941"/>
        <v>0</v>
      </c>
      <c r="Z626" s="599">
        <f t="shared" si="1941"/>
        <v>0</v>
      </c>
      <c r="AA626" s="599">
        <f t="shared" si="1941"/>
        <v>0</v>
      </c>
      <c r="AB626" s="599">
        <f t="shared" si="1941"/>
        <v>0</v>
      </c>
      <c r="AC626" s="599">
        <f t="shared" si="1941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16">
        <f t="shared" si="1937"/>
        <v>1510</v>
      </c>
      <c r="CE626" s="1317">
        <f t="shared" ref="CE626:CM627" si="194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17">
        <f t="shared" si="1942"/>
        <v>1510</v>
      </c>
      <c r="CG626" s="1317">
        <f t="shared" si="1942"/>
        <v>1510</v>
      </c>
      <c r="CH626" s="1318">
        <f t="shared" si="1942"/>
        <v>1510</v>
      </c>
      <c r="CI626" s="1318">
        <f t="shared" si="1942"/>
        <v>1510</v>
      </c>
      <c r="CJ626" s="1317">
        <f t="shared" si="1942"/>
        <v>1510</v>
      </c>
      <c r="CK626" s="1317">
        <f t="shared" si="1942"/>
        <v>1510</v>
      </c>
      <c r="CL626" s="1317">
        <f t="shared" si="1942"/>
        <v>1510</v>
      </c>
      <c r="CM626" s="1316">
        <f t="shared" si="1942"/>
        <v>1510</v>
      </c>
      <c r="CN626" s="538" t="str">
        <f t="shared" si="1938"/>
        <v/>
      </c>
      <c r="CO626" s="539" t="str">
        <f t="shared" si="1938"/>
        <v/>
      </c>
      <c r="CP626" s="539" t="str">
        <f t="shared" si="1938"/>
        <v/>
      </c>
      <c r="CQ626" s="539">
        <f t="shared" si="1938"/>
        <v>1510</v>
      </c>
      <c r="CR626" s="539">
        <f t="shared" si="1938"/>
        <v>1510</v>
      </c>
      <c r="CS626" s="539">
        <f t="shared" si="1938"/>
        <v>1510</v>
      </c>
      <c r="CT626" s="540">
        <f t="shared" si="1938"/>
        <v>1510</v>
      </c>
      <c r="CU626" s="540">
        <f t="shared" si="1938"/>
        <v>1510</v>
      </c>
      <c r="CV626" s="540">
        <f t="shared" si="1938"/>
        <v>1510</v>
      </c>
      <c r="CW626" s="539">
        <f t="shared" si="1939"/>
        <v>1510</v>
      </c>
      <c r="CX626" s="539">
        <f t="shared" si="1939"/>
        <v>1510</v>
      </c>
      <c r="CY626" s="539">
        <f t="shared" si="1939"/>
        <v>1510</v>
      </c>
      <c r="CZ626" s="539">
        <f t="shared" si="1939"/>
        <v>1510</v>
      </c>
      <c r="DA626" s="539" t="str">
        <f t="shared" si="1939"/>
        <v/>
      </c>
      <c r="DB626" s="538" t="str">
        <f t="shared" si="1939"/>
        <v/>
      </c>
      <c r="DC626" s="537" t="str">
        <f t="shared" si="1939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227</v>
      </c>
      <c r="B627" s="621" t="str">
        <f t="shared" ref="B627:K627" si="1943">IF(B625="","",B625*B626/B$46/365/$G$1)</f>
        <v/>
      </c>
      <c r="C627" s="621" t="str">
        <f t="shared" si="1943"/>
        <v/>
      </c>
      <c r="D627" s="621" t="str">
        <f t="shared" si="1943"/>
        <v/>
      </c>
      <c r="E627" s="621" t="str">
        <f t="shared" si="1943"/>
        <v/>
      </c>
      <c r="F627" s="621" t="str">
        <f t="shared" si="1943"/>
        <v/>
      </c>
      <c r="G627" s="621" t="str">
        <f t="shared" si="1943"/>
        <v/>
      </c>
      <c r="H627" s="621" t="str">
        <f t="shared" si="1943"/>
        <v/>
      </c>
      <c r="I627" s="621" t="str">
        <f t="shared" si="1943"/>
        <v/>
      </c>
      <c r="J627" s="621" t="str">
        <f t="shared" si="1943"/>
        <v/>
      </c>
      <c r="K627" s="621" t="str">
        <f t="shared" si="1943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44">IF(T625="","",T625*T626/T$46/365/$G$1)</f>
        <v/>
      </c>
      <c r="U627" s="621" t="str">
        <f t="shared" si="1944"/>
        <v/>
      </c>
      <c r="V627" s="621" t="str">
        <f t="shared" si="1944"/>
        <v/>
      </c>
      <c r="W627" s="621">
        <f t="shared" si="1944"/>
        <v>1.9744707347447072E-3</v>
      </c>
      <c r="X627" s="621" t="str">
        <f t="shared" si="1944"/>
        <v/>
      </c>
      <c r="Y627" s="621" t="str">
        <f t="shared" si="1944"/>
        <v/>
      </c>
      <c r="Z627" s="621" t="str">
        <f t="shared" si="1944"/>
        <v/>
      </c>
      <c r="AA627" s="621" t="str">
        <f t="shared" si="1944"/>
        <v/>
      </c>
      <c r="AB627" s="621" t="str">
        <f t="shared" si="1944"/>
        <v/>
      </c>
      <c r="AC627" s="621" t="str">
        <f t="shared" si="1944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45">IF(AL625="","",AL625*AL626/AL$46/365/$G$1)</f>
        <v/>
      </c>
      <c r="AM627" s="621" t="str">
        <f t="shared" si="1945"/>
        <v/>
      </c>
      <c r="AN627" s="621" t="str">
        <f t="shared" si="1945"/>
        <v/>
      </c>
      <c r="AO627" s="621">
        <f t="shared" si="1945"/>
        <v>5.6413449564134497E-3</v>
      </c>
      <c r="AP627" s="621" t="str">
        <f t="shared" si="1945"/>
        <v/>
      </c>
      <c r="AQ627" s="621" t="str">
        <f t="shared" si="1945"/>
        <v/>
      </c>
      <c r="AR627" s="621" t="str">
        <f t="shared" si="1945"/>
        <v/>
      </c>
      <c r="AS627" s="621" t="str">
        <f t="shared" si="1945"/>
        <v/>
      </c>
      <c r="AT627" s="621">
        <f t="shared" si="1945"/>
        <v>1.1282689912826899E-2</v>
      </c>
      <c r="AU627" s="621" t="str">
        <f t="shared" si="1945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46">IF(BD625="","",BD625*BD626/BD$46/365/$G$1)</f>
        <v/>
      </c>
      <c r="BE627" s="621" t="str">
        <f t="shared" si="1946"/>
        <v/>
      </c>
      <c r="BF627" s="621" t="str">
        <f t="shared" si="1946"/>
        <v/>
      </c>
      <c r="BG627" s="621">
        <f t="shared" si="1946"/>
        <v>5.6413449564134497E-3</v>
      </c>
      <c r="BH627" s="621" t="str">
        <f t="shared" si="1946"/>
        <v/>
      </c>
      <c r="BI627" s="621" t="str">
        <f t="shared" si="1946"/>
        <v/>
      </c>
      <c r="BJ627" s="621" t="str">
        <f t="shared" si="1946"/>
        <v/>
      </c>
      <c r="BK627" s="621" t="str">
        <f t="shared" si="1946"/>
        <v/>
      </c>
      <c r="BL627" s="621" t="str">
        <f t="shared" si="1946"/>
        <v/>
      </c>
      <c r="BM627" s="621" t="str">
        <f t="shared" si="1946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19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0" t="str">
        <f t="shared" si="1942"/>
        <v/>
      </c>
      <c r="CF627" s="1320" t="str">
        <f t="shared" si="1942"/>
        <v/>
      </c>
      <c r="CG627" s="1320" t="str">
        <f t="shared" si="1942"/>
        <v/>
      </c>
      <c r="CH627" s="1321">
        <f t="shared" si="1942"/>
        <v>5.6413449564134497E-3</v>
      </c>
      <c r="CI627" s="1321">
        <f t="shared" si="1942"/>
        <v>1.1282689912826899E-2</v>
      </c>
      <c r="CJ627" s="1320" t="str">
        <f t="shared" si="1942"/>
        <v/>
      </c>
      <c r="CK627" s="1320" t="str">
        <f t="shared" si="1942"/>
        <v/>
      </c>
      <c r="CL627" s="1320" t="str">
        <f t="shared" si="1942"/>
        <v/>
      </c>
      <c r="CM627" s="1319" t="str">
        <f t="shared" si="1942"/>
        <v/>
      </c>
      <c r="CN627" s="526" t="str">
        <f t="shared" si="1938"/>
        <v/>
      </c>
      <c r="CO627" s="527" t="str">
        <f t="shared" si="1938"/>
        <v/>
      </c>
      <c r="CP627" s="527" t="str">
        <f t="shared" si="1938"/>
        <v/>
      </c>
      <c r="CQ627" s="527" t="str">
        <f t="shared" si="1938"/>
        <v/>
      </c>
      <c r="CR627" s="527" t="str">
        <f t="shared" si="1938"/>
        <v/>
      </c>
      <c r="CS627" s="527" t="str">
        <f t="shared" si="1938"/>
        <v/>
      </c>
      <c r="CT627" s="528" t="str">
        <f t="shared" si="1938"/>
        <v/>
      </c>
      <c r="CU627" s="528">
        <f t="shared" si="1938"/>
        <v>5.6413449564134497E-3</v>
      </c>
      <c r="CV627" s="528" t="str">
        <f t="shared" si="1938"/>
        <v/>
      </c>
      <c r="CW627" s="527" t="str">
        <f t="shared" si="1939"/>
        <v/>
      </c>
      <c r="CX627" s="527" t="str">
        <f t="shared" si="1939"/>
        <v/>
      </c>
      <c r="CY627" s="527" t="str">
        <f t="shared" si="1939"/>
        <v/>
      </c>
      <c r="CZ627" s="527" t="str">
        <f t="shared" si="1939"/>
        <v/>
      </c>
      <c r="DA627" s="527" t="str">
        <f t="shared" si="1939"/>
        <v/>
      </c>
      <c r="DB627" s="526" t="str">
        <f t="shared" si="1939"/>
        <v/>
      </c>
      <c r="DC627" s="525" t="str">
        <f t="shared" si="1939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288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16" t="str">
        <f t="shared" ref="CD628:CM629" si="194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7" t="str">
        <f t="shared" si="1947"/>
        <v/>
      </c>
      <c r="CF628" s="1317" t="str">
        <f t="shared" si="1947"/>
        <v/>
      </c>
      <c r="CG628" s="1317" t="str">
        <f t="shared" si="1947"/>
        <v/>
      </c>
      <c r="CH628" s="1318">
        <f t="shared" si="1947"/>
        <v>4</v>
      </c>
      <c r="CI628" s="1318">
        <f t="shared" si="1947"/>
        <v>4.5</v>
      </c>
      <c r="CJ628" s="1317" t="str">
        <f t="shared" si="1947"/>
        <v/>
      </c>
      <c r="CK628" s="1317" t="str">
        <f t="shared" si="1947"/>
        <v/>
      </c>
      <c r="CL628" s="1317" t="str">
        <f t="shared" si="1947"/>
        <v/>
      </c>
      <c r="CM628" s="1316" t="str">
        <f t="shared" si="1947"/>
        <v/>
      </c>
      <c r="CN628" s="538" t="str">
        <f t="shared" si="1938"/>
        <v/>
      </c>
      <c r="CO628" s="539" t="str">
        <f t="shared" si="1938"/>
        <v/>
      </c>
      <c r="CP628" s="539" t="str">
        <f t="shared" si="1938"/>
        <v/>
      </c>
      <c r="CQ628" s="539" t="str">
        <f t="shared" si="1938"/>
        <v/>
      </c>
      <c r="CR628" s="539" t="str">
        <f t="shared" si="1938"/>
        <v/>
      </c>
      <c r="CS628" s="539" t="str">
        <f t="shared" si="1938"/>
        <v/>
      </c>
      <c r="CT628" s="540" t="str">
        <f t="shared" si="1938"/>
        <v/>
      </c>
      <c r="CU628" s="540">
        <f t="shared" si="1938"/>
        <v>5</v>
      </c>
      <c r="CV628" s="540" t="str">
        <f t="shared" si="1938"/>
        <v/>
      </c>
      <c r="CW628" s="539" t="str">
        <f t="shared" si="1939"/>
        <v/>
      </c>
      <c r="CX628" s="539" t="str">
        <f t="shared" si="1939"/>
        <v/>
      </c>
      <c r="CY628" s="539" t="str">
        <f t="shared" si="1939"/>
        <v/>
      </c>
      <c r="CZ628" s="539" t="str">
        <f t="shared" si="1939"/>
        <v/>
      </c>
      <c r="DA628" s="539" t="str">
        <f t="shared" si="1939"/>
        <v/>
      </c>
      <c r="DB628" s="538" t="str">
        <f t="shared" si="1939"/>
        <v/>
      </c>
      <c r="DC628" s="537" t="str">
        <f t="shared" si="1939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286</v>
      </c>
      <c r="B629" s="618" t="str">
        <f t="shared" ref="B629:K629" si="1948">IF(B628="","",B625*B628)</f>
        <v/>
      </c>
      <c r="C629" s="618" t="str">
        <f t="shared" si="1948"/>
        <v/>
      </c>
      <c r="D629" s="618" t="str">
        <f t="shared" si="1948"/>
        <v/>
      </c>
      <c r="E629" s="618" t="str">
        <f t="shared" si="1948"/>
        <v/>
      </c>
      <c r="F629" s="618" t="str">
        <f t="shared" si="1948"/>
        <v/>
      </c>
      <c r="G629" s="618" t="str">
        <f t="shared" si="1948"/>
        <v/>
      </c>
      <c r="H629" s="618" t="str">
        <f t="shared" si="1948"/>
        <v/>
      </c>
      <c r="I629" s="618" t="str">
        <f t="shared" si="1948"/>
        <v/>
      </c>
      <c r="J629" s="618" t="str">
        <f t="shared" si="1948"/>
        <v/>
      </c>
      <c r="K629" s="618" t="str">
        <f t="shared" si="1948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49">IF(T628="","",T625*T628)</f>
        <v/>
      </c>
      <c r="U629" s="618" t="str">
        <f t="shared" si="1949"/>
        <v/>
      </c>
      <c r="V629" s="618" t="str">
        <f t="shared" si="1949"/>
        <v/>
      </c>
      <c r="W629" s="618">
        <f t="shared" si="1949"/>
        <v>210</v>
      </c>
      <c r="X629" s="618" t="str">
        <f t="shared" si="1949"/>
        <v/>
      </c>
      <c r="Y629" s="618" t="str">
        <f t="shared" si="1949"/>
        <v/>
      </c>
      <c r="Z629" s="618" t="str">
        <f t="shared" si="1949"/>
        <v/>
      </c>
      <c r="AA629" s="618" t="str">
        <f t="shared" si="1949"/>
        <v/>
      </c>
      <c r="AB629" s="618" t="str">
        <f t="shared" si="1949"/>
        <v/>
      </c>
      <c r="AC629" s="618" t="str">
        <f t="shared" si="1949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50">IF(AL628="","",AL625*AL628)</f>
        <v/>
      </c>
      <c r="AM629" s="618" t="str">
        <f t="shared" si="1950"/>
        <v/>
      </c>
      <c r="AN629" s="618" t="str">
        <f t="shared" si="1950"/>
        <v/>
      </c>
      <c r="AO629" s="618">
        <f t="shared" si="1950"/>
        <v>540</v>
      </c>
      <c r="AP629" s="618" t="str">
        <f t="shared" si="1950"/>
        <v/>
      </c>
      <c r="AQ629" s="618" t="str">
        <f t="shared" si="1950"/>
        <v/>
      </c>
      <c r="AR629" s="618" t="str">
        <f t="shared" si="1950"/>
        <v/>
      </c>
      <c r="AS629" s="618" t="str">
        <f t="shared" si="1950"/>
        <v/>
      </c>
      <c r="AT629" s="618">
        <f t="shared" si="1950"/>
        <v>480</v>
      </c>
      <c r="AU629" s="618" t="str">
        <f t="shared" si="1950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51">IF(BD628="","",BD625*BD628)</f>
        <v/>
      </c>
      <c r="BE629" s="618" t="str">
        <f t="shared" si="1951"/>
        <v/>
      </c>
      <c r="BF629" s="618" t="str">
        <f t="shared" si="1951"/>
        <v/>
      </c>
      <c r="BG629" s="618">
        <f t="shared" si="1951"/>
        <v>420</v>
      </c>
      <c r="BH629" s="618" t="str">
        <f t="shared" si="1951"/>
        <v/>
      </c>
      <c r="BI629" s="618" t="str">
        <f t="shared" si="1951"/>
        <v/>
      </c>
      <c r="BJ629" s="618" t="str">
        <f t="shared" si="1951"/>
        <v/>
      </c>
      <c r="BK629" s="618" t="str">
        <f t="shared" si="1951"/>
        <v/>
      </c>
      <c r="BL629" s="618" t="str">
        <f t="shared" si="1951"/>
        <v/>
      </c>
      <c r="BM629" s="618" t="str">
        <f t="shared" si="1951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16" t="str">
        <f t="shared" si="1947"/>
        <v/>
      </c>
      <c r="CE629" s="1317" t="str">
        <f t="shared" ref="CE629:CM629" si="195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7" t="str">
        <f t="shared" si="1952"/>
        <v/>
      </c>
      <c r="CG629" s="1317" t="str">
        <f t="shared" si="1952"/>
        <v/>
      </c>
      <c r="CH629" s="1318">
        <f t="shared" si="1952"/>
        <v>480</v>
      </c>
      <c r="CI629" s="1318">
        <f t="shared" si="1952"/>
        <v>540</v>
      </c>
      <c r="CJ629" s="1317" t="str">
        <f t="shared" si="1952"/>
        <v/>
      </c>
      <c r="CK629" s="1317" t="str">
        <f t="shared" si="1952"/>
        <v/>
      </c>
      <c r="CL629" s="1317" t="str">
        <f t="shared" si="1952"/>
        <v/>
      </c>
      <c r="CM629" s="1316" t="str">
        <f t="shared" si="1952"/>
        <v/>
      </c>
      <c r="CN629" s="538" t="str">
        <f t="shared" si="1938"/>
        <v/>
      </c>
      <c r="CO629" s="539" t="str">
        <f t="shared" si="1938"/>
        <v/>
      </c>
      <c r="CP629" s="539" t="str">
        <f t="shared" si="1938"/>
        <v/>
      </c>
      <c r="CQ629" s="539" t="str">
        <f t="shared" si="1938"/>
        <v/>
      </c>
      <c r="CR629" s="539" t="str">
        <f t="shared" si="1938"/>
        <v/>
      </c>
      <c r="CS629" s="539" t="str">
        <f t="shared" si="1938"/>
        <v/>
      </c>
      <c r="CT629" s="540" t="str">
        <f t="shared" si="1938"/>
        <v/>
      </c>
      <c r="CU629" s="540">
        <f t="shared" si="1938"/>
        <v>420</v>
      </c>
      <c r="CV629" s="540" t="str">
        <f t="shared" si="1938"/>
        <v/>
      </c>
      <c r="CW629" s="539" t="str">
        <f t="shared" si="1939"/>
        <v/>
      </c>
      <c r="CX629" s="539" t="str">
        <f t="shared" si="1939"/>
        <v/>
      </c>
      <c r="CY629" s="539" t="str">
        <f t="shared" si="1939"/>
        <v/>
      </c>
      <c r="CZ629" s="539" t="str">
        <f t="shared" si="1939"/>
        <v/>
      </c>
      <c r="DA629" s="539" t="str">
        <f t="shared" si="1939"/>
        <v/>
      </c>
      <c r="DB629" s="538" t="str">
        <f t="shared" si="1939"/>
        <v/>
      </c>
      <c r="DC629" s="537" t="str">
        <f t="shared" si="1939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589" t="s">
        <v>940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84"/>
      <c r="U630" s="284"/>
      <c r="V630" s="284"/>
      <c r="W630" s="284"/>
      <c r="X630" s="284"/>
      <c r="Y630" s="284"/>
      <c r="Z630" s="308"/>
      <c r="AA630" s="308"/>
      <c r="AB630" s="308"/>
      <c r="AC630" s="308"/>
      <c r="AD630" s="215"/>
      <c r="AE630" s="215"/>
      <c r="AF630" s="215"/>
      <c r="AG630" s="215"/>
      <c r="AH630" s="215"/>
      <c r="AI630" s="215"/>
      <c r="AJ630" s="215"/>
      <c r="AK630" s="700"/>
      <c r="AL630" s="284"/>
      <c r="AM630" s="284"/>
      <c r="AN630" s="308"/>
      <c r="AO630" s="308"/>
      <c r="AP630" s="308"/>
      <c r="AQ630" s="308"/>
      <c r="AR630" s="308"/>
      <c r="AS630" s="308"/>
      <c r="AT630" s="308"/>
      <c r="AU630" s="308"/>
      <c r="AV630" s="215"/>
      <c r="AW630" s="215"/>
      <c r="AX630" s="215"/>
      <c r="AY630" s="215"/>
      <c r="AZ630" s="215"/>
      <c r="BA630" s="215"/>
      <c r="BB630" s="215"/>
      <c r="BC630" s="700"/>
      <c r="BD630" s="308"/>
      <c r="BE630" s="308"/>
      <c r="BF630" s="308"/>
      <c r="BG630" s="284"/>
      <c r="BH630" s="284"/>
      <c r="BI630" s="284"/>
      <c r="BJ630" s="284"/>
      <c r="BK630" s="284"/>
      <c r="BL630" s="284"/>
      <c r="BM630" s="284"/>
      <c r="BN630" s="215"/>
      <c r="BO630" s="215"/>
      <c r="BP630" s="215"/>
      <c r="BQ630" s="215"/>
      <c r="BR630" s="215"/>
      <c r="BS630" s="215"/>
      <c r="BT630" s="215"/>
      <c r="BU630" s="700"/>
      <c r="BV630" s="284"/>
      <c r="BW630" s="284"/>
      <c r="BX630" s="284"/>
      <c r="BY630" s="284"/>
      <c r="BZ630" s="578"/>
      <c r="CA630" s="578"/>
      <c r="CB630" s="578"/>
      <c r="CC630" s="675"/>
      <c r="CD630" s="1328"/>
      <c r="CE630" s="1328"/>
      <c r="CF630" s="1328"/>
      <c r="CG630" s="1328"/>
      <c r="CH630" s="1328"/>
      <c r="CI630" s="1328"/>
      <c r="CJ630" s="1328"/>
      <c r="CK630" s="1328"/>
      <c r="CL630" s="1328"/>
      <c r="CM630" s="1328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293</v>
      </c>
      <c r="B631" s="215">
        <v>120</v>
      </c>
      <c r="C631" s="215">
        <v>120</v>
      </c>
      <c r="D631" s="215">
        <v>120</v>
      </c>
      <c r="E631" s="215">
        <v>120</v>
      </c>
      <c r="F631" s="215">
        <v>120</v>
      </c>
      <c r="G631" s="215">
        <v>120</v>
      </c>
      <c r="H631" s="215">
        <v>120</v>
      </c>
      <c r="I631" s="215">
        <v>120</v>
      </c>
      <c r="J631" s="215">
        <v>120</v>
      </c>
      <c r="K631" s="215">
        <v>120</v>
      </c>
      <c r="L631" s="215"/>
      <c r="M631" s="215"/>
      <c r="N631" s="215"/>
      <c r="O631" s="215"/>
      <c r="P631" s="215"/>
      <c r="Q631" s="215"/>
      <c r="R631" s="215"/>
      <c r="S631" s="700"/>
      <c r="T631" s="672">
        <v>120</v>
      </c>
      <c r="U631" s="284">
        <v>120</v>
      </c>
      <c r="V631" s="672">
        <v>120</v>
      </c>
      <c r="W631" s="284">
        <v>120</v>
      </c>
      <c r="X631" s="672">
        <v>120</v>
      </c>
      <c r="Y631" s="284">
        <v>120</v>
      </c>
      <c r="Z631" s="672">
        <v>300</v>
      </c>
      <c r="AA631" s="284">
        <v>120</v>
      </c>
      <c r="AB631" s="672">
        <v>150</v>
      </c>
      <c r="AC631" s="284">
        <v>144</v>
      </c>
      <c r="AD631" s="215"/>
      <c r="AE631" s="215"/>
      <c r="AF631" s="215"/>
      <c r="AG631" s="215"/>
      <c r="AH631" s="215"/>
      <c r="AI631" s="215"/>
      <c r="AJ631" s="215"/>
      <c r="AK631" s="700"/>
      <c r="AL631" s="672">
        <v>30</v>
      </c>
      <c r="AM631" s="284">
        <v>50</v>
      </c>
      <c r="AN631" s="672">
        <v>120</v>
      </c>
      <c r="AO631" s="284">
        <v>150</v>
      </c>
      <c r="AP631" s="672">
        <v>120</v>
      </c>
      <c r="AQ631" s="284">
        <v>50</v>
      </c>
      <c r="AR631" s="672">
        <v>100</v>
      </c>
      <c r="AS631" s="284">
        <v>100</v>
      </c>
      <c r="AT631" s="672">
        <v>60</v>
      </c>
      <c r="AU631" s="284">
        <v>120</v>
      </c>
      <c r="AV631" s="215"/>
      <c r="AW631" s="215"/>
      <c r="AX631" s="215"/>
      <c r="AY631" s="215"/>
      <c r="AZ631" s="215"/>
      <c r="BA631" s="215"/>
      <c r="BB631" s="215"/>
      <c r="BC631" s="700"/>
      <c r="BD631" s="672">
        <v>150</v>
      </c>
      <c r="BE631" s="672">
        <v>50</v>
      </c>
      <c r="BF631" s="284">
        <v>150</v>
      </c>
      <c r="BG631" s="672">
        <v>120</v>
      </c>
      <c r="BH631" s="284">
        <v>120</v>
      </c>
      <c r="BI631" s="672">
        <v>100</v>
      </c>
      <c r="BJ631" s="284">
        <v>120</v>
      </c>
      <c r="BK631" s="672">
        <v>120</v>
      </c>
      <c r="BL631" s="284">
        <v>120</v>
      </c>
      <c r="BM631" s="672">
        <v>60</v>
      </c>
      <c r="BN631" s="215"/>
      <c r="BO631" s="215"/>
      <c r="BP631" s="215"/>
      <c r="BQ631" s="215"/>
      <c r="BR631" s="215"/>
      <c r="BS631" s="215"/>
      <c r="BT631" s="215"/>
      <c r="BU631" s="700"/>
      <c r="BV631" s="672">
        <v>120</v>
      </c>
      <c r="BW631" s="284">
        <v>120</v>
      </c>
      <c r="BX631" s="672">
        <v>120</v>
      </c>
      <c r="BY631" s="284">
        <v>120</v>
      </c>
      <c r="BZ631" s="873">
        <f>IF(DD631&lt;3,"",(SUM(B631:R631)-MIN(B631:R631)-MAX(B631:R631))/(DD631-2))</f>
        <v>120</v>
      </c>
      <c r="CA631" s="873">
        <f>IF(DE631&lt;3,"",(SUM(T631:AJ631)-MIN(T631:AJ631)-MAX(T631:AJ631))/(DE631-2))</f>
        <v>126.75</v>
      </c>
      <c r="CB631" s="873">
        <f>IF(DF631&lt;3,"",(SUM(AL631:BB631)-MIN(AL631:BB631)-MAX(AL631:BB631))/(DF631-2))</f>
        <v>90</v>
      </c>
      <c r="CC631" s="874">
        <f>IF(DG631&lt;3,"",(SUM(BD631:BT631)-MIN(BD631:BT631)-MAX(BD631:BT631))/(DG631-2))</f>
        <v>113.75</v>
      </c>
      <c r="CD631" s="1316">
        <f t="shared" ref="CD631:CM632" si="195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30</v>
      </c>
      <c r="CE631" s="1317">
        <f t="shared" si="1953"/>
        <v>50</v>
      </c>
      <c r="CF631" s="1317">
        <f t="shared" si="1953"/>
        <v>50</v>
      </c>
      <c r="CG631" s="1317">
        <f t="shared" si="1953"/>
        <v>60</v>
      </c>
      <c r="CH631" s="1318">
        <f t="shared" si="1953"/>
        <v>100</v>
      </c>
      <c r="CI631" s="1318">
        <f t="shared" si="1953"/>
        <v>100</v>
      </c>
      <c r="CJ631" s="1317">
        <f t="shared" si="1953"/>
        <v>120</v>
      </c>
      <c r="CK631" s="1317">
        <f t="shared" si="1953"/>
        <v>120</v>
      </c>
      <c r="CL631" s="1317">
        <f t="shared" si="1953"/>
        <v>120</v>
      </c>
      <c r="CM631" s="1316">
        <f t="shared" si="1953"/>
        <v>150</v>
      </c>
      <c r="CN631" s="538" t="str">
        <f t="shared" ref="CN631:CV635" si="1954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54"/>
        <v/>
      </c>
      <c r="CP631" s="539" t="str">
        <f t="shared" si="1954"/>
        <v/>
      </c>
      <c r="CQ631" s="539">
        <f t="shared" si="1954"/>
        <v>50</v>
      </c>
      <c r="CR631" s="539">
        <f t="shared" si="1954"/>
        <v>60</v>
      </c>
      <c r="CS631" s="539">
        <f t="shared" si="1954"/>
        <v>100</v>
      </c>
      <c r="CT631" s="540">
        <f t="shared" si="1954"/>
        <v>120</v>
      </c>
      <c r="CU631" s="540">
        <f t="shared" si="1954"/>
        <v>120</v>
      </c>
      <c r="CV631" s="540">
        <f t="shared" si="1954"/>
        <v>120</v>
      </c>
      <c r="CW631" s="539">
        <f t="shared" ref="CW631:DC635" si="1955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9">
        <f t="shared" si="1955"/>
        <v>120</v>
      </c>
      <c r="CY631" s="539">
        <f t="shared" si="1955"/>
        <v>150</v>
      </c>
      <c r="CZ631" s="539">
        <f t="shared" si="1955"/>
        <v>150</v>
      </c>
      <c r="DA631" s="539" t="str">
        <f t="shared" si="1955"/>
        <v/>
      </c>
      <c r="DB631" s="538" t="str">
        <f t="shared" si="1955"/>
        <v/>
      </c>
      <c r="DC631" s="537" t="str">
        <f t="shared" si="1955"/>
        <v/>
      </c>
      <c r="DD631" s="641">
        <f>COUNT(B631:R631)</f>
        <v>10</v>
      </c>
      <c r="DE631" s="95">
        <f>COUNT(T631:AJ631)</f>
        <v>10</v>
      </c>
      <c r="DF631" s="95">
        <f>COUNT(AL631:BB631)</f>
        <v>10</v>
      </c>
      <c r="DG631" s="95">
        <f>COUNT(BD631:BT631)</f>
        <v>10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284</v>
      </c>
      <c r="B632" s="747">
        <f>3460*$K$1</f>
        <v>14486.328</v>
      </c>
      <c r="C632" s="747">
        <f t="shared" ref="C632:K632" si="1956">3460*$K$1</f>
        <v>14486.328</v>
      </c>
      <c r="D632" s="747">
        <f t="shared" si="1956"/>
        <v>14486.328</v>
      </c>
      <c r="E632" s="747">
        <f t="shared" si="1956"/>
        <v>14486.328</v>
      </c>
      <c r="F632" s="747">
        <f t="shared" si="1956"/>
        <v>14486.328</v>
      </c>
      <c r="G632" s="747">
        <f t="shared" si="1956"/>
        <v>14486.328</v>
      </c>
      <c r="H632" s="747">
        <f t="shared" si="1956"/>
        <v>14486.328</v>
      </c>
      <c r="I632" s="747">
        <f t="shared" si="1956"/>
        <v>14486.328</v>
      </c>
      <c r="J632" s="747">
        <f t="shared" si="1956"/>
        <v>14486.328</v>
      </c>
      <c r="K632" s="747">
        <f t="shared" si="1956"/>
        <v>14486.328</v>
      </c>
      <c r="L632" s="599"/>
      <c r="M632" s="599"/>
      <c r="N632" s="599"/>
      <c r="O632" s="599"/>
      <c r="P632" s="599"/>
      <c r="Q632" s="599"/>
      <c r="R632" s="599"/>
      <c r="S632" s="700"/>
      <c r="T632" s="747">
        <f>3460*$K$1</f>
        <v>14486.328</v>
      </c>
      <c r="U632" s="747">
        <f t="shared" ref="U632:AC632" si="1957">3460*$K$1</f>
        <v>14486.328</v>
      </c>
      <c r="V632" s="747">
        <f t="shared" si="1957"/>
        <v>14486.328</v>
      </c>
      <c r="W632" s="747">
        <f t="shared" si="1957"/>
        <v>14486.328</v>
      </c>
      <c r="X632" s="747">
        <f t="shared" si="1957"/>
        <v>14486.328</v>
      </c>
      <c r="Y632" s="747">
        <f t="shared" si="1957"/>
        <v>14486.328</v>
      </c>
      <c r="Z632" s="747">
        <f t="shared" si="1957"/>
        <v>14486.328</v>
      </c>
      <c r="AA632" s="747">
        <f t="shared" si="1957"/>
        <v>14486.328</v>
      </c>
      <c r="AB632" s="747">
        <f t="shared" si="1957"/>
        <v>14486.328</v>
      </c>
      <c r="AC632" s="747">
        <f t="shared" si="1957"/>
        <v>14486.328</v>
      </c>
      <c r="AD632" s="599"/>
      <c r="AE632" s="599"/>
      <c r="AF632" s="599"/>
      <c r="AG632" s="599"/>
      <c r="AH632" s="599"/>
      <c r="AI632" s="599"/>
      <c r="AJ632" s="599"/>
      <c r="AK632" s="700"/>
      <c r="AL632" s="747">
        <f>3460*$K$1</f>
        <v>14486.328</v>
      </c>
      <c r="AM632" s="747">
        <f t="shared" ref="AM632:AU632" si="1958">3460*$K$1</f>
        <v>14486.328</v>
      </c>
      <c r="AN632" s="747">
        <f t="shared" si="1958"/>
        <v>14486.328</v>
      </c>
      <c r="AO632" s="747">
        <f t="shared" si="1958"/>
        <v>14486.328</v>
      </c>
      <c r="AP632" s="747">
        <f t="shared" si="1958"/>
        <v>14486.328</v>
      </c>
      <c r="AQ632" s="747">
        <f t="shared" si="1958"/>
        <v>14486.328</v>
      </c>
      <c r="AR632" s="747">
        <f t="shared" si="1958"/>
        <v>14486.328</v>
      </c>
      <c r="AS632" s="747">
        <f t="shared" si="1958"/>
        <v>14486.328</v>
      </c>
      <c r="AT632" s="747">
        <f t="shared" si="1958"/>
        <v>14486.328</v>
      </c>
      <c r="AU632" s="747">
        <f t="shared" si="1958"/>
        <v>14486.328</v>
      </c>
      <c r="AV632" s="599"/>
      <c r="AW632" s="599"/>
      <c r="AX632" s="599"/>
      <c r="AY632" s="599"/>
      <c r="AZ632" s="599"/>
      <c r="BA632" s="599"/>
      <c r="BB632" s="599"/>
      <c r="BC632" s="700"/>
      <c r="BD632" s="747">
        <f>3460*$K$1</f>
        <v>14486.328</v>
      </c>
      <c r="BE632" s="747">
        <f t="shared" ref="BE632:BM632" si="1959">3460*$K$1</f>
        <v>14486.328</v>
      </c>
      <c r="BF632" s="747">
        <f t="shared" si="1959"/>
        <v>14486.328</v>
      </c>
      <c r="BG632" s="747">
        <f t="shared" si="1959"/>
        <v>14486.328</v>
      </c>
      <c r="BH632" s="747">
        <f t="shared" si="1959"/>
        <v>14486.328</v>
      </c>
      <c r="BI632" s="747">
        <f t="shared" si="1959"/>
        <v>14486.328</v>
      </c>
      <c r="BJ632" s="747">
        <f t="shared" si="1959"/>
        <v>14486.328</v>
      </c>
      <c r="BK632" s="747">
        <f t="shared" si="1959"/>
        <v>14486.328</v>
      </c>
      <c r="BL632" s="747">
        <f t="shared" si="1959"/>
        <v>14486.328</v>
      </c>
      <c r="BM632" s="747">
        <f t="shared" si="1959"/>
        <v>14486.328</v>
      </c>
      <c r="BN632" s="599"/>
      <c r="BO632" s="599"/>
      <c r="BP632" s="599"/>
      <c r="BQ632" s="599"/>
      <c r="BR632" s="599"/>
      <c r="BS632" s="599"/>
      <c r="BT632" s="599"/>
      <c r="BU632" s="700"/>
      <c r="BV632" s="747">
        <f t="shared" ref="BV632:BY632" si="1960">3460*$K$1</f>
        <v>14486.328</v>
      </c>
      <c r="BW632" s="747">
        <f t="shared" si="1960"/>
        <v>14486.328</v>
      </c>
      <c r="BX632" s="747">
        <f t="shared" si="1960"/>
        <v>14486.328</v>
      </c>
      <c r="BY632" s="747">
        <f t="shared" si="1960"/>
        <v>14486.328</v>
      </c>
      <c r="BZ632" s="873">
        <f>IF(DD632&lt;3,"",(SUM(B632:R632)-MIN(B632:R632)-MAX(B632:R632))/(DD632-2))</f>
        <v>14486.327999999998</v>
      </c>
      <c r="CA632" s="873">
        <f>IF(DE632&lt;3,"",(SUM(T632:AJ632)-MIN(T632:AJ632)-MAX(T632:AJ632))/(DE632-2))</f>
        <v>14486.327999999998</v>
      </c>
      <c r="CB632" s="873">
        <f>IF(DF632&lt;3,"",(SUM(AL632:BB632)-MIN(AL632:BB632)-MAX(AL632:BB632))/(DF632-2))</f>
        <v>14486.327999999998</v>
      </c>
      <c r="CC632" s="874">
        <f>IF(DG632&lt;3,"",(SUM(BD632:BT632)-MIN(BD632:BT632)-MAX(BD632:BT632))/(DG632-2))</f>
        <v>14486.327999999998</v>
      </c>
      <c r="CD632" s="1316">
        <f t="shared" si="1953"/>
        <v>14486.328</v>
      </c>
      <c r="CE632" s="1317">
        <f t="shared" ref="CE632:CM633" si="196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7">
        <f t="shared" si="1961"/>
        <v>14486.328</v>
      </c>
      <c r="CG632" s="1317">
        <f t="shared" si="1961"/>
        <v>14486.328</v>
      </c>
      <c r="CH632" s="1318">
        <f t="shared" si="1961"/>
        <v>14486.328</v>
      </c>
      <c r="CI632" s="1318">
        <f t="shared" si="1961"/>
        <v>14486.328</v>
      </c>
      <c r="CJ632" s="1317">
        <f t="shared" si="1961"/>
        <v>14486.328</v>
      </c>
      <c r="CK632" s="1317">
        <f t="shared" si="1961"/>
        <v>14486.328</v>
      </c>
      <c r="CL632" s="1317">
        <f t="shared" si="1961"/>
        <v>14486.328</v>
      </c>
      <c r="CM632" s="1316">
        <f t="shared" si="1961"/>
        <v>14486.328</v>
      </c>
      <c r="CN632" s="538" t="str">
        <f t="shared" si="1954"/>
        <v/>
      </c>
      <c r="CO632" s="539" t="str">
        <f t="shared" si="1954"/>
        <v/>
      </c>
      <c r="CP632" s="539" t="str">
        <f t="shared" si="1954"/>
        <v/>
      </c>
      <c r="CQ632" s="539">
        <f t="shared" si="1954"/>
        <v>14486.328</v>
      </c>
      <c r="CR632" s="539">
        <f t="shared" si="1954"/>
        <v>14486.328</v>
      </c>
      <c r="CS632" s="539">
        <f t="shared" si="1954"/>
        <v>14486.328</v>
      </c>
      <c r="CT632" s="540">
        <f t="shared" si="1954"/>
        <v>14486.328</v>
      </c>
      <c r="CU632" s="540">
        <f t="shared" si="1954"/>
        <v>14486.328</v>
      </c>
      <c r="CV632" s="540">
        <f t="shared" si="1954"/>
        <v>14486.328</v>
      </c>
      <c r="CW632" s="539">
        <f t="shared" si="1955"/>
        <v>14486.328</v>
      </c>
      <c r="CX632" s="539">
        <f t="shared" si="1955"/>
        <v>14486.328</v>
      </c>
      <c r="CY632" s="539">
        <f t="shared" si="1955"/>
        <v>14486.328</v>
      </c>
      <c r="CZ632" s="539">
        <f t="shared" si="1955"/>
        <v>14486.328</v>
      </c>
      <c r="DA632" s="539" t="str">
        <f t="shared" si="1955"/>
        <v/>
      </c>
      <c r="DB632" s="538" t="str">
        <f t="shared" si="1955"/>
        <v/>
      </c>
      <c r="DC632" s="537" t="str">
        <f t="shared" si="1955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227</v>
      </c>
      <c r="B633" s="621">
        <f t="shared" ref="B633:K633" si="1962">IF(B631="","",B631*B632/B$46/365/$G$1)</f>
        <v>5.4120777085927767E-2</v>
      </c>
      <c r="C633" s="621">
        <f t="shared" si="1962"/>
        <v>7.7315395837039669E-2</v>
      </c>
      <c r="D633" s="621">
        <f t="shared" si="1962"/>
        <v>6.7650971357409703E-2</v>
      </c>
      <c r="E633" s="621">
        <f t="shared" si="1962"/>
        <v>5.4120777085927767E-2</v>
      </c>
      <c r="F633" s="621">
        <f t="shared" si="1962"/>
        <v>7.7315395837039669E-2</v>
      </c>
      <c r="G633" s="621">
        <f t="shared" si="1962"/>
        <v>6.7650971357409703E-2</v>
      </c>
      <c r="H633" s="621">
        <f t="shared" si="1962"/>
        <v>6.0134196762141955E-2</v>
      </c>
      <c r="I633" s="621">
        <f t="shared" si="1962"/>
        <v>0.10824155417185553</v>
      </c>
      <c r="J633" s="621">
        <f t="shared" si="1962"/>
        <v>6.7650971357409703E-2</v>
      </c>
      <c r="K633" s="621">
        <f t="shared" si="1962"/>
        <v>7.7315395837039669E-2</v>
      </c>
      <c r="L633" s="621"/>
      <c r="M633" s="621"/>
      <c r="N633" s="621"/>
      <c r="O633" s="621"/>
      <c r="P633" s="621"/>
      <c r="Q633" s="621"/>
      <c r="R633" s="621"/>
      <c r="S633" s="700"/>
      <c r="T633" s="621">
        <f t="shared" ref="T633:AC633" si="1963">IF(T631="","",T631*T632/T$46/365/$G$1)</f>
        <v>6.7650971357409703E-2</v>
      </c>
      <c r="U633" s="621">
        <f t="shared" si="1963"/>
        <v>7.7315395837039669E-2</v>
      </c>
      <c r="V633" s="621">
        <f t="shared" si="1963"/>
        <v>6.0134196762141955E-2</v>
      </c>
      <c r="W633" s="621">
        <f t="shared" si="1963"/>
        <v>5.4120777085927767E-2</v>
      </c>
      <c r="X633" s="621">
        <f t="shared" si="1963"/>
        <v>6.7650971357409703E-2</v>
      </c>
      <c r="Y633" s="621">
        <f t="shared" si="1963"/>
        <v>5.4120777085927767E-2</v>
      </c>
      <c r="Z633" s="621">
        <f t="shared" si="1963"/>
        <v>0.15033549190535492</v>
      </c>
      <c r="AA633" s="621">
        <f t="shared" si="1963"/>
        <v>5.4120777085927767E-2</v>
      </c>
      <c r="AB633" s="621">
        <f t="shared" si="1963"/>
        <v>8.4563714196762133E-2</v>
      </c>
      <c r="AC633" s="621">
        <f t="shared" si="1963"/>
        <v>7.2161036114570365E-2</v>
      </c>
      <c r="AD633" s="621"/>
      <c r="AE633" s="621"/>
      <c r="AF633" s="621"/>
      <c r="AG633" s="621"/>
      <c r="AH633" s="621"/>
      <c r="AI633" s="621"/>
      <c r="AJ633" s="621"/>
      <c r="AK633" s="700"/>
      <c r="AL633" s="621">
        <f t="shared" ref="AL633:AU633" si="1964">IF(AL631="","",AL631*AL632/AL$46/365/$G$1)</f>
        <v>1.9328848959259917E-2</v>
      </c>
      <c r="AM633" s="621">
        <f t="shared" si="1964"/>
        <v>2.8187904732254049E-2</v>
      </c>
      <c r="AN633" s="621">
        <f t="shared" si="1964"/>
        <v>0.10824155417185553</v>
      </c>
      <c r="AO633" s="621">
        <f t="shared" si="1964"/>
        <v>6.7650971357409703E-2</v>
      </c>
      <c r="AP633" s="621">
        <f t="shared" si="1964"/>
        <v>5.4120777085927767E-2</v>
      </c>
      <c r="AQ633" s="621">
        <f t="shared" si="1964"/>
        <v>4.5100647571606471E-2</v>
      </c>
      <c r="AR633" s="621">
        <f t="shared" si="1964"/>
        <v>6.4429496530866395E-2</v>
      </c>
      <c r="AS633" s="621">
        <f t="shared" si="1964"/>
        <v>4.5100647571606471E-2</v>
      </c>
      <c r="AT633" s="621">
        <f t="shared" si="1964"/>
        <v>5.4120777085927767E-2</v>
      </c>
      <c r="AU633" s="621">
        <f t="shared" si="1964"/>
        <v>5.4120777085927767E-2</v>
      </c>
      <c r="AV633" s="621"/>
      <c r="AW633" s="621"/>
      <c r="AX633" s="621"/>
      <c r="AY633" s="621"/>
      <c r="AZ633" s="621"/>
      <c r="BA633" s="621"/>
      <c r="BB633" s="621"/>
      <c r="BC633" s="700"/>
      <c r="BD633" s="621">
        <f t="shared" ref="BD633:BM633" si="1965">IF(BD631="","",BD631*BD632/BD$46/365/$G$1)</f>
        <v>5.6375809464508091E-2</v>
      </c>
      <c r="BE633" s="621">
        <f t="shared" si="1965"/>
        <v>2.8187904732254049E-2</v>
      </c>
      <c r="BF633" s="621">
        <f t="shared" si="1965"/>
        <v>5.6375809464508091E-2</v>
      </c>
      <c r="BG633" s="621">
        <f t="shared" si="1965"/>
        <v>7.7315395837039669E-2</v>
      </c>
      <c r="BH633" s="621">
        <f t="shared" si="1965"/>
        <v>4.9200706441752513E-2</v>
      </c>
      <c r="BI633" s="621">
        <f t="shared" si="1965"/>
        <v>4.5100647571606471E-2</v>
      </c>
      <c r="BJ633" s="621">
        <f t="shared" si="1965"/>
        <v>6.7650971357409703E-2</v>
      </c>
      <c r="BK633" s="621">
        <f t="shared" si="1965"/>
        <v>7.7315395837039669E-2</v>
      </c>
      <c r="BL633" s="621">
        <f t="shared" si="1965"/>
        <v>4.9200706441752513E-2</v>
      </c>
      <c r="BM633" s="621">
        <f t="shared" si="1965"/>
        <v>3.8657697918519834E-2</v>
      </c>
      <c r="BN633" s="621"/>
      <c r="BO633" s="621"/>
      <c r="BP633" s="621"/>
      <c r="BQ633" s="621"/>
      <c r="BR633" s="621"/>
      <c r="BS633" s="621"/>
      <c r="BT633" s="621"/>
      <c r="BU633" s="700"/>
      <c r="BV633" s="621">
        <f>IF(BV631="","",BV631*BV632/BV$46/365/$G$1)</f>
        <v>6.7650971357409703E-2</v>
      </c>
      <c r="BW633" s="621">
        <f>IF(BW631="","",BW631*BW632/BW$46/365/$G$1)</f>
        <v>6.7650971357409703E-2</v>
      </c>
      <c r="BX633" s="621">
        <f>IF(BX631="","",BX631*BX632/BX$46/365/$G$1)</f>
        <v>6.7650971357409703E-2</v>
      </c>
      <c r="BY633" s="621">
        <f>IF(BY631="","",BY631*BY632/BY$46/365/$G$1)</f>
        <v>6.0134196762141955E-2</v>
      </c>
      <c r="BZ633" s="611">
        <f>IF(DD633&lt;3,"",(SUM(B633:R633)-MIN(B633:R633)-MAX(B633:R633))/(DD633-2))</f>
        <v>6.864425942892724E-2</v>
      </c>
      <c r="CA633" s="611">
        <f>IF(DE633&lt;3,"",(SUM(T633:AJ633)-MIN(T633:AJ633)-MAX(T633:AJ633))/(DE633-2))</f>
        <v>6.721472997464864E-2</v>
      </c>
      <c r="CB633" s="611">
        <f>IF(DF633&lt;3,"",(SUM(AL633:BB633)-MIN(AL633:BB633)-MAX(AL633:BB633))/(DF633-2))</f>
        <v>5.1603999877690793E-2</v>
      </c>
      <c r="CC633" s="611">
        <f>IF(DG633&lt;3,"",(SUM(BD633:BT633)-MIN(BD633:BT633)-MAX(BD633:BT633))/(DG633-2))</f>
        <v>5.498471806213711E-2</v>
      </c>
      <c r="CD633" s="1319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1.9328848959259917E-2</v>
      </c>
      <c r="CE633" s="1320">
        <f t="shared" si="1961"/>
        <v>2.8187904732254049E-2</v>
      </c>
      <c r="CF633" s="1320">
        <f t="shared" si="1961"/>
        <v>4.5100647571606471E-2</v>
      </c>
      <c r="CG633" s="1320">
        <f t="shared" si="1961"/>
        <v>4.5100647571606471E-2</v>
      </c>
      <c r="CH633" s="1321">
        <f t="shared" si="1961"/>
        <v>5.4120777085927767E-2</v>
      </c>
      <c r="CI633" s="1321">
        <f t="shared" si="1961"/>
        <v>5.4120777085927767E-2</v>
      </c>
      <c r="CJ633" s="1320">
        <f t="shared" si="1961"/>
        <v>5.4120777085927767E-2</v>
      </c>
      <c r="CK633" s="1320">
        <f t="shared" si="1961"/>
        <v>6.4429496530866395E-2</v>
      </c>
      <c r="CL633" s="1320">
        <f t="shared" si="1961"/>
        <v>6.7650971357409703E-2</v>
      </c>
      <c r="CM633" s="1319">
        <f t="shared" si="1961"/>
        <v>0.10824155417185553</v>
      </c>
      <c r="CN633" s="526" t="str">
        <f t="shared" si="1954"/>
        <v/>
      </c>
      <c r="CO633" s="527" t="str">
        <f t="shared" si="1954"/>
        <v/>
      </c>
      <c r="CP633" s="527" t="str">
        <f t="shared" si="1954"/>
        <v/>
      </c>
      <c r="CQ633" s="527">
        <f t="shared" si="1954"/>
        <v>2.8187904732254049E-2</v>
      </c>
      <c r="CR633" s="527">
        <f t="shared" si="1954"/>
        <v>3.8657697918519834E-2</v>
      </c>
      <c r="CS633" s="527">
        <f t="shared" si="1954"/>
        <v>4.5100647571606471E-2</v>
      </c>
      <c r="CT633" s="528">
        <f t="shared" si="1954"/>
        <v>4.9200706441752513E-2</v>
      </c>
      <c r="CU633" s="528">
        <f t="shared" si="1954"/>
        <v>4.9200706441752513E-2</v>
      </c>
      <c r="CV633" s="528">
        <f t="shared" si="1954"/>
        <v>5.6375809464508091E-2</v>
      </c>
      <c r="CW633" s="527">
        <f t="shared" si="1955"/>
        <v>5.6375809464508091E-2</v>
      </c>
      <c r="CX633" s="527">
        <f t="shared" si="1955"/>
        <v>6.7650971357409703E-2</v>
      </c>
      <c r="CY633" s="527">
        <f t="shared" si="1955"/>
        <v>7.7315395837039669E-2</v>
      </c>
      <c r="CZ633" s="527">
        <f t="shared" si="1955"/>
        <v>7.7315395837039669E-2</v>
      </c>
      <c r="DA633" s="527" t="str">
        <f t="shared" si="1955"/>
        <v/>
      </c>
      <c r="DB633" s="526" t="str">
        <f t="shared" si="1955"/>
        <v/>
      </c>
      <c r="DC633" s="525" t="str">
        <f t="shared" si="1955"/>
        <v/>
      </c>
      <c r="DD633" s="641">
        <f>COUNT(B633:R633)</f>
        <v>10</v>
      </c>
      <c r="DE633" s="95">
        <f>COUNT(T633:AJ633)</f>
        <v>10</v>
      </c>
      <c r="DF633" s="95">
        <f>COUNT(AL633:BB633)</f>
        <v>10</v>
      </c>
      <c r="DG633" s="95">
        <f>COUNT(BD633:BT633)</f>
        <v>10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288</v>
      </c>
      <c r="B634" s="666">
        <v>4</v>
      </c>
      <c r="C634" s="631">
        <v>6</v>
      </c>
      <c r="D634" s="666">
        <v>6</v>
      </c>
      <c r="E634" s="631">
        <v>6</v>
      </c>
      <c r="F634" s="666">
        <v>7</v>
      </c>
      <c r="G634" s="631">
        <v>4</v>
      </c>
      <c r="H634" s="666">
        <v>5</v>
      </c>
      <c r="I634" s="631">
        <v>7</v>
      </c>
      <c r="J634" s="666">
        <v>5</v>
      </c>
      <c r="K634" s="631">
        <v>6</v>
      </c>
      <c r="L634" s="308"/>
      <c r="M634" s="308"/>
      <c r="N634" s="308"/>
      <c r="O634" s="308"/>
      <c r="P634" s="308"/>
      <c r="Q634" s="308"/>
      <c r="R634" s="308"/>
      <c r="S634" s="700"/>
      <c r="T634" s="631">
        <v>4</v>
      </c>
      <c r="U634" s="666">
        <v>5.5</v>
      </c>
      <c r="V634" s="631">
        <v>6</v>
      </c>
      <c r="W634" s="666">
        <v>6.5</v>
      </c>
      <c r="X634" s="631">
        <v>7</v>
      </c>
      <c r="Y634" s="666">
        <v>7.5</v>
      </c>
      <c r="Z634" s="631">
        <f>140/25</f>
        <v>5.6</v>
      </c>
      <c r="AA634" s="666">
        <f>8</f>
        <v>8</v>
      </c>
      <c r="AB634" s="631">
        <f>95/12.5</f>
        <v>7.6</v>
      </c>
      <c r="AC634" s="666">
        <f>75/12</f>
        <v>6.25</v>
      </c>
      <c r="AD634" s="308"/>
      <c r="AE634" s="308"/>
      <c r="AF634" s="308"/>
      <c r="AG634" s="308"/>
      <c r="AH634" s="308"/>
      <c r="AI634" s="308"/>
      <c r="AJ634" s="308"/>
      <c r="AK634" s="700"/>
      <c r="AL634" s="631"/>
      <c r="AM634" s="666">
        <v>6</v>
      </c>
      <c r="AN634" s="631">
        <f>50/12.5</f>
        <v>4</v>
      </c>
      <c r="AO634" s="666"/>
      <c r="AP634" s="631"/>
      <c r="AQ634" s="666">
        <v>7.5</v>
      </c>
      <c r="AR634" s="631"/>
      <c r="AS634" s="666"/>
      <c r="AT634" s="631"/>
      <c r="AU634" s="666">
        <f>8</f>
        <v>8</v>
      </c>
      <c r="AV634" s="308"/>
      <c r="AW634" s="308"/>
      <c r="AX634" s="308"/>
      <c r="AY634" s="308"/>
      <c r="AZ634" s="308"/>
      <c r="BA634" s="308"/>
      <c r="BB634" s="308"/>
      <c r="BC634" s="700"/>
      <c r="BD634" s="631">
        <f>5</f>
        <v>5</v>
      </c>
      <c r="BE634" s="631">
        <v>6</v>
      </c>
      <c r="BF634" s="666">
        <v>6.5</v>
      </c>
      <c r="BG634" s="631">
        <v>5</v>
      </c>
      <c r="BH634" s="666">
        <v>5</v>
      </c>
      <c r="BI634" s="631">
        <v>6.5</v>
      </c>
      <c r="BJ634" s="666">
        <v>6.5</v>
      </c>
      <c r="BK634" s="631">
        <v>8.5</v>
      </c>
      <c r="BL634" s="666">
        <v>7.9</v>
      </c>
      <c r="BM634" s="631">
        <v>7.6</v>
      </c>
      <c r="BN634" s="308"/>
      <c r="BO634" s="308"/>
      <c r="BP634" s="308"/>
      <c r="BQ634" s="308"/>
      <c r="BR634" s="308"/>
      <c r="BS634" s="308"/>
      <c r="BT634" s="308"/>
      <c r="BU634" s="700"/>
      <c r="BV634" s="631">
        <v>7</v>
      </c>
      <c r="BW634" s="666">
        <v>7</v>
      </c>
      <c r="BX634" s="631">
        <v>7</v>
      </c>
      <c r="BY634" s="666">
        <v>7</v>
      </c>
      <c r="BZ634" s="873">
        <f>IF(DD634&lt;3,"",(SUM(B634:R634)-MIN(B634:R634)-MAX(B634:R634))/(DD634-2))</f>
        <v>5.625</v>
      </c>
      <c r="CA634" s="873">
        <f>IF(DE634&lt;3,"",(SUM(T634:AJ634)-MIN(T634:AJ634)-MAX(T634:AJ634))/(DE634-2))</f>
        <v>6.4937500000000004</v>
      </c>
      <c r="CB634" s="873">
        <f>IF(DF634&lt;3,"",(SUM(AL634:BB634)-MIN(AL634:BB634)-MAX(AL634:BB634))/(DF634-2))</f>
        <v>6.75</v>
      </c>
      <c r="CC634" s="874">
        <f>IF(DG634&lt;3,"",(SUM(BD634:BT634)-MIN(BD634:BT634)-MAX(BD634:BT634))/(DG634-2))</f>
        <v>6.375</v>
      </c>
      <c r="CD634" s="1316" t="str">
        <f t="shared" ref="CD634:CM634" si="196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7" t="str">
        <f t="shared" si="1966"/>
        <v/>
      </c>
      <c r="CF634" s="1317" t="str">
        <f t="shared" si="1966"/>
        <v/>
      </c>
      <c r="CG634" s="1317">
        <f t="shared" si="1966"/>
        <v>4</v>
      </c>
      <c r="CH634" s="1318">
        <f t="shared" si="1966"/>
        <v>6</v>
      </c>
      <c r="CI634" s="1318">
        <f t="shared" si="1966"/>
        <v>7.5</v>
      </c>
      <c r="CJ634" s="1317">
        <f t="shared" si="1966"/>
        <v>8</v>
      </c>
      <c r="CK634" s="1317" t="str">
        <f t="shared" si="1966"/>
        <v/>
      </c>
      <c r="CL634" s="1317" t="str">
        <f t="shared" si="1966"/>
        <v/>
      </c>
      <c r="CM634" s="1316" t="str">
        <f t="shared" si="1966"/>
        <v/>
      </c>
      <c r="CN634" s="538" t="str">
        <f t="shared" si="1954"/>
        <v/>
      </c>
      <c r="CO634" s="539" t="str">
        <f t="shared" si="1954"/>
        <v/>
      </c>
      <c r="CP634" s="539" t="str">
        <f t="shared" si="1954"/>
        <v/>
      </c>
      <c r="CQ634" s="539">
        <f t="shared" si="1954"/>
        <v>5</v>
      </c>
      <c r="CR634" s="539">
        <f t="shared" si="1954"/>
        <v>5</v>
      </c>
      <c r="CS634" s="539">
        <f t="shared" si="1954"/>
        <v>5</v>
      </c>
      <c r="CT634" s="540">
        <f t="shared" si="1954"/>
        <v>6</v>
      </c>
      <c r="CU634" s="540">
        <f t="shared" si="1954"/>
        <v>6.5</v>
      </c>
      <c r="CV634" s="540">
        <f t="shared" si="1954"/>
        <v>6.5</v>
      </c>
      <c r="CW634" s="539">
        <f t="shared" si="1955"/>
        <v>6.5</v>
      </c>
      <c r="CX634" s="539">
        <f t="shared" si="1955"/>
        <v>7.6</v>
      </c>
      <c r="CY634" s="539">
        <f t="shared" si="1955"/>
        <v>7.9</v>
      </c>
      <c r="CZ634" s="539">
        <f t="shared" si="1955"/>
        <v>8.5</v>
      </c>
      <c r="DA634" s="539" t="str">
        <f t="shared" si="1955"/>
        <v/>
      </c>
      <c r="DB634" s="538" t="str">
        <f t="shared" si="1955"/>
        <v/>
      </c>
      <c r="DC634" s="537" t="str">
        <f t="shared" si="1955"/>
        <v/>
      </c>
      <c r="DD634" s="641">
        <f>COUNT(B634:R634)</f>
        <v>10</v>
      </c>
      <c r="DE634" s="95">
        <f>COUNT(T634:AJ634)</f>
        <v>10</v>
      </c>
      <c r="DF634" s="95">
        <f>COUNT(AL634:BB634)</f>
        <v>4</v>
      </c>
      <c r="DG634" s="95">
        <f>COUNT(BD634:BT634)</f>
        <v>10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286</v>
      </c>
      <c r="B635" s="618">
        <f t="shared" ref="B635:K635" si="1967">IF(B634="","",B631*B634)</f>
        <v>480</v>
      </c>
      <c r="C635" s="618">
        <f t="shared" si="1967"/>
        <v>720</v>
      </c>
      <c r="D635" s="618">
        <f t="shared" si="1967"/>
        <v>720</v>
      </c>
      <c r="E635" s="618">
        <f t="shared" si="1967"/>
        <v>720</v>
      </c>
      <c r="F635" s="618">
        <f t="shared" si="1967"/>
        <v>840</v>
      </c>
      <c r="G635" s="618">
        <f t="shared" si="1967"/>
        <v>480</v>
      </c>
      <c r="H635" s="618">
        <f t="shared" si="1967"/>
        <v>600</v>
      </c>
      <c r="I635" s="618">
        <f t="shared" si="1967"/>
        <v>840</v>
      </c>
      <c r="J635" s="618">
        <f t="shared" si="1967"/>
        <v>600</v>
      </c>
      <c r="K635" s="618">
        <f t="shared" si="1967"/>
        <v>720</v>
      </c>
      <c r="L635" s="618"/>
      <c r="M635" s="618"/>
      <c r="N635" s="618"/>
      <c r="O635" s="618"/>
      <c r="P635" s="618"/>
      <c r="Q635" s="618"/>
      <c r="R635" s="618"/>
      <c r="S635" s="700"/>
      <c r="T635" s="618">
        <f t="shared" ref="T635:AC635" si="1968">IF(T634="","",T631*T634)</f>
        <v>480</v>
      </c>
      <c r="U635" s="618">
        <f t="shared" si="1968"/>
        <v>660</v>
      </c>
      <c r="V635" s="618">
        <f t="shared" si="1968"/>
        <v>720</v>
      </c>
      <c r="W635" s="618">
        <f t="shared" si="1968"/>
        <v>780</v>
      </c>
      <c r="X635" s="618">
        <f t="shared" si="1968"/>
        <v>840</v>
      </c>
      <c r="Y635" s="618">
        <f t="shared" si="1968"/>
        <v>900</v>
      </c>
      <c r="Z635" s="618">
        <f t="shared" si="1968"/>
        <v>1680</v>
      </c>
      <c r="AA635" s="618">
        <f t="shared" si="1968"/>
        <v>960</v>
      </c>
      <c r="AB635" s="618">
        <f t="shared" si="1968"/>
        <v>1140</v>
      </c>
      <c r="AC635" s="618">
        <f t="shared" si="1968"/>
        <v>900</v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69">IF(AL634="","",AL631*AL634)</f>
        <v/>
      </c>
      <c r="AM635" s="618">
        <f t="shared" si="1969"/>
        <v>300</v>
      </c>
      <c r="AN635" s="618">
        <f t="shared" si="1969"/>
        <v>480</v>
      </c>
      <c r="AO635" s="618" t="str">
        <f t="shared" si="1969"/>
        <v/>
      </c>
      <c r="AP635" s="618" t="str">
        <f t="shared" si="1969"/>
        <v/>
      </c>
      <c r="AQ635" s="618">
        <f t="shared" si="1969"/>
        <v>375</v>
      </c>
      <c r="AR635" s="618" t="str">
        <f t="shared" si="1969"/>
        <v/>
      </c>
      <c r="AS635" s="618" t="str">
        <f t="shared" si="1969"/>
        <v/>
      </c>
      <c r="AT635" s="618" t="str">
        <f t="shared" si="1969"/>
        <v/>
      </c>
      <c r="AU635" s="618">
        <f t="shared" si="1969"/>
        <v>960</v>
      </c>
      <c r="AV635" s="618"/>
      <c r="AW635" s="618"/>
      <c r="AX635" s="618"/>
      <c r="AY635" s="618"/>
      <c r="AZ635" s="618"/>
      <c r="BA635" s="618"/>
      <c r="BB635" s="618"/>
      <c r="BC635" s="700"/>
      <c r="BD635" s="618">
        <f t="shared" ref="BD635:BM635" si="1970">IF(BD634="","",BD631*BD634)</f>
        <v>750</v>
      </c>
      <c r="BE635" s="618">
        <f t="shared" si="1970"/>
        <v>300</v>
      </c>
      <c r="BF635" s="618">
        <f t="shared" si="1970"/>
        <v>975</v>
      </c>
      <c r="BG635" s="618">
        <f t="shared" si="1970"/>
        <v>600</v>
      </c>
      <c r="BH635" s="618">
        <f t="shared" si="1970"/>
        <v>600</v>
      </c>
      <c r="BI635" s="618">
        <f t="shared" si="1970"/>
        <v>650</v>
      </c>
      <c r="BJ635" s="618">
        <f t="shared" si="1970"/>
        <v>780</v>
      </c>
      <c r="BK635" s="618">
        <f t="shared" si="1970"/>
        <v>1020</v>
      </c>
      <c r="BL635" s="618">
        <f t="shared" si="1970"/>
        <v>948</v>
      </c>
      <c r="BM635" s="618">
        <f t="shared" si="1970"/>
        <v>456</v>
      </c>
      <c r="BN635" s="618"/>
      <c r="BO635" s="618"/>
      <c r="BP635" s="618"/>
      <c r="BQ635" s="618"/>
      <c r="BR635" s="618"/>
      <c r="BS635" s="618"/>
      <c r="BT635" s="618"/>
      <c r="BU635" s="700"/>
      <c r="BV635" s="618">
        <f>IF(BV634="","",BV631*BV634)</f>
        <v>840</v>
      </c>
      <c r="BW635" s="618">
        <f>IF(BW634="","",BW631*BW634)</f>
        <v>840</v>
      </c>
      <c r="BX635" s="618">
        <f>IF(BX634="","",BX631*BX634)</f>
        <v>840</v>
      </c>
      <c r="BY635" s="618">
        <f>IF(BY634="","",BY631*BY634)</f>
        <v>840</v>
      </c>
      <c r="BZ635" s="873">
        <f>IF(DD635&lt;3,"",(SUM(B635:R635)-MIN(B635:R635)-MAX(B635:R635))/(DD635-2))</f>
        <v>675</v>
      </c>
      <c r="CA635" s="873">
        <f>IF(DE635&lt;3,"",(SUM(T635:AJ635)-MIN(T635:AJ635)-MAX(T635:AJ635))/(DE635-2))</f>
        <v>862.5</v>
      </c>
      <c r="CB635" s="873">
        <f>IF(DF635&lt;3,"",(SUM(AL635:BB635)-MIN(AL635:BB635)-MAX(AL635:BB635))/(DF635-2))</f>
        <v>427.5</v>
      </c>
      <c r="CC635" s="874">
        <f>IF(DG635&lt;3,"",(SUM(BD635:BT635)-MIN(BD635:BT635)-MAX(BD635:BT635))/(DG635-2))</f>
        <v>719.875</v>
      </c>
      <c r="CD635" s="131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7" t="str">
        <f t="shared" ref="CE635:CM635" si="197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7" t="str">
        <f t="shared" si="1971"/>
        <v/>
      </c>
      <c r="CG635" s="1317">
        <f t="shared" si="1971"/>
        <v>300</v>
      </c>
      <c r="CH635" s="1318">
        <f t="shared" si="1971"/>
        <v>375</v>
      </c>
      <c r="CI635" s="1318">
        <f t="shared" si="1971"/>
        <v>480</v>
      </c>
      <c r="CJ635" s="1317">
        <f t="shared" si="1971"/>
        <v>960</v>
      </c>
      <c r="CK635" s="1317" t="str">
        <f t="shared" si="1971"/>
        <v/>
      </c>
      <c r="CL635" s="1317" t="str">
        <f t="shared" si="1971"/>
        <v/>
      </c>
      <c r="CM635" s="1316" t="str">
        <f t="shared" si="1971"/>
        <v/>
      </c>
      <c r="CN635" s="538" t="str">
        <f t="shared" si="1954"/>
        <v/>
      </c>
      <c r="CO635" s="539" t="str">
        <f t="shared" si="1954"/>
        <v/>
      </c>
      <c r="CP635" s="539" t="str">
        <f t="shared" si="1954"/>
        <v/>
      </c>
      <c r="CQ635" s="539">
        <f t="shared" si="1954"/>
        <v>300</v>
      </c>
      <c r="CR635" s="539">
        <f t="shared" si="1954"/>
        <v>456</v>
      </c>
      <c r="CS635" s="539">
        <f t="shared" si="1954"/>
        <v>600</v>
      </c>
      <c r="CT635" s="540">
        <f t="shared" si="1954"/>
        <v>600</v>
      </c>
      <c r="CU635" s="540">
        <f t="shared" si="1954"/>
        <v>650</v>
      </c>
      <c r="CV635" s="540">
        <f t="shared" si="1954"/>
        <v>750</v>
      </c>
      <c r="CW635" s="539">
        <f t="shared" si="1955"/>
        <v>780</v>
      </c>
      <c r="CX635" s="539">
        <f t="shared" si="1955"/>
        <v>948</v>
      </c>
      <c r="CY635" s="539">
        <f t="shared" si="1955"/>
        <v>975</v>
      </c>
      <c r="CZ635" s="539">
        <f t="shared" si="1955"/>
        <v>1020</v>
      </c>
      <c r="DA635" s="539" t="str">
        <f t="shared" si="1955"/>
        <v/>
      </c>
      <c r="DB635" s="538" t="str">
        <f t="shared" si="1955"/>
        <v/>
      </c>
      <c r="DC635" s="537" t="str">
        <f t="shared" si="1955"/>
        <v/>
      </c>
      <c r="DD635" s="641">
        <f>COUNT(B635:R635)</f>
        <v>10</v>
      </c>
      <c r="DE635" s="95">
        <f>COUNT(T635:AJ635)</f>
        <v>10</v>
      </c>
      <c r="DF635" s="95">
        <f>COUNT(AL635:BB635)</f>
        <v>4</v>
      </c>
      <c r="DG635" s="95">
        <f>COUNT(BD635:BT635)</f>
        <v>10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294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72">IF(DD636&lt;3,"",(SUM(B636:R636)-MIN(B636:R636)-MAX(B636:R636))/(DD636-2))</f>
        <v/>
      </c>
      <c r="CA636" s="578" t="str">
        <f t="shared" ref="CA636:CA643" si="1973">IF(DE636&lt;3,"",(SUM(T636:AJ636)-MIN(T636:AJ636)-MAX(T636:AJ636))/(DE636-2))</f>
        <v/>
      </c>
      <c r="CB636" s="578" t="str">
        <f t="shared" ref="CB636:CB643" si="1974">IF(DF636&lt;3,"",(SUM(AL636:BB636)-MIN(AL636:BB636)-MAX(AL636:BB636))/(DF636-2))</f>
        <v/>
      </c>
      <c r="CC636" s="675" t="str">
        <f t="shared" ref="CC636:CC643" si="1975">IF(DG636&lt;3,"",(SUM(BD636:BT636)-MIN(BD636:BT636)-MAX(BD636:BT636))/(DG636-2))</f>
        <v/>
      </c>
      <c r="CD636" s="1322"/>
      <c r="CE636" s="1322"/>
      <c r="CF636" s="1322"/>
      <c r="CG636" s="1322"/>
      <c r="CH636" s="1322"/>
      <c r="CI636" s="1322"/>
      <c r="CJ636" s="1322"/>
      <c r="CK636" s="1322"/>
      <c r="CL636" s="1322"/>
      <c r="CM636" s="1322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293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72"/>
        <v/>
      </c>
      <c r="CA637" s="586" t="str">
        <f t="shared" si="1973"/>
        <v/>
      </c>
      <c r="CB637" s="586" t="str">
        <f t="shared" si="1974"/>
        <v/>
      </c>
      <c r="CC637" s="676" t="str">
        <f t="shared" si="1975"/>
        <v/>
      </c>
      <c r="CD637" s="1316" t="str">
        <f t="shared" ref="CD637:CI639" si="197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7" t="str">
        <f t="shared" si="1976"/>
        <v/>
      </c>
      <c r="CF637" s="1317" t="str">
        <f t="shared" si="1976"/>
        <v/>
      </c>
      <c r="CG637" s="1317" t="str">
        <f t="shared" si="1976"/>
        <v/>
      </c>
      <c r="CH637" s="1318" t="str">
        <f t="shared" si="1976"/>
        <v/>
      </c>
      <c r="CI637" s="1318" t="str">
        <f t="shared" si="1976"/>
        <v/>
      </c>
      <c r="CJ637" s="1317" t="str">
        <f t="shared" ref="CJ637:CM639" si="197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17" t="str">
        <f t="shared" si="1977"/>
        <v/>
      </c>
      <c r="CL637" s="1317" t="str">
        <f t="shared" si="1977"/>
        <v/>
      </c>
      <c r="CM637" s="1316" t="str">
        <f t="shared" si="1977"/>
        <v/>
      </c>
      <c r="CN637" s="538" t="str">
        <f t="shared" ref="CN637:CN642" si="1978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7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8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8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8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8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8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8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8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8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8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8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9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9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9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9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94">COUNT(B637:R637)</f>
        <v>0</v>
      </c>
      <c r="DE637" s="95">
        <f t="shared" ref="DE637:DE642" si="1995">COUNT(T637:AJ637)</f>
        <v>0</v>
      </c>
      <c r="DF637" s="95">
        <f t="shared" ref="DF637:DF642" si="1996">COUNT(AL637:BB637)</f>
        <v>0</v>
      </c>
      <c r="DG637" s="95">
        <f t="shared" ref="DG637:DG642" si="1997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289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72"/>
        <v/>
      </c>
      <c r="CA638" s="586" t="str">
        <f t="shared" si="1973"/>
        <v/>
      </c>
      <c r="CB638" s="586" t="str">
        <f t="shared" si="1974"/>
        <v/>
      </c>
      <c r="CC638" s="676" t="str">
        <f t="shared" si="1975"/>
        <v/>
      </c>
      <c r="CD638" s="1316" t="str">
        <f t="shared" si="1976"/>
        <v/>
      </c>
      <c r="CE638" s="1317" t="str">
        <f t="shared" si="1976"/>
        <v/>
      </c>
      <c r="CF638" s="1317" t="str">
        <f t="shared" si="1976"/>
        <v/>
      </c>
      <c r="CG638" s="1317" t="str">
        <f t="shared" si="1976"/>
        <v/>
      </c>
      <c r="CH638" s="1318" t="str">
        <f t="shared" si="1976"/>
        <v/>
      </c>
      <c r="CI638" s="1318" t="str">
        <f t="shared" si="1976"/>
        <v/>
      </c>
      <c r="CJ638" s="1317" t="str">
        <f t="shared" si="1977"/>
        <v/>
      </c>
      <c r="CK638" s="1317" t="str">
        <f t="shared" si="1977"/>
        <v/>
      </c>
      <c r="CL638" s="1317" t="str">
        <f t="shared" si="1977"/>
        <v/>
      </c>
      <c r="CM638" s="1316" t="str">
        <f t="shared" si="1977"/>
        <v/>
      </c>
      <c r="CN638" s="538" t="str">
        <f t="shared" si="1978"/>
        <v/>
      </c>
      <c r="CO638" s="539" t="str">
        <f t="shared" si="1979"/>
        <v/>
      </c>
      <c r="CP638" s="539" t="str">
        <f t="shared" si="1980"/>
        <v/>
      </c>
      <c r="CQ638" s="539" t="str">
        <f t="shared" si="1981"/>
        <v/>
      </c>
      <c r="CR638" s="539" t="str">
        <f t="shared" si="1982"/>
        <v/>
      </c>
      <c r="CS638" s="539" t="str">
        <f t="shared" si="1983"/>
        <v/>
      </c>
      <c r="CT638" s="540" t="str">
        <f t="shared" si="1984"/>
        <v/>
      </c>
      <c r="CU638" s="540" t="str">
        <f t="shared" si="1985"/>
        <v/>
      </c>
      <c r="CV638" s="540" t="str">
        <f t="shared" si="1986"/>
        <v/>
      </c>
      <c r="CW638" s="539" t="str">
        <f t="shared" si="1987"/>
        <v/>
      </c>
      <c r="CX638" s="539" t="str">
        <f t="shared" si="1988"/>
        <v/>
      </c>
      <c r="CY638" s="539" t="str">
        <f t="shared" si="1989"/>
        <v/>
      </c>
      <c r="CZ638" s="539" t="str">
        <f t="shared" si="1990"/>
        <v/>
      </c>
      <c r="DA638" s="539" t="str">
        <f t="shared" si="1991"/>
        <v/>
      </c>
      <c r="DB638" s="538" t="str">
        <f t="shared" si="1992"/>
        <v/>
      </c>
      <c r="DC638" s="537" t="str">
        <f t="shared" si="1993"/>
        <v/>
      </c>
      <c r="DD638" s="641">
        <f t="shared" si="1994"/>
        <v>0</v>
      </c>
      <c r="DE638" s="95">
        <f t="shared" si="1995"/>
        <v>0</v>
      </c>
      <c r="DF638" s="95">
        <f t="shared" si="1996"/>
        <v>0</v>
      </c>
      <c r="DG638" s="95">
        <f t="shared" si="1997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284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72"/>
        <v/>
      </c>
      <c r="CA639" s="586" t="str">
        <f t="shared" si="1973"/>
        <v/>
      </c>
      <c r="CB639" s="586" t="str">
        <f t="shared" si="1974"/>
        <v/>
      </c>
      <c r="CC639" s="676" t="str">
        <f t="shared" si="1975"/>
        <v/>
      </c>
      <c r="CD639" s="1316" t="str">
        <f t="shared" si="1976"/>
        <v/>
      </c>
      <c r="CE639" s="1317" t="str">
        <f t="shared" si="1976"/>
        <v/>
      </c>
      <c r="CF639" s="1317" t="str">
        <f t="shared" si="1976"/>
        <v/>
      </c>
      <c r="CG639" s="1317" t="str">
        <f t="shared" si="1976"/>
        <v/>
      </c>
      <c r="CH639" s="1318" t="str">
        <f t="shared" si="1976"/>
        <v/>
      </c>
      <c r="CI639" s="1318" t="str">
        <f t="shared" si="1976"/>
        <v/>
      </c>
      <c r="CJ639" s="1317" t="str">
        <f t="shared" si="1977"/>
        <v/>
      </c>
      <c r="CK639" s="1317" t="str">
        <f t="shared" si="1977"/>
        <v/>
      </c>
      <c r="CL639" s="1317" t="str">
        <f t="shared" si="1977"/>
        <v/>
      </c>
      <c r="CM639" s="1316" t="str">
        <f t="shared" si="1977"/>
        <v/>
      </c>
      <c r="CN639" s="538" t="str">
        <f t="shared" si="1978"/>
        <v/>
      </c>
      <c r="CO639" s="539" t="str">
        <f t="shared" si="1979"/>
        <v/>
      </c>
      <c r="CP639" s="539" t="str">
        <f t="shared" si="1980"/>
        <v/>
      </c>
      <c r="CQ639" s="539" t="str">
        <f t="shared" si="1981"/>
        <v/>
      </c>
      <c r="CR639" s="539" t="str">
        <f t="shared" si="1982"/>
        <v/>
      </c>
      <c r="CS639" s="539" t="str">
        <f t="shared" si="1983"/>
        <v/>
      </c>
      <c r="CT639" s="540" t="str">
        <f t="shared" si="1984"/>
        <v/>
      </c>
      <c r="CU639" s="540" t="str">
        <f t="shared" si="1985"/>
        <v/>
      </c>
      <c r="CV639" s="540" t="str">
        <f t="shared" si="1986"/>
        <v/>
      </c>
      <c r="CW639" s="539" t="str">
        <f t="shared" si="1987"/>
        <v/>
      </c>
      <c r="CX639" s="539" t="str">
        <f t="shared" si="1988"/>
        <v/>
      </c>
      <c r="CY639" s="539" t="str">
        <f t="shared" si="1989"/>
        <v/>
      </c>
      <c r="CZ639" s="539" t="str">
        <f t="shared" si="1990"/>
        <v/>
      </c>
      <c r="DA639" s="539" t="str">
        <f t="shared" si="1991"/>
        <v/>
      </c>
      <c r="DB639" s="538" t="str">
        <f t="shared" si="1992"/>
        <v/>
      </c>
      <c r="DC639" s="537" t="str">
        <f t="shared" si="1993"/>
        <v/>
      </c>
      <c r="DD639" s="641">
        <f t="shared" si="1994"/>
        <v>0</v>
      </c>
      <c r="DE639" s="95">
        <f t="shared" si="1995"/>
        <v>0</v>
      </c>
      <c r="DF639" s="95">
        <f t="shared" si="1996"/>
        <v>0</v>
      </c>
      <c r="DG639" s="95">
        <f t="shared" si="1997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227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4.3319476961394772E-2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72"/>
        <v>3.3627751367639208E-2</v>
      </c>
      <c r="CA640" s="611">
        <f t="shared" si="1973"/>
        <v>3.0441860570294431E-2</v>
      </c>
      <c r="CB640" s="611">
        <f t="shared" si="1974"/>
        <v>3.8249729985767658E-2</v>
      </c>
      <c r="CC640" s="611">
        <f t="shared" si="1975"/>
        <v>3.7683240956195116E-2</v>
      </c>
      <c r="CD640" s="1319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320">
        <f t="shared" ref="CE640:CM640" si="199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320">
        <f t="shared" si="1998"/>
        <v>2.651292403486924E-2</v>
      </c>
      <c r="CG640" s="1320">
        <f t="shared" si="1998"/>
        <v>2.651292403486924E-2</v>
      </c>
      <c r="CH640" s="1321">
        <f t="shared" si="1998"/>
        <v>3.7875605764098916E-2</v>
      </c>
      <c r="CI640" s="1321">
        <f t="shared" si="1998"/>
        <v>4.4188206724782061E-2</v>
      </c>
      <c r="CJ640" s="1320">
        <f t="shared" si="1998"/>
        <v>4.4971790161892899E-2</v>
      </c>
      <c r="CK640" s="1320">
        <f t="shared" si="1998"/>
        <v>5.3025848069738479E-2</v>
      </c>
      <c r="CL640" s="1320">
        <f t="shared" si="1998"/>
        <v>5.3025848069738479E-2</v>
      </c>
      <c r="CM640" s="1319">
        <f t="shared" si="1998"/>
        <v>8.3299972602739719E-2</v>
      </c>
      <c r="CN640" s="526" t="str">
        <f t="shared" si="1978"/>
        <v/>
      </c>
      <c r="CO640" s="527" t="str">
        <f t="shared" si="1979"/>
        <v/>
      </c>
      <c r="CP640" s="527" t="str">
        <f t="shared" si="1980"/>
        <v/>
      </c>
      <c r="CQ640" s="527">
        <f t="shared" si="1981"/>
        <v>2.0085548511264574E-2</v>
      </c>
      <c r="CR640" s="527">
        <f t="shared" si="1982"/>
        <v>2.2094103362391031E-2</v>
      </c>
      <c r="CS640" s="527">
        <f t="shared" si="1983"/>
        <v>2.2094103362391031E-2</v>
      </c>
      <c r="CT640" s="528">
        <f t="shared" si="1984"/>
        <v>2.2094103362391031E-2</v>
      </c>
      <c r="CU640" s="528">
        <f t="shared" si="1985"/>
        <v>2.4102658213517487E-2</v>
      </c>
      <c r="CV640" s="528">
        <f t="shared" si="1986"/>
        <v>3.7875605764098916E-2</v>
      </c>
      <c r="CW640" s="527">
        <f t="shared" si="1987"/>
        <v>4.0139802526240886E-2</v>
      </c>
      <c r="CX640" s="527">
        <f t="shared" si="1988"/>
        <v>4.3319476961394772E-2</v>
      </c>
      <c r="CY640" s="527">
        <f t="shared" si="1989"/>
        <v>8.9746074097135753E-2</v>
      </c>
      <c r="CZ640" s="527">
        <f t="shared" si="1990"/>
        <v>0.11413657378580325</v>
      </c>
      <c r="DA640" s="527" t="str">
        <f t="shared" si="1991"/>
        <v/>
      </c>
      <c r="DB640" s="526" t="str">
        <f t="shared" si="1992"/>
        <v/>
      </c>
      <c r="DC640" s="525" t="str">
        <f t="shared" si="1993"/>
        <v/>
      </c>
      <c r="DD640" s="641">
        <f t="shared" si="1994"/>
        <v>10</v>
      </c>
      <c r="DE640" s="95">
        <f t="shared" si="1995"/>
        <v>10</v>
      </c>
      <c r="DF640" s="95">
        <f t="shared" si="1996"/>
        <v>10</v>
      </c>
      <c r="DG640" s="95">
        <f t="shared" si="1997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288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72"/>
        <v/>
      </c>
      <c r="CA641" s="586" t="str">
        <f t="shared" si="1973"/>
        <v/>
      </c>
      <c r="CB641" s="586" t="str">
        <f t="shared" si="1974"/>
        <v/>
      </c>
      <c r="CC641" s="676" t="str">
        <f t="shared" si="1975"/>
        <v/>
      </c>
      <c r="CD641" s="1316" t="str">
        <f t="shared" ref="CD641:CM641" si="199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7" t="str">
        <f t="shared" si="1999"/>
        <v/>
      </c>
      <c r="CF641" s="1317" t="str">
        <f t="shared" si="1999"/>
        <v/>
      </c>
      <c r="CG641" s="1317" t="str">
        <f t="shared" si="1999"/>
        <v/>
      </c>
      <c r="CH641" s="1318" t="str">
        <f t="shared" si="1999"/>
        <v/>
      </c>
      <c r="CI641" s="1318" t="str">
        <f t="shared" si="1999"/>
        <v/>
      </c>
      <c r="CJ641" s="1317" t="str">
        <f t="shared" si="1999"/>
        <v/>
      </c>
      <c r="CK641" s="1317" t="str">
        <f t="shared" si="1999"/>
        <v/>
      </c>
      <c r="CL641" s="1317" t="str">
        <f t="shared" si="1999"/>
        <v/>
      </c>
      <c r="CM641" s="1316" t="str">
        <f t="shared" si="1999"/>
        <v/>
      </c>
      <c r="CN641" s="538" t="str">
        <f t="shared" si="1978"/>
        <v/>
      </c>
      <c r="CO641" s="539" t="str">
        <f t="shared" si="1979"/>
        <v/>
      </c>
      <c r="CP641" s="539" t="str">
        <f t="shared" si="1980"/>
        <v/>
      </c>
      <c r="CQ641" s="539" t="str">
        <f t="shared" si="1981"/>
        <v/>
      </c>
      <c r="CR641" s="539" t="str">
        <f t="shared" si="1982"/>
        <v/>
      </c>
      <c r="CS641" s="539" t="str">
        <f t="shared" si="1983"/>
        <v/>
      </c>
      <c r="CT641" s="540" t="str">
        <f t="shared" si="1984"/>
        <v/>
      </c>
      <c r="CU641" s="540" t="str">
        <f t="shared" si="1985"/>
        <v/>
      </c>
      <c r="CV641" s="540" t="str">
        <f t="shared" si="1986"/>
        <v/>
      </c>
      <c r="CW641" s="539" t="str">
        <f t="shared" si="1987"/>
        <v/>
      </c>
      <c r="CX641" s="539" t="str">
        <f t="shared" si="1988"/>
        <v/>
      </c>
      <c r="CY641" s="539" t="str">
        <f t="shared" si="1989"/>
        <v/>
      </c>
      <c r="CZ641" s="539" t="str">
        <f t="shared" si="1990"/>
        <v/>
      </c>
      <c r="DA641" s="539" t="str">
        <f t="shared" si="1991"/>
        <v/>
      </c>
      <c r="DB641" s="538" t="str">
        <f t="shared" si="1992"/>
        <v/>
      </c>
      <c r="DC641" s="537" t="str">
        <f t="shared" si="1993"/>
        <v/>
      </c>
      <c r="DD641" s="641">
        <f t="shared" si="1994"/>
        <v>0</v>
      </c>
      <c r="DE641" s="95">
        <f t="shared" si="1995"/>
        <v>0</v>
      </c>
      <c r="DF641" s="95">
        <f t="shared" si="1996"/>
        <v>0</v>
      </c>
      <c r="DG641" s="95">
        <f t="shared" si="1997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286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1980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72"/>
        <v>427.20000000000005</v>
      </c>
      <c r="CA642" s="586">
        <f t="shared" si="1973"/>
        <v>2244.6875</v>
      </c>
      <c r="CB642" s="586">
        <f t="shared" si="1974"/>
        <v>2044.375</v>
      </c>
      <c r="CC642" s="676">
        <f t="shared" si="1975"/>
        <v>1383.7125000000001</v>
      </c>
      <c r="CD642" s="131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317">
        <f t="shared" ref="CE642:CM642" si="200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317">
        <f t="shared" si="2000"/>
        <v>1140</v>
      </c>
      <c r="CG642" s="1317">
        <f t="shared" si="2000"/>
        <v>1665</v>
      </c>
      <c r="CH642" s="1318">
        <f t="shared" si="2000"/>
        <v>2100</v>
      </c>
      <c r="CI642" s="1318">
        <f t="shared" si="2000"/>
        <v>2160</v>
      </c>
      <c r="CJ642" s="1317">
        <f t="shared" si="2000"/>
        <v>2220</v>
      </c>
      <c r="CK642" s="1317">
        <f t="shared" si="2000"/>
        <v>2340</v>
      </c>
      <c r="CL642" s="1317">
        <f t="shared" si="2000"/>
        <v>3650</v>
      </c>
      <c r="CM642" s="1316">
        <f t="shared" si="2000"/>
        <v>4080</v>
      </c>
      <c r="CN642" s="538" t="str">
        <f t="shared" si="1978"/>
        <v/>
      </c>
      <c r="CO642" s="539" t="str">
        <f t="shared" si="1979"/>
        <v/>
      </c>
      <c r="CP642" s="539" t="str">
        <f t="shared" si="1980"/>
        <v/>
      </c>
      <c r="CQ642" s="539">
        <f t="shared" si="1981"/>
        <v>1100</v>
      </c>
      <c r="CR642" s="539">
        <f t="shared" si="1982"/>
        <v>1100</v>
      </c>
      <c r="CS642" s="539">
        <f t="shared" si="1983"/>
        <v>1150</v>
      </c>
      <c r="CT642" s="540">
        <f t="shared" si="1984"/>
        <v>1200</v>
      </c>
      <c r="CU642" s="540">
        <f t="shared" si="1985"/>
        <v>1379.7</v>
      </c>
      <c r="CV642" s="540">
        <f t="shared" si="1986"/>
        <v>1380</v>
      </c>
      <c r="CW642" s="539">
        <f t="shared" si="1987"/>
        <v>1500</v>
      </c>
      <c r="CX642" s="539">
        <f t="shared" si="1988"/>
        <v>1500</v>
      </c>
      <c r="CY642" s="539">
        <f t="shared" si="1989"/>
        <v>1860</v>
      </c>
      <c r="CZ642" s="539">
        <f t="shared" si="1990"/>
        <v>1980</v>
      </c>
      <c r="DA642" s="539" t="str">
        <f t="shared" si="1991"/>
        <v/>
      </c>
      <c r="DB642" s="538" t="str">
        <f t="shared" si="1992"/>
        <v/>
      </c>
      <c r="DC642" s="537" t="str">
        <f t="shared" si="1993"/>
        <v/>
      </c>
      <c r="DD642" s="641">
        <f t="shared" si="1994"/>
        <v>10</v>
      </c>
      <c r="DE642" s="95">
        <f t="shared" si="1995"/>
        <v>10</v>
      </c>
      <c r="DF642" s="95">
        <f t="shared" si="1996"/>
        <v>10</v>
      </c>
      <c r="DG642" s="95">
        <f t="shared" si="1997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295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72"/>
        <v/>
      </c>
      <c r="CA643" s="578" t="str">
        <f t="shared" si="1973"/>
        <v/>
      </c>
      <c r="CB643" s="578" t="str">
        <f t="shared" si="1974"/>
        <v/>
      </c>
      <c r="CC643" s="675" t="str">
        <f t="shared" si="1975"/>
        <v/>
      </c>
      <c r="CD643" s="1322"/>
      <c r="CE643" s="1322"/>
      <c r="CF643" s="1322"/>
      <c r="CG643" s="1322"/>
      <c r="CH643" s="1322"/>
      <c r="CI643" s="1322"/>
      <c r="CJ643" s="1322"/>
      <c r="CK643" s="1322"/>
      <c r="CL643" s="1322"/>
      <c r="CM643" s="1322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296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2"/>
      <c r="CE644" s="1322"/>
      <c r="CF644" s="1322"/>
      <c r="CG644" s="1322"/>
      <c r="CH644" s="1322"/>
      <c r="CI644" s="1322"/>
      <c r="CJ644" s="1322"/>
      <c r="CK644" s="1322"/>
      <c r="CL644" s="1322"/>
      <c r="CM644" s="1322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297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16" t="str">
        <f t="shared" ref="CD645:CM645" si="200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7" t="str">
        <f t="shared" si="2001"/>
        <v/>
      </c>
      <c r="CF645" s="1317" t="str">
        <f t="shared" si="2001"/>
        <v/>
      </c>
      <c r="CG645" s="1317" t="str">
        <f t="shared" si="2001"/>
        <v/>
      </c>
      <c r="CH645" s="1318" t="str">
        <f t="shared" si="2001"/>
        <v/>
      </c>
      <c r="CI645" s="1318" t="str">
        <f t="shared" si="2001"/>
        <v/>
      </c>
      <c r="CJ645" s="1317" t="str">
        <f t="shared" si="2001"/>
        <v/>
      </c>
      <c r="CK645" s="1317" t="str">
        <f t="shared" si="2001"/>
        <v/>
      </c>
      <c r="CL645" s="1317" t="str">
        <f t="shared" si="2001"/>
        <v/>
      </c>
      <c r="CM645" s="1316" t="str">
        <f t="shared" si="2001"/>
        <v/>
      </c>
      <c r="CN645" s="538" t="str">
        <f t="shared" ref="CN645:CV649" si="200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2002"/>
        <v/>
      </c>
      <c r="CP645" s="539" t="str">
        <f t="shared" si="2002"/>
        <v/>
      </c>
      <c r="CQ645" s="539" t="str">
        <f t="shared" si="2002"/>
        <v/>
      </c>
      <c r="CR645" s="539" t="str">
        <f t="shared" si="2002"/>
        <v/>
      </c>
      <c r="CS645" s="539" t="str">
        <f t="shared" si="2002"/>
        <v/>
      </c>
      <c r="CT645" s="540" t="str">
        <f t="shared" si="2002"/>
        <v/>
      </c>
      <c r="CU645" s="540" t="str">
        <f t="shared" si="2002"/>
        <v/>
      </c>
      <c r="CV645" s="540" t="str">
        <f t="shared" si="2002"/>
        <v/>
      </c>
      <c r="CW645" s="539" t="str">
        <f t="shared" ref="CW645:DC649" si="2003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2003"/>
        <v/>
      </c>
      <c r="CY645" s="539" t="str">
        <f t="shared" si="2003"/>
        <v/>
      </c>
      <c r="CZ645" s="539" t="str">
        <f t="shared" si="2003"/>
        <v/>
      </c>
      <c r="DA645" s="539" t="str">
        <f t="shared" si="2003"/>
        <v/>
      </c>
      <c r="DB645" s="538" t="str">
        <f t="shared" si="2003"/>
        <v/>
      </c>
      <c r="DC645" s="537" t="str">
        <f t="shared" si="2003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298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1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7" t="str">
        <f t="shared" ref="CE646:CM649" si="200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7" t="str">
        <f t="shared" si="2004"/>
        <v/>
      </c>
      <c r="CG646" s="1317" t="str">
        <f t="shared" si="2004"/>
        <v/>
      </c>
      <c r="CH646" s="1318" t="str">
        <f t="shared" si="2004"/>
        <v/>
      </c>
      <c r="CI646" s="1318" t="str">
        <f t="shared" si="2004"/>
        <v/>
      </c>
      <c r="CJ646" s="1317" t="str">
        <f t="shared" si="2004"/>
        <v/>
      </c>
      <c r="CK646" s="1317" t="str">
        <f t="shared" si="2004"/>
        <v/>
      </c>
      <c r="CL646" s="1317" t="str">
        <f t="shared" si="2004"/>
        <v/>
      </c>
      <c r="CM646" s="1316" t="str">
        <f t="shared" si="2004"/>
        <v/>
      </c>
      <c r="CN646" s="538" t="str">
        <f t="shared" si="2002"/>
        <v/>
      </c>
      <c r="CO646" s="539" t="str">
        <f t="shared" si="2002"/>
        <v/>
      </c>
      <c r="CP646" s="539" t="str">
        <f t="shared" si="2002"/>
        <v/>
      </c>
      <c r="CQ646" s="539" t="str">
        <f t="shared" si="2002"/>
        <v/>
      </c>
      <c r="CR646" s="539" t="str">
        <f t="shared" si="2002"/>
        <v/>
      </c>
      <c r="CS646" s="539" t="str">
        <f t="shared" si="2002"/>
        <v/>
      </c>
      <c r="CT646" s="540" t="str">
        <f t="shared" si="2002"/>
        <v/>
      </c>
      <c r="CU646" s="540" t="str">
        <f t="shared" si="2002"/>
        <v/>
      </c>
      <c r="CV646" s="540" t="str">
        <f t="shared" si="2002"/>
        <v/>
      </c>
      <c r="CW646" s="539" t="str">
        <f t="shared" si="2003"/>
        <v/>
      </c>
      <c r="CX646" s="539" t="str">
        <f t="shared" si="2003"/>
        <v/>
      </c>
      <c r="CY646" s="539" t="str">
        <f t="shared" si="2003"/>
        <v/>
      </c>
      <c r="CZ646" s="539" t="str">
        <f t="shared" si="2003"/>
        <v/>
      </c>
      <c r="DA646" s="539" t="str">
        <f t="shared" si="2003"/>
        <v/>
      </c>
      <c r="DB646" s="538" t="str">
        <f t="shared" si="2003"/>
        <v/>
      </c>
      <c r="DC646" s="537" t="str">
        <f t="shared" si="2003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1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7" t="str">
        <f t="shared" si="2004"/>
        <v/>
      </c>
      <c r="CF647" s="1317" t="str">
        <f t="shared" si="2004"/>
        <v/>
      </c>
      <c r="CG647" s="1317" t="str">
        <f t="shared" si="2004"/>
        <v/>
      </c>
      <c r="CH647" s="1318" t="str">
        <f t="shared" si="2004"/>
        <v/>
      </c>
      <c r="CI647" s="1318" t="str">
        <f t="shared" si="2004"/>
        <v/>
      </c>
      <c r="CJ647" s="1317" t="str">
        <f t="shared" si="2004"/>
        <v/>
      </c>
      <c r="CK647" s="1317" t="str">
        <f t="shared" si="2004"/>
        <v/>
      </c>
      <c r="CL647" s="1317" t="str">
        <f t="shared" si="2004"/>
        <v/>
      </c>
      <c r="CM647" s="1316" t="str">
        <f t="shared" si="2004"/>
        <v/>
      </c>
      <c r="CN647" s="538" t="str">
        <f t="shared" si="2002"/>
        <v/>
      </c>
      <c r="CO647" s="539" t="str">
        <f t="shared" si="2002"/>
        <v/>
      </c>
      <c r="CP647" s="539" t="str">
        <f t="shared" si="2002"/>
        <v/>
      </c>
      <c r="CQ647" s="539" t="str">
        <f t="shared" si="2002"/>
        <v/>
      </c>
      <c r="CR647" s="539" t="str">
        <f t="shared" si="2002"/>
        <v/>
      </c>
      <c r="CS647" s="539" t="str">
        <f t="shared" si="2002"/>
        <v/>
      </c>
      <c r="CT647" s="540" t="str">
        <f t="shared" si="2002"/>
        <v/>
      </c>
      <c r="CU647" s="540" t="str">
        <f t="shared" si="2002"/>
        <v/>
      </c>
      <c r="CV647" s="540" t="str">
        <f t="shared" si="2002"/>
        <v/>
      </c>
      <c r="CW647" s="539" t="str">
        <f t="shared" si="2003"/>
        <v/>
      </c>
      <c r="CX647" s="539" t="str">
        <f t="shared" si="2003"/>
        <v/>
      </c>
      <c r="CY647" s="539" t="str">
        <f t="shared" si="2003"/>
        <v/>
      </c>
      <c r="CZ647" s="539" t="str">
        <f t="shared" si="2003"/>
        <v/>
      </c>
      <c r="DA647" s="539" t="str">
        <f t="shared" si="2003"/>
        <v/>
      </c>
      <c r="DB647" s="538" t="str">
        <f t="shared" si="2003"/>
        <v/>
      </c>
      <c r="DC647" s="537" t="str">
        <f t="shared" si="2003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299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7" t="str">
        <f t="shared" si="2004"/>
        <v/>
      </c>
      <c r="CF648" s="1317" t="str">
        <f t="shared" si="2004"/>
        <v/>
      </c>
      <c r="CG648" s="1317" t="str">
        <f t="shared" si="2004"/>
        <v/>
      </c>
      <c r="CH648" s="1318" t="str">
        <f t="shared" si="2004"/>
        <v/>
      </c>
      <c r="CI648" s="1318" t="str">
        <f t="shared" si="2004"/>
        <v/>
      </c>
      <c r="CJ648" s="1317" t="str">
        <f t="shared" si="2004"/>
        <v/>
      </c>
      <c r="CK648" s="1317" t="str">
        <f t="shared" si="2004"/>
        <v/>
      </c>
      <c r="CL648" s="1317" t="str">
        <f t="shared" si="2004"/>
        <v/>
      </c>
      <c r="CM648" s="1316" t="str">
        <f t="shared" si="2004"/>
        <v/>
      </c>
      <c r="CN648" s="538" t="str">
        <f t="shared" si="2002"/>
        <v/>
      </c>
      <c r="CO648" s="539" t="str">
        <f t="shared" si="2002"/>
        <v/>
      </c>
      <c r="CP648" s="539" t="str">
        <f t="shared" si="2002"/>
        <v/>
      </c>
      <c r="CQ648" s="539" t="str">
        <f t="shared" si="2002"/>
        <v/>
      </c>
      <c r="CR648" s="539" t="str">
        <f t="shared" si="2002"/>
        <v/>
      </c>
      <c r="CS648" s="539" t="str">
        <f t="shared" si="2002"/>
        <v/>
      </c>
      <c r="CT648" s="540" t="str">
        <f t="shared" si="2002"/>
        <v/>
      </c>
      <c r="CU648" s="540" t="str">
        <f t="shared" si="2002"/>
        <v/>
      </c>
      <c r="CV648" s="540" t="str">
        <f t="shared" si="2002"/>
        <v/>
      </c>
      <c r="CW648" s="539" t="str">
        <f t="shared" si="2003"/>
        <v/>
      </c>
      <c r="CX648" s="539" t="str">
        <f t="shared" si="2003"/>
        <v/>
      </c>
      <c r="CY648" s="539" t="str">
        <f t="shared" si="2003"/>
        <v/>
      </c>
      <c r="CZ648" s="539" t="str">
        <f t="shared" si="2003"/>
        <v/>
      </c>
      <c r="DA648" s="539" t="str">
        <f t="shared" si="2003"/>
        <v/>
      </c>
      <c r="DB648" s="538" t="str">
        <f t="shared" si="2003"/>
        <v/>
      </c>
      <c r="DC648" s="537" t="str">
        <f t="shared" si="2003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227</v>
      </c>
      <c r="B649" s="621" t="str">
        <f t="shared" ref="B649:K649" si="2005">IF(B646="","",((B645*B646*B647*B648)*3630*4.1868)/B$46/365/$G$1)</f>
        <v/>
      </c>
      <c r="C649" s="621" t="str">
        <f t="shared" si="2005"/>
        <v/>
      </c>
      <c r="D649" s="621" t="str">
        <f t="shared" si="2005"/>
        <v/>
      </c>
      <c r="E649" s="621" t="str">
        <f t="shared" si="2005"/>
        <v/>
      </c>
      <c r="F649" s="621" t="str">
        <f t="shared" si="2005"/>
        <v/>
      </c>
      <c r="G649" s="621" t="str">
        <f t="shared" si="2005"/>
        <v/>
      </c>
      <c r="H649" s="621" t="str">
        <f t="shared" si="2005"/>
        <v/>
      </c>
      <c r="I649" s="621" t="str">
        <f t="shared" si="2005"/>
        <v/>
      </c>
      <c r="J649" s="621" t="str">
        <f t="shared" si="2005"/>
        <v/>
      </c>
      <c r="K649" s="621" t="str">
        <f t="shared" si="2005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2006">IF(T646="","",((T645*T646*T647*T648)*3630*4.1868)/T$46/365/$G$1)</f>
        <v/>
      </c>
      <c r="U649" s="621">
        <f t="shared" si="2006"/>
        <v>5.4076086105675145E-2</v>
      </c>
      <c r="V649" s="621" t="str">
        <f t="shared" si="2006"/>
        <v/>
      </c>
      <c r="W649" s="621" t="str">
        <f t="shared" si="2006"/>
        <v/>
      </c>
      <c r="X649" s="621" t="str">
        <f t="shared" si="2006"/>
        <v/>
      </c>
      <c r="Y649" s="621" t="str">
        <f t="shared" si="2006"/>
        <v/>
      </c>
      <c r="Z649" s="621" t="str">
        <f t="shared" si="2006"/>
        <v/>
      </c>
      <c r="AA649" s="621">
        <f t="shared" si="2006"/>
        <v>7.5706520547945202E-2</v>
      </c>
      <c r="AB649" s="621">
        <f t="shared" si="2006"/>
        <v>6.3877376712328765E-2</v>
      </c>
      <c r="AC649" s="621" t="str">
        <f t="shared" si="2006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2007">IF(AL646="","",((AL645*AL646*AL647*AL648)*3630*4.1868)/AL$46/365/$G$1)</f>
        <v/>
      </c>
      <c r="AM649" s="621" t="str">
        <f t="shared" si="2007"/>
        <v/>
      </c>
      <c r="AN649" s="621" t="str">
        <f t="shared" si="2007"/>
        <v/>
      </c>
      <c r="AO649" s="621" t="str">
        <f t="shared" si="2007"/>
        <v/>
      </c>
      <c r="AP649" s="621" t="str">
        <f t="shared" si="2007"/>
        <v/>
      </c>
      <c r="AQ649" s="621" t="str">
        <f t="shared" si="2007"/>
        <v/>
      </c>
      <c r="AR649" s="621" t="str">
        <f t="shared" si="2007"/>
        <v/>
      </c>
      <c r="AS649" s="621" t="str">
        <f t="shared" si="2007"/>
        <v/>
      </c>
      <c r="AT649" s="621" t="str">
        <f t="shared" si="2007"/>
        <v/>
      </c>
      <c r="AU649" s="621" t="str">
        <f t="shared" si="2007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2008">IF(BD646="","",((BD645*BD646*BD647*BD648)*3630*4.1868)/BD$46/365/$G$1)</f>
        <v/>
      </c>
      <c r="BE649" s="621" t="str">
        <f t="shared" si="2008"/>
        <v/>
      </c>
      <c r="BF649" s="621" t="str">
        <f t="shared" si="2008"/>
        <v/>
      </c>
      <c r="BG649" s="621" t="str">
        <f t="shared" si="2008"/>
        <v/>
      </c>
      <c r="BH649" s="621" t="str">
        <f t="shared" si="2008"/>
        <v/>
      </c>
      <c r="BI649" s="621" t="str">
        <f t="shared" si="2008"/>
        <v/>
      </c>
      <c r="BJ649" s="621" t="str">
        <f t="shared" si="2008"/>
        <v/>
      </c>
      <c r="BK649" s="621" t="str">
        <f t="shared" si="2008"/>
        <v/>
      </c>
      <c r="BL649" s="621" t="str">
        <f t="shared" si="2008"/>
        <v/>
      </c>
      <c r="BM649" s="621" t="str">
        <f t="shared" si="2008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19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0" t="str">
        <f t="shared" si="2004"/>
        <v/>
      </c>
      <c r="CF649" s="1320" t="str">
        <f t="shared" si="2004"/>
        <v/>
      </c>
      <c r="CG649" s="1320" t="str">
        <f t="shared" si="2004"/>
        <v/>
      </c>
      <c r="CH649" s="1321" t="str">
        <f t="shared" si="2004"/>
        <v/>
      </c>
      <c r="CI649" s="1321" t="str">
        <f t="shared" si="2004"/>
        <v/>
      </c>
      <c r="CJ649" s="1320" t="str">
        <f t="shared" si="2004"/>
        <v/>
      </c>
      <c r="CK649" s="1320" t="str">
        <f t="shared" si="2004"/>
        <v/>
      </c>
      <c r="CL649" s="1320" t="str">
        <f t="shared" si="2004"/>
        <v/>
      </c>
      <c r="CM649" s="1319" t="str">
        <f t="shared" si="2004"/>
        <v/>
      </c>
      <c r="CN649" s="526" t="str">
        <f t="shared" si="2002"/>
        <v/>
      </c>
      <c r="CO649" s="527" t="str">
        <f t="shared" si="2002"/>
        <v/>
      </c>
      <c r="CP649" s="527" t="str">
        <f t="shared" si="2002"/>
        <v/>
      </c>
      <c r="CQ649" s="527" t="str">
        <f t="shared" si="2002"/>
        <v/>
      </c>
      <c r="CR649" s="527" t="str">
        <f t="shared" si="2002"/>
        <v/>
      </c>
      <c r="CS649" s="527" t="str">
        <f t="shared" si="2002"/>
        <v/>
      </c>
      <c r="CT649" s="528" t="str">
        <f t="shared" si="2002"/>
        <v/>
      </c>
      <c r="CU649" s="528" t="str">
        <f t="shared" si="2002"/>
        <v/>
      </c>
      <c r="CV649" s="528" t="str">
        <f t="shared" si="2002"/>
        <v/>
      </c>
      <c r="CW649" s="527" t="str">
        <f t="shared" si="2003"/>
        <v/>
      </c>
      <c r="CX649" s="527" t="str">
        <f t="shared" si="2003"/>
        <v/>
      </c>
      <c r="CY649" s="527" t="str">
        <f t="shared" si="2003"/>
        <v/>
      </c>
      <c r="CZ649" s="527" t="str">
        <f t="shared" si="2003"/>
        <v/>
      </c>
      <c r="DA649" s="527" t="str">
        <f t="shared" si="2003"/>
        <v/>
      </c>
      <c r="DB649" s="526" t="str">
        <f t="shared" si="2003"/>
        <v/>
      </c>
      <c r="DC649" s="525" t="str">
        <f t="shared" si="2003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300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2"/>
      <c r="CE650" s="1322"/>
      <c r="CF650" s="1322"/>
      <c r="CG650" s="1322"/>
      <c r="CH650" s="1322"/>
      <c r="CI650" s="1322"/>
      <c r="CJ650" s="1322"/>
      <c r="CK650" s="1322"/>
      <c r="CL650" s="1322"/>
      <c r="CM650" s="1322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297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16" t="str">
        <f t="shared" ref="CD651:CM651" si="200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7" t="str">
        <f t="shared" si="2009"/>
        <v/>
      </c>
      <c r="CF651" s="1317" t="str">
        <f t="shared" si="2009"/>
        <v/>
      </c>
      <c r="CG651" s="1317" t="str">
        <f t="shared" si="2009"/>
        <v/>
      </c>
      <c r="CH651" s="1318" t="str">
        <f t="shared" si="2009"/>
        <v/>
      </c>
      <c r="CI651" s="1318" t="str">
        <f t="shared" si="2009"/>
        <v/>
      </c>
      <c r="CJ651" s="1317" t="str">
        <f t="shared" si="2009"/>
        <v/>
      </c>
      <c r="CK651" s="1317" t="str">
        <f t="shared" si="2009"/>
        <v/>
      </c>
      <c r="CL651" s="1317" t="str">
        <f t="shared" si="2009"/>
        <v/>
      </c>
      <c r="CM651" s="1316" t="str">
        <f t="shared" si="2009"/>
        <v/>
      </c>
      <c r="CN651" s="538" t="str">
        <f t="shared" ref="CN651:CV655" si="201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2010"/>
        <v/>
      </c>
      <c r="CP651" s="539" t="str">
        <f t="shared" si="2010"/>
        <v/>
      </c>
      <c r="CQ651" s="539" t="str">
        <f t="shared" si="2010"/>
        <v/>
      </c>
      <c r="CR651" s="539" t="str">
        <f t="shared" si="2010"/>
        <v/>
      </c>
      <c r="CS651" s="539" t="str">
        <f t="shared" si="2010"/>
        <v/>
      </c>
      <c r="CT651" s="540" t="str">
        <f t="shared" si="2010"/>
        <v/>
      </c>
      <c r="CU651" s="540" t="str">
        <f t="shared" si="2010"/>
        <v/>
      </c>
      <c r="CV651" s="540" t="str">
        <f t="shared" si="2010"/>
        <v/>
      </c>
      <c r="CW651" s="539" t="str">
        <f t="shared" ref="CW651:DC655" si="2011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2011"/>
        <v/>
      </c>
      <c r="CY651" s="539" t="str">
        <f t="shared" si="2011"/>
        <v/>
      </c>
      <c r="CZ651" s="539" t="str">
        <f t="shared" si="2011"/>
        <v/>
      </c>
      <c r="DA651" s="539" t="str">
        <f t="shared" si="2011"/>
        <v/>
      </c>
      <c r="DB651" s="538" t="str">
        <f t="shared" si="2011"/>
        <v/>
      </c>
      <c r="DC651" s="537" t="str">
        <f t="shared" si="2011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298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1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7" t="str">
        <f t="shared" ref="CE652:CM655" si="201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7" t="str">
        <f t="shared" si="2012"/>
        <v/>
      </c>
      <c r="CG652" s="1317" t="str">
        <f t="shared" si="2012"/>
        <v/>
      </c>
      <c r="CH652" s="1318" t="str">
        <f t="shared" si="2012"/>
        <v/>
      </c>
      <c r="CI652" s="1318" t="str">
        <f t="shared" si="2012"/>
        <v/>
      </c>
      <c r="CJ652" s="1317" t="str">
        <f t="shared" si="2012"/>
        <v/>
      </c>
      <c r="CK652" s="1317" t="str">
        <f t="shared" si="2012"/>
        <v/>
      </c>
      <c r="CL652" s="1317" t="str">
        <f t="shared" si="2012"/>
        <v/>
      </c>
      <c r="CM652" s="1316" t="str">
        <f t="shared" si="2012"/>
        <v/>
      </c>
      <c r="CN652" s="538" t="str">
        <f t="shared" si="2010"/>
        <v/>
      </c>
      <c r="CO652" s="539" t="str">
        <f t="shared" si="2010"/>
        <v/>
      </c>
      <c r="CP652" s="539" t="str">
        <f t="shared" si="2010"/>
        <v/>
      </c>
      <c r="CQ652" s="539" t="str">
        <f t="shared" si="2010"/>
        <v/>
      </c>
      <c r="CR652" s="539" t="str">
        <f t="shared" si="2010"/>
        <v/>
      </c>
      <c r="CS652" s="539" t="str">
        <f t="shared" si="2010"/>
        <v/>
      </c>
      <c r="CT652" s="540" t="str">
        <f t="shared" si="2010"/>
        <v/>
      </c>
      <c r="CU652" s="540" t="str">
        <f t="shared" si="2010"/>
        <v/>
      </c>
      <c r="CV652" s="540" t="str">
        <f t="shared" si="2010"/>
        <v/>
      </c>
      <c r="CW652" s="539" t="str">
        <f t="shared" si="2011"/>
        <v/>
      </c>
      <c r="CX652" s="539" t="str">
        <f t="shared" si="2011"/>
        <v/>
      </c>
      <c r="CY652" s="539" t="str">
        <f t="shared" si="2011"/>
        <v/>
      </c>
      <c r="CZ652" s="539" t="str">
        <f t="shared" si="2011"/>
        <v/>
      </c>
      <c r="DA652" s="539" t="str">
        <f t="shared" si="2011"/>
        <v/>
      </c>
      <c r="DB652" s="538" t="str">
        <f t="shared" si="2011"/>
        <v/>
      </c>
      <c r="DC652" s="537" t="str">
        <f t="shared" si="2011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1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7" t="str">
        <f t="shared" si="2012"/>
        <v/>
      </c>
      <c r="CF653" s="1317" t="str">
        <f t="shared" si="2012"/>
        <v/>
      </c>
      <c r="CG653" s="1317" t="str">
        <f t="shared" si="2012"/>
        <v/>
      </c>
      <c r="CH653" s="1318" t="str">
        <f t="shared" si="2012"/>
        <v/>
      </c>
      <c r="CI653" s="1318" t="str">
        <f t="shared" si="2012"/>
        <v/>
      </c>
      <c r="CJ653" s="1317" t="str">
        <f t="shared" si="2012"/>
        <v/>
      </c>
      <c r="CK653" s="1317" t="str">
        <f t="shared" si="2012"/>
        <v/>
      </c>
      <c r="CL653" s="1317" t="str">
        <f t="shared" si="2012"/>
        <v/>
      </c>
      <c r="CM653" s="1316" t="str">
        <f t="shared" si="2012"/>
        <v/>
      </c>
      <c r="CN653" s="538" t="str">
        <f t="shared" si="2010"/>
        <v/>
      </c>
      <c r="CO653" s="539" t="str">
        <f t="shared" si="2010"/>
        <v/>
      </c>
      <c r="CP653" s="539" t="str">
        <f t="shared" si="2010"/>
        <v/>
      </c>
      <c r="CQ653" s="539" t="str">
        <f t="shared" si="2010"/>
        <v/>
      </c>
      <c r="CR653" s="539" t="str">
        <f t="shared" si="2010"/>
        <v/>
      </c>
      <c r="CS653" s="539" t="str">
        <f t="shared" si="2010"/>
        <v/>
      </c>
      <c r="CT653" s="540" t="str">
        <f t="shared" si="2010"/>
        <v/>
      </c>
      <c r="CU653" s="540" t="str">
        <f t="shared" si="2010"/>
        <v/>
      </c>
      <c r="CV653" s="540" t="str">
        <f t="shared" si="2010"/>
        <v/>
      </c>
      <c r="CW653" s="539" t="str">
        <f t="shared" si="2011"/>
        <v/>
      </c>
      <c r="CX653" s="539" t="str">
        <f t="shared" si="2011"/>
        <v/>
      </c>
      <c r="CY653" s="539" t="str">
        <f t="shared" si="2011"/>
        <v/>
      </c>
      <c r="CZ653" s="539" t="str">
        <f t="shared" si="2011"/>
        <v/>
      </c>
      <c r="DA653" s="539" t="str">
        <f t="shared" si="2011"/>
        <v/>
      </c>
      <c r="DB653" s="538" t="str">
        <f t="shared" si="2011"/>
        <v/>
      </c>
      <c r="DC653" s="537" t="str">
        <f t="shared" si="2011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299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7" t="str">
        <f t="shared" si="2012"/>
        <v/>
      </c>
      <c r="CF654" s="1317" t="str">
        <f t="shared" si="2012"/>
        <v/>
      </c>
      <c r="CG654" s="1317" t="str">
        <f t="shared" si="2012"/>
        <v/>
      </c>
      <c r="CH654" s="1318" t="str">
        <f t="shared" si="2012"/>
        <v/>
      </c>
      <c r="CI654" s="1318" t="str">
        <f t="shared" si="2012"/>
        <v/>
      </c>
      <c r="CJ654" s="1317" t="str">
        <f t="shared" si="2012"/>
        <v/>
      </c>
      <c r="CK654" s="1317" t="str">
        <f t="shared" si="2012"/>
        <v/>
      </c>
      <c r="CL654" s="1317" t="str">
        <f t="shared" si="2012"/>
        <v/>
      </c>
      <c r="CM654" s="1316" t="str">
        <f t="shared" si="2012"/>
        <v/>
      </c>
      <c r="CN654" s="538" t="str">
        <f t="shared" si="2010"/>
        <v/>
      </c>
      <c r="CO654" s="539" t="str">
        <f t="shared" si="2010"/>
        <v/>
      </c>
      <c r="CP654" s="539" t="str">
        <f t="shared" si="2010"/>
        <v/>
      </c>
      <c r="CQ654" s="539" t="str">
        <f t="shared" si="2010"/>
        <v/>
      </c>
      <c r="CR654" s="539" t="str">
        <f t="shared" si="2010"/>
        <v/>
      </c>
      <c r="CS654" s="539" t="str">
        <f t="shared" si="2010"/>
        <v/>
      </c>
      <c r="CT654" s="540" t="str">
        <f t="shared" si="2010"/>
        <v/>
      </c>
      <c r="CU654" s="540" t="str">
        <f t="shared" si="2010"/>
        <v/>
      </c>
      <c r="CV654" s="540" t="str">
        <f t="shared" si="2010"/>
        <v/>
      </c>
      <c r="CW654" s="539" t="str">
        <f t="shared" si="2011"/>
        <v/>
      </c>
      <c r="CX654" s="539" t="str">
        <f t="shared" si="2011"/>
        <v/>
      </c>
      <c r="CY654" s="539" t="str">
        <f t="shared" si="2011"/>
        <v/>
      </c>
      <c r="CZ654" s="539" t="str">
        <f t="shared" si="2011"/>
        <v/>
      </c>
      <c r="DA654" s="539" t="str">
        <f t="shared" si="2011"/>
        <v/>
      </c>
      <c r="DB654" s="538" t="str">
        <f t="shared" si="2011"/>
        <v/>
      </c>
      <c r="DC654" s="537" t="str">
        <f t="shared" si="2011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227</v>
      </c>
      <c r="B655" s="621" t="str">
        <f t="shared" ref="B655:K655" si="2013">IF(B652="","",((B651*B652*B653*B654)*3630*4.1868)/B$46/365/$G$1)</f>
        <v/>
      </c>
      <c r="C655" s="621" t="str">
        <f t="shared" si="2013"/>
        <v/>
      </c>
      <c r="D655" s="621" t="str">
        <f t="shared" si="2013"/>
        <v/>
      </c>
      <c r="E655" s="621" t="str">
        <f t="shared" si="2013"/>
        <v/>
      </c>
      <c r="F655" s="621" t="str">
        <f t="shared" si="2013"/>
        <v/>
      </c>
      <c r="G655" s="621" t="str">
        <f t="shared" si="2013"/>
        <v/>
      </c>
      <c r="H655" s="621" t="str">
        <f t="shared" si="2013"/>
        <v/>
      </c>
      <c r="I655" s="621" t="str">
        <f t="shared" si="2013"/>
        <v/>
      </c>
      <c r="J655" s="621" t="str">
        <f t="shared" si="2013"/>
        <v/>
      </c>
      <c r="K655" s="621" t="str">
        <f t="shared" si="2013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2014">IF(T652="","",((T651*T652*T653*T654)*3630*4.1868)/T$46/365/$G$1)</f>
        <v/>
      </c>
      <c r="U655" s="621">
        <f t="shared" si="2014"/>
        <v>4.3260868884540116E-2</v>
      </c>
      <c r="V655" s="621" t="str">
        <f t="shared" si="2014"/>
        <v/>
      </c>
      <c r="W655" s="621" t="str">
        <f t="shared" si="2014"/>
        <v/>
      </c>
      <c r="X655" s="621">
        <f t="shared" si="2014"/>
        <v>3.7853260273972601E-2</v>
      </c>
      <c r="Y655" s="621" t="str">
        <f t="shared" si="2014"/>
        <v/>
      </c>
      <c r="Z655" s="621" t="str">
        <f t="shared" si="2014"/>
        <v/>
      </c>
      <c r="AA655" s="621">
        <f t="shared" si="2014"/>
        <v>3.7853260273972601E-2</v>
      </c>
      <c r="AB655" s="621">
        <f t="shared" si="2014"/>
        <v>1.8926630136986301E-2</v>
      </c>
      <c r="AC655" s="621">
        <f t="shared" si="2014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2015">IF(AL652="","",((AL651*AL652*AL653*AL654)*3630*4.1868)/AL$46/365/$G$1)</f>
        <v/>
      </c>
      <c r="AM655" s="621" t="str">
        <f t="shared" si="2015"/>
        <v/>
      </c>
      <c r="AN655" s="621" t="str">
        <f t="shared" si="2015"/>
        <v/>
      </c>
      <c r="AO655" s="621" t="str">
        <f t="shared" si="2015"/>
        <v/>
      </c>
      <c r="AP655" s="621" t="str">
        <f t="shared" si="2015"/>
        <v/>
      </c>
      <c r="AQ655" s="621" t="str">
        <f t="shared" si="2015"/>
        <v/>
      </c>
      <c r="AR655" s="621" t="str">
        <f t="shared" si="2015"/>
        <v/>
      </c>
      <c r="AS655" s="621" t="str">
        <f t="shared" si="2015"/>
        <v/>
      </c>
      <c r="AT655" s="621" t="str">
        <f t="shared" si="2015"/>
        <v/>
      </c>
      <c r="AU655" s="621" t="str">
        <f t="shared" si="2015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2016">IF(BD652="","",((BD651*BD652*BD653*BD654)*3630*4.1868)/BD$46/365/$G$1)</f>
        <v/>
      </c>
      <c r="BE655" s="621" t="str">
        <f t="shared" si="2016"/>
        <v/>
      </c>
      <c r="BF655" s="621" t="str">
        <f t="shared" si="2016"/>
        <v/>
      </c>
      <c r="BG655" s="621" t="str">
        <f t="shared" si="2016"/>
        <v/>
      </c>
      <c r="BH655" s="621" t="str">
        <f t="shared" si="2016"/>
        <v/>
      </c>
      <c r="BI655" s="621" t="str">
        <f t="shared" si="2016"/>
        <v/>
      </c>
      <c r="BJ655" s="621" t="str">
        <f t="shared" si="2016"/>
        <v/>
      </c>
      <c r="BK655" s="621" t="str">
        <f t="shared" si="2016"/>
        <v/>
      </c>
      <c r="BL655" s="621" t="str">
        <f t="shared" si="2016"/>
        <v/>
      </c>
      <c r="BM655" s="621" t="str">
        <f t="shared" si="2016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19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0" t="str">
        <f t="shared" si="2012"/>
        <v/>
      </c>
      <c r="CF655" s="1320" t="str">
        <f t="shared" si="2012"/>
        <v/>
      </c>
      <c r="CG655" s="1320" t="str">
        <f t="shared" si="2012"/>
        <v/>
      </c>
      <c r="CH655" s="1321" t="str">
        <f t="shared" si="2012"/>
        <v/>
      </c>
      <c r="CI655" s="1321" t="str">
        <f t="shared" si="2012"/>
        <v/>
      </c>
      <c r="CJ655" s="1320" t="str">
        <f t="shared" si="2012"/>
        <v/>
      </c>
      <c r="CK655" s="1320" t="str">
        <f t="shared" si="2012"/>
        <v/>
      </c>
      <c r="CL655" s="1320" t="str">
        <f t="shared" si="2012"/>
        <v/>
      </c>
      <c r="CM655" s="1319" t="str">
        <f t="shared" si="2012"/>
        <v/>
      </c>
      <c r="CN655" s="526" t="str">
        <f t="shared" si="2010"/>
        <v/>
      </c>
      <c r="CO655" s="527" t="str">
        <f t="shared" si="2010"/>
        <v/>
      </c>
      <c r="CP655" s="527" t="str">
        <f t="shared" si="2010"/>
        <v/>
      </c>
      <c r="CQ655" s="527" t="str">
        <f t="shared" si="2010"/>
        <v/>
      </c>
      <c r="CR655" s="527" t="str">
        <f t="shared" si="2010"/>
        <v/>
      </c>
      <c r="CS655" s="527" t="str">
        <f t="shared" si="2010"/>
        <v/>
      </c>
      <c r="CT655" s="528" t="str">
        <f t="shared" si="2010"/>
        <v/>
      </c>
      <c r="CU655" s="528" t="str">
        <f t="shared" si="2010"/>
        <v/>
      </c>
      <c r="CV655" s="528" t="str">
        <f t="shared" si="2010"/>
        <v/>
      </c>
      <c r="CW655" s="527" t="str">
        <f t="shared" si="2011"/>
        <v/>
      </c>
      <c r="CX655" s="527" t="str">
        <f t="shared" si="2011"/>
        <v/>
      </c>
      <c r="CY655" s="527" t="str">
        <f t="shared" si="2011"/>
        <v/>
      </c>
      <c r="CZ655" s="527" t="str">
        <f t="shared" si="2011"/>
        <v/>
      </c>
      <c r="DA655" s="527" t="str">
        <f t="shared" si="2011"/>
        <v/>
      </c>
      <c r="DB655" s="526" t="str">
        <f t="shared" si="2011"/>
        <v/>
      </c>
      <c r="DC655" s="525" t="str">
        <f t="shared" si="2011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301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2"/>
      <c r="CE656" s="1322"/>
      <c r="CF656" s="1322"/>
      <c r="CG656" s="1322"/>
      <c r="CH656" s="1322"/>
      <c r="CI656" s="1322"/>
      <c r="CJ656" s="1322"/>
      <c r="CK656" s="1322"/>
      <c r="CL656" s="1322"/>
      <c r="CM656" s="1322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297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2017">IF(DD657&lt;3,"",(SUM(B657:R657)-MIN(B657:R657)-MAX(B657:R657))/(DD657-2))</f>
        <v/>
      </c>
      <c r="CA657" s="586" t="str">
        <f t="shared" ref="CA657:CA664" si="2018">IF(DE657&lt;3,"",(SUM(T657:AJ657)-MIN(T657:AJ657)-MAX(T657:AJ657))/(DE657-2))</f>
        <v/>
      </c>
      <c r="CB657" s="586" t="str">
        <f t="shared" ref="CB657:CB664" si="2019">IF(DF657&lt;3,"",(SUM(AL657:BB657)-MIN(AL657:BB657)-MAX(AL657:BB657))/(DF657-2))</f>
        <v/>
      </c>
      <c r="CC657" s="676" t="str">
        <f t="shared" ref="CC657:CC664" si="2020">IF(DG657&lt;3,"",(SUM(BD657:BT657)-MIN(BD657:BT657)-MAX(BD657:BT657))/(DG657-2))</f>
        <v/>
      </c>
      <c r="CD657" s="1316" t="str">
        <f t="shared" ref="CD657:CM657" si="202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7" t="str">
        <f t="shared" si="2021"/>
        <v/>
      </c>
      <c r="CF657" s="1317" t="str">
        <f t="shared" si="2021"/>
        <v/>
      </c>
      <c r="CG657" s="1317" t="str">
        <f t="shared" si="2021"/>
        <v/>
      </c>
      <c r="CH657" s="1318" t="str">
        <f t="shared" si="2021"/>
        <v/>
      </c>
      <c r="CI657" s="1318" t="str">
        <f t="shared" si="2021"/>
        <v/>
      </c>
      <c r="CJ657" s="1317" t="str">
        <f t="shared" si="2021"/>
        <v/>
      </c>
      <c r="CK657" s="1317" t="str">
        <f t="shared" si="2021"/>
        <v/>
      </c>
      <c r="CL657" s="1317" t="str">
        <f t="shared" si="2021"/>
        <v/>
      </c>
      <c r="CM657" s="1316" t="str">
        <f t="shared" si="2021"/>
        <v/>
      </c>
      <c r="CN657" s="538" t="str">
        <f t="shared" ref="CN657:CN664" si="202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202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202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202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202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202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202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202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3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3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3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3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3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3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3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3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38">COUNT(B657:R657)</f>
        <v>0</v>
      </c>
      <c r="DE657" s="95">
        <f t="shared" ref="DE657:DE664" si="2039">COUNT(T657:AJ657)</f>
        <v>2</v>
      </c>
      <c r="DF657" s="95">
        <f t="shared" ref="DF657:DF664" si="2040">COUNT(AL657:BB657)</f>
        <v>0</v>
      </c>
      <c r="DG657" s="95">
        <f t="shared" ref="DG657:DG664" si="2041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298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2017"/>
        <v/>
      </c>
      <c r="CA658" s="586" t="str">
        <f t="shared" si="2018"/>
        <v/>
      </c>
      <c r="CB658" s="586" t="str">
        <f t="shared" si="2019"/>
        <v/>
      </c>
      <c r="CC658" s="676" t="str">
        <f t="shared" si="2020"/>
        <v/>
      </c>
      <c r="CD658" s="131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7" t="str">
        <f t="shared" ref="CE658:CM661" si="204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7" t="str">
        <f t="shared" si="2042"/>
        <v/>
      </c>
      <c r="CG658" s="1317" t="str">
        <f t="shared" si="2042"/>
        <v/>
      </c>
      <c r="CH658" s="1318" t="str">
        <f t="shared" si="2042"/>
        <v/>
      </c>
      <c r="CI658" s="1318" t="str">
        <f t="shared" si="2042"/>
        <v/>
      </c>
      <c r="CJ658" s="1317" t="str">
        <f t="shared" si="2042"/>
        <v/>
      </c>
      <c r="CK658" s="1317" t="str">
        <f t="shared" si="2042"/>
        <v/>
      </c>
      <c r="CL658" s="1317" t="str">
        <f t="shared" si="2042"/>
        <v/>
      </c>
      <c r="CM658" s="1316" t="str">
        <f t="shared" si="2042"/>
        <v/>
      </c>
      <c r="CN658" s="538" t="str">
        <f t="shared" si="2022"/>
        <v/>
      </c>
      <c r="CO658" s="539" t="str">
        <f t="shared" si="2023"/>
        <v/>
      </c>
      <c r="CP658" s="539" t="str">
        <f t="shared" si="2024"/>
        <v/>
      </c>
      <c r="CQ658" s="539" t="str">
        <f t="shared" si="2025"/>
        <v/>
      </c>
      <c r="CR658" s="539" t="str">
        <f t="shared" si="2026"/>
        <v/>
      </c>
      <c r="CS658" s="539" t="str">
        <f t="shared" si="2027"/>
        <v/>
      </c>
      <c r="CT658" s="540" t="str">
        <f t="shared" si="2028"/>
        <v/>
      </c>
      <c r="CU658" s="540" t="str">
        <f t="shared" si="2029"/>
        <v/>
      </c>
      <c r="CV658" s="540" t="str">
        <f t="shared" si="2030"/>
        <v/>
      </c>
      <c r="CW658" s="539" t="str">
        <f t="shared" si="2031"/>
        <v/>
      </c>
      <c r="CX658" s="539" t="str">
        <f t="shared" si="2032"/>
        <v/>
      </c>
      <c r="CY658" s="539" t="str">
        <f t="shared" si="2033"/>
        <v/>
      </c>
      <c r="CZ658" s="539" t="str">
        <f t="shared" si="2034"/>
        <v/>
      </c>
      <c r="DA658" s="539" t="str">
        <f t="shared" si="2035"/>
        <v/>
      </c>
      <c r="DB658" s="538" t="str">
        <f t="shared" si="2036"/>
        <v/>
      </c>
      <c r="DC658" s="537" t="str">
        <f t="shared" si="2037"/>
        <v/>
      </c>
      <c r="DD658" s="641">
        <f t="shared" si="2038"/>
        <v>0</v>
      </c>
      <c r="DE658" s="95">
        <f t="shared" si="2039"/>
        <v>2</v>
      </c>
      <c r="DF658" s="95">
        <f t="shared" si="2040"/>
        <v>0</v>
      </c>
      <c r="DG658" s="95">
        <f t="shared" si="2041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2017"/>
        <v/>
      </c>
      <c r="CA659" s="586" t="str">
        <f t="shared" si="2018"/>
        <v/>
      </c>
      <c r="CB659" s="586" t="str">
        <f t="shared" si="2019"/>
        <v/>
      </c>
      <c r="CC659" s="676" t="str">
        <f t="shared" si="2020"/>
        <v/>
      </c>
      <c r="CD659" s="131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7" t="str">
        <f t="shared" si="2042"/>
        <v/>
      </c>
      <c r="CF659" s="1317" t="str">
        <f t="shared" si="2042"/>
        <v/>
      </c>
      <c r="CG659" s="1317" t="str">
        <f t="shared" si="2042"/>
        <v/>
      </c>
      <c r="CH659" s="1318" t="str">
        <f t="shared" si="2042"/>
        <v/>
      </c>
      <c r="CI659" s="1318" t="str">
        <f t="shared" si="2042"/>
        <v/>
      </c>
      <c r="CJ659" s="1317" t="str">
        <f t="shared" si="2042"/>
        <v/>
      </c>
      <c r="CK659" s="1317" t="str">
        <f t="shared" si="2042"/>
        <v/>
      </c>
      <c r="CL659" s="1317" t="str">
        <f t="shared" si="2042"/>
        <v/>
      </c>
      <c r="CM659" s="1316" t="str">
        <f t="shared" si="2042"/>
        <v/>
      </c>
      <c r="CN659" s="538" t="str">
        <f t="shared" si="2022"/>
        <v/>
      </c>
      <c r="CO659" s="539" t="str">
        <f t="shared" si="2023"/>
        <v/>
      </c>
      <c r="CP659" s="539" t="str">
        <f t="shared" si="2024"/>
        <v/>
      </c>
      <c r="CQ659" s="539" t="str">
        <f t="shared" si="2025"/>
        <v/>
      </c>
      <c r="CR659" s="539" t="str">
        <f t="shared" si="2026"/>
        <v/>
      </c>
      <c r="CS659" s="539" t="str">
        <f t="shared" si="2027"/>
        <v/>
      </c>
      <c r="CT659" s="540" t="str">
        <f t="shared" si="2028"/>
        <v/>
      </c>
      <c r="CU659" s="540" t="str">
        <f t="shared" si="2029"/>
        <v/>
      </c>
      <c r="CV659" s="540" t="str">
        <f t="shared" si="2030"/>
        <v/>
      </c>
      <c r="CW659" s="539" t="str">
        <f t="shared" si="2031"/>
        <v/>
      </c>
      <c r="CX659" s="539" t="str">
        <f t="shared" si="2032"/>
        <v/>
      </c>
      <c r="CY659" s="539" t="str">
        <f t="shared" si="2033"/>
        <v/>
      </c>
      <c r="CZ659" s="539" t="str">
        <f t="shared" si="2034"/>
        <v/>
      </c>
      <c r="DA659" s="539" t="str">
        <f t="shared" si="2035"/>
        <v/>
      </c>
      <c r="DB659" s="538" t="str">
        <f t="shared" si="2036"/>
        <v/>
      </c>
      <c r="DC659" s="537" t="str">
        <f t="shared" si="2037"/>
        <v/>
      </c>
      <c r="DD659" s="641">
        <f t="shared" si="2038"/>
        <v>0</v>
      </c>
      <c r="DE659" s="95">
        <f t="shared" si="2039"/>
        <v>2</v>
      </c>
      <c r="DF659" s="95">
        <f t="shared" si="2040"/>
        <v>0</v>
      </c>
      <c r="DG659" s="95">
        <f t="shared" si="2041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299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2017"/>
        <v/>
      </c>
      <c r="CA660" s="586" t="str">
        <f t="shared" si="2018"/>
        <v/>
      </c>
      <c r="CB660" s="586" t="str">
        <f t="shared" si="2019"/>
        <v/>
      </c>
      <c r="CC660" s="676" t="str">
        <f t="shared" si="2020"/>
        <v/>
      </c>
      <c r="CD660" s="13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7" t="str">
        <f t="shared" si="2042"/>
        <v/>
      </c>
      <c r="CF660" s="1317" t="str">
        <f t="shared" si="2042"/>
        <v/>
      </c>
      <c r="CG660" s="1317" t="str">
        <f t="shared" si="2042"/>
        <v/>
      </c>
      <c r="CH660" s="1318" t="str">
        <f t="shared" si="2042"/>
        <v/>
      </c>
      <c r="CI660" s="1318" t="str">
        <f t="shared" si="2042"/>
        <v/>
      </c>
      <c r="CJ660" s="1317" t="str">
        <f t="shared" si="2042"/>
        <v/>
      </c>
      <c r="CK660" s="1317" t="str">
        <f t="shared" si="2042"/>
        <v/>
      </c>
      <c r="CL660" s="1317" t="str">
        <f t="shared" si="2042"/>
        <v/>
      </c>
      <c r="CM660" s="1316" t="str">
        <f t="shared" si="2042"/>
        <v/>
      </c>
      <c r="CN660" s="538" t="str">
        <f t="shared" si="2022"/>
        <v/>
      </c>
      <c r="CO660" s="539" t="str">
        <f t="shared" si="2023"/>
        <v/>
      </c>
      <c r="CP660" s="539" t="str">
        <f t="shared" si="2024"/>
        <v/>
      </c>
      <c r="CQ660" s="539" t="str">
        <f t="shared" si="2025"/>
        <v/>
      </c>
      <c r="CR660" s="539" t="str">
        <f t="shared" si="2026"/>
        <v/>
      </c>
      <c r="CS660" s="539" t="str">
        <f t="shared" si="2027"/>
        <v/>
      </c>
      <c r="CT660" s="540" t="str">
        <f t="shared" si="2028"/>
        <v/>
      </c>
      <c r="CU660" s="540" t="str">
        <f t="shared" si="2029"/>
        <v/>
      </c>
      <c r="CV660" s="540" t="str">
        <f t="shared" si="2030"/>
        <v/>
      </c>
      <c r="CW660" s="539" t="str">
        <f t="shared" si="2031"/>
        <v/>
      </c>
      <c r="CX660" s="539" t="str">
        <f t="shared" si="2032"/>
        <v/>
      </c>
      <c r="CY660" s="539" t="str">
        <f t="shared" si="2033"/>
        <v/>
      </c>
      <c r="CZ660" s="539" t="str">
        <f t="shared" si="2034"/>
        <v/>
      </c>
      <c r="DA660" s="539" t="str">
        <f t="shared" si="2035"/>
        <v/>
      </c>
      <c r="DB660" s="538" t="str">
        <f t="shared" si="2036"/>
        <v/>
      </c>
      <c r="DC660" s="537" t="str">
        <f t="shared" si="2037"/>
        <v/>
      </c>
      <c r="DD660" s="641">
        <f t="shared" si="2038"/>
        <v>0</v>
      </c>
      <c r="DE660" s="95">
        <f t="shared" si="2039"/>
        <v>2</v>
      </c>
      <c r="DF660" s="95">
        <f t="shared" si="2040"/>
        <v>0</v>
      </c>
      <c r="DG660" s="95">
        <f t="shared" si="2041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227</v>
      </c>
      <c r="B661" s="621" t="str">
        <f t="shared" ref="B661:K661" si="2043">IF(B658="","",((B657*B658*B659*B660)*3630*4.1868)/B$46/365/$G$1)</f>
        <v/>
      </c>
      <c r="C661" s="621" t="str">
        <f t="shared" si="2043"/>
        <v/>
      </c>
      <c r="D661" s="621" t="str">
        <f t="shared" si="2043"/>
        <v/>
      </c>
      <c r="E661" s="621" t="str">
        <f t="shared" si="2043"/>
        <v/>
      </c>
      <c r="F661" s="621" t="str">
        <f t="shared" si="2043"/>
        <v/>
      </c>
      <c r="G661" s="621" t="str">
        <f t="shared" si="2043"/>
        <v/>
      </c>
      <c r="H661" s="621" t="str">
        <f t="shared" si="2043"/>
        <v/>
      </c>
      <c r="I661" s="621" t="str">
        <f t="shared" si="2043"/>
        <v/>
      </c>
      <c r="J661" s="621" t="str">
        <f t="shared" si="2043"/>
        <v/>
      </c>
      <c r="K661" s="621" t="str">
        <f t="shared" si="2043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44">IF(T658="","",((T657*T658*T659*T660)*3630*4.1868)/T$46/365/$G$1)</f>
        <v/>
      </c>
      <c r="U661" s="621" t="str">
        <f t="shared" si="2044"/>
        <v/>
      </c>
      <c r="V661" s="621" t="str">
        <f t="shared" si="2044"/>
        <v/>
      </c>
      <c r="W661" s="621" t="str">
        <f t="shared" si="2044"/>
        <v/>
      </c>
      <c r="X661" s="621" t="str">
        <f t="shared" si="2044"/>
        <v/>
      </c>
      <c r="Y661" s="621" t="str">
        <f t="shared" si="2044"/>
        <v/>
      </c>
      <c r="Z661" s="621" t="str">
        <f t="shared" si="2044"/>
        <v/>
      </c>
      <c r="AA661" s="621" t="str">
        <f t="shared" si="2044"/>
        <v/>
      </c>
      <c r="AB661" s="621">
        <f t="shared" si="2044"/>
        <v>1.8926630136986301E-2</v>
      </c>
      <c r="AC661" s="621">
        <f t="shared" si="2044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45">IF(AL658="","",((AL657*AL658*AL659*AL660)*3630*4.1868)/AL$46/365/$G$1)</f>
        <v/>
      </c>
      <c r="AM661" s="621" t="str">
        <f t="shared" si="2045"/>
        <v/>
      </c>
      <c r="AN661" s="621" t="str">
        <f t="shared" si="2045"/>
        <v/>
      </c>
      <c r="AO661" s="621" t="str">
        <f t="shared" si="2045"/>
        <v/>
      </c>
      <c r="AP661" s="621" t="str">
        <f t="shared" si="2045"/>
        <v/>
      </c>
      <c r="AQ661" s="621" t="str">
        <f t="shared" si="2045"/>
        <v/>
      </c>
      <c r="AR661" s="621" t="str">
        <f t="shared" si="2045"/>
        <v/>
      </c>
      <c r="AS661" s="621" t="str">
        <f t="shared" si="2045"/>
        <v/>
      </c>
      <c r="AT661" s="621" t="str">
        <f t="shared" si="2045"/>
        <v/>
      </c>
      <c r="AU661" s="621" t="str">
        <f t="shared" si="2045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46">IF(BD658="","",((BD657*BD658*BD659*BD660)*3630*4.1868)/BD$46/365/$G$1)</f>
        <v/>
      </c>
      <c r="BE661" s="621" t="str">
        <f t="shared" si="2046"/>
        <v/>
      </c>
      <c r="BF661" s="621" t="str">
        <f t="shared" si="2046"/>
        <v/>
      </c>
      <c r="BG661" s="621" t="str">
        <f t="shared" si="2046"/>
        <v/>
      </c>
      <c r="BH661" s="621" t="str">
        <f t="shared" si="2046"/>
        <v/>
      </c>
      <c r="BI661" s="621" t="str">
        <f t="shared" si="2046"/>
        <v/>
      </c>
      <c r="BJ661" s="621" t="str">
        <f t="shared" si="2046"/>
        <v/>
      </c>
      <c r="BK661" s="621" t="str">
        <f t="shared" si="2046"/>
        <v/>
      </c>
      <c r="BL661" s="621" t="str">
        <f t="shared" si="2046"/>
        <v/>
      </c>
      <c r="BM661" s="621" t="str">
        <f t="shared" si="2046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2017"/>
        <v/>
      </c>
      <c r="CA661" s="611" t="str">
        <f t="shared" si="2018"/>
        <v/>
      </c>
      <c r="CB661" s="611" t="str">
        <f t="shared" si="2019"/>
        <v/>
      </c>
      <c r="CC661" s="679" t="str">
        <f t="shared" si="2020"/>
        <v/>
      </c>
      <c r="CD661" s="1319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2042"/>
        <v/>
      </c>
      <c r="CF661" s="1320" t="str">
        <f t="shared" si="2042"/>
        <v/>
      </c>
      <c r="CG661" s="1320" t="str">
        <f t="shared" si="2042"/>
        <v/>
      </c>
      <c r="CH661" s="1321" t="str">
        <f t="shared" si="2042"/>
        <v/>
      </c>
      <c r="CI661" s="1321" t="str">
        <f t="shared" si="2042"/>
        <v/>
      </c>
      <c r="CJ661" s="1320" t="str">
        <f t="shared" si="2042"/>
        <v/>
      </c>
      <c r="CK661" s="1320" t="str">
        <f t="shared" si="2042"/>
        <v/>
      </c>
      <c r="CL661" s="1320" t="str">
        <f t="shared" si="2042"/>
        <v/>
      </c>
      <c r="CM661" s="1319" t="str">
        <f t="shared" si="2042"/>
        <v/>
      </c>
      <c r="CN661" s="526" t="str">
        <f t="shared" si="2022"/>
        <v/>
      </c>
      <c r="CO661" s="527" t="str">
        <f t="shared" si="2023"/>
        <v/>
      </c>
      <c r="CP661" s="527" t="str">
        <f t="shared" si="2024"/>
        <v/>
      </c>
      <c r="CQ661" s="527" t="str">
        <f t="shared" si="2025"/>
        <v/>
      </c>
      <c r="CR661" s="527" t="str">
        <f t="shared" si="2026"/>
        <v/>
      </c>
      <c r="CS661" s="527" t="str">
        <f t="shared" si="2027"/>
        <v/>
      </c>
      <c r="CT661" s="528" t="str">
        <f t="shared" si="2028"/>
        <v/>
      </c>
      <c r="CU661" s="528" t="str">
        <f t="shared" si="2029"/>
        <v/>
      </c>
      <c r="CV661" s="528" t="str">
        <f t="shared" si="2030"/>
        <v/>
      </c>
      <c r="CW661" s="527" t="str">
        <f t="shared" si="2031"/>
        <v/>
      </c>
      <c r="CX661" s="527" t="str">
        <f t="shared" si="2032"/>
        <v/>
      </c>
      <c r="CY661" s="527" t="str">
        <f t="shared" si="2033"/>
        <v/>
      </c>
      <c r="CZ661" s="527" t="str">
        <f t="shared" si="2034"/>
        <v/>
      </c>
      <c r="DA661" s="527" t="str">
        <f t="shared" si="2035"/>
        <v/>
      </c>
      <c r="DB661" s="526" t="str">
        <f t="shared" si="2036"/>
        <v/>
      </c>
      <c r="DC661" s="525" t="str">
        <f t="shared" si="2037"/>
        <v/>
      </c>
      <c r="DD661" s="641">
        <f t="shared" si="2038"/>
        <v>0</v>
      </c>
      <c r="DE661" s="95">
        <f t="shared" si="2039"/>
        <v>2</v>
      </c>
      <c r="DF661" s="95">
        <f t="shared" si="2040"/>
        <v>0</v>
      </c>
      <c r="DG661" s="95">
        <f t="shared" si="2041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302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2017"/>
        <v/>
      </c>
      <c r="CA662" s="586" t="str">
        <f t="shared" si="2018"/>
        <v/>
      </c>
      <c r="CB662" s="586" t="str">
        <f t="shared" si="2019"/>
        <v/>
      </c>
      <c r="CC662" s="676" t="str">
        <f t="shared" si="2020"/>
        <v/>
      </c>
      <c r="CD662" s="1316" t="str">
        <f t="shared" ref="CD662:CM663" si="204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7" t="str">
        <f t="shared" si="2047"/>
        <v/>
      </c>
      <c r="CF662" s="1317" t="str">
        <f t="shared" si="2047"/>
        <v/>
      </c>
      <c r="CG662" s="1317" t="str">
        <f t="shared" si="2047"/>
        <v/>
      </c>
      <c r="CH662" s="1318" t="str">
        <f t="shared" si="2047"/>
        <v/>
      </c>
      <c r="CI662" s="1318" t="str">
        <f t="shared" si="2047"/>
        <v/>
      </c>
      <c r="CJ662" s="1317" t="str">
        <f t="shared" si="2047"/>
        <v/>
      </c>
      <c r="CK662" s="1317" t="str">
        <f t="shared" si="2047"/>
        <v/>
      </c>
      <c r="CL662" s="1317" t="str">
        <f t="shared" si="2047"/>
        <v/>
      </c>
      <c r="CM662" s="1316" t="str">
        <f t="shared" si="2047"/>
        <v/>
      </c>
      <c r="CN662" s="538" t="str">
        <f t="shared" si="2022"/>
        <v/>
      </c>
      <c r="CO662" s="539" t="str">
        <f t="shared" si="2023"/>
        <v/>
      </c>
      <c r="CP662" s="539" t="str">
        <f t="shared" si="2024"/>
        <v/>
      </c>
      <c r="CQ662" s="539" t="str">
        <f t="shared" si="2025"/>
        <v/>
      </c>
      <c r="CR662" s="539" t="str">
        <f t="shared" si="2026"/>
        <v/>
      </c>
      <c r="CS662" s="539" t="str">
        <f t="shared" si="2027"/>
        <v/>
      </c>
      <c r="CT662" s="540" t="str">
        <f t="shared" si="2028"/>
        <v/>
      </c>
      <c r="CU662" s="540" t="str">
        <f t="shared" si="2029"/>
        <v/>
      </c>
      <c r="CV662" s="540" t="str">
        <f t="shared" si="2030"/>
        <v/>
      </c>
      <c r="CW662" s="539" t="str">
        <f t="shared" si="2031"/>
        <v/>
      </c>
      <c r="CX662" s="539" t="str">
        <f t="shared" si="2032"/>
        <v/>
      </c>
      <c r="CY662" s="539" t="str">
        <f t="shared" si="2033"/>
        <v/>
      </c>
      <c r="CZ662" s="539" t="str">
        <f t="shared" si="2034"/>
        <v/>
      </c>
      <c r="DA662" s="539" t="str">
        <f t="shared" si="2035"/>
        <v/>
      </c>
      <c r="DB662" s="538" t="str">
        <f t="shared" si="2036"/>
        <v/>
      </c>
      <c r="DC662" s="537" t="str">
        <f t="shared" si="2037"/>
        <v/>
      </c>
      <c r="DD662" s="641">
        <f t="shared" si="2038"/>
        <v>0</v>
      </c>
      <c r="DE662" s="95">
        <f t="shared" si="2039"/>
        <v>0</v>
      </c>
      <c r="DF662" s="95">
        <f t="shared" si="2040"/>
        <v>0</v>
      </c>
      <c r="DG662" s="95">
        <f t="shared" si="2041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2017"/>
        <v/>
      </c>
      <c r="CA663" s="586" t="str">
        <f t="shared" si="2018"/>
        <v/>
      </c>
      <c r="CB663" s="586" t="str">
        <f t="shared" si="2019"/>
        <v/>
      </c>
      <c r="CC663" s="676" t="str">
        <f t="shared" si="2020"/>
        <v/>
      </c>
      <c r="CD663" s="1316" t="str">
        <f t="shared" si="2047"/>
        <v/>
      </c>
      <c r="CE663" s="1317" t="str">
        <f t="shared" ref="CE663:CM676" si="204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7" t="str">
        <f t="shared" si="2048"/>
        <v/>
      </c>
      <c r="CG663" s="1317" t="str">
        <f t="shared" si="2048"/>
        <v/>
      </c>
      <c r="CH663" s="1318" t="str">
        <f t="shared" si="2048"/>
        <v/>
      </c>
      <c r="CI663" s="1318" t="str">
        <f t="shared" si="2048"/>
        <v/>
      </c>
      <c r="CJ663" s="1317" t="str">
        <f t="shared" si="2048"/>
        <v/>
      </c>
      <c r="CK663" s="1317" t="str">
        <f t="shared" si="2048"/>
        <v/>
      </c>
      <c r="CL663" s="1317" t="str">
        <f t="shared" si="2048"/>
        <v/>
      </c>
      <c r="CM663" s="1316" t="str">
        <f t="shared" si="2048"/>
        <v/>
      </c>
      <c r="CN663" s="538" t="str">
        <f t="shared" si="2022"/>
        <v/>
      </c>
      <c r="CO663" s="539" t="str">
        <f t="shared" si="2023"/>
        <v/>
      </c>
      <c r="CP663" s="539" t="str">
        <f t="shared" si="2024"/>
        <v/>
      </c>
      <c r="CQ663" s="539" t="str">
        <f t="shared" si="2025"/>
        <v/>
      </c>
      <c r="CR663" s="539" t="str">
        <f t="shared" si="2026"/>
        <v/>
      </c>
      <c r="CS663" s="539" t="str">
        <f t="shared" si="2027"/>
        <v/>
      </c>
      <c r="CT663" s="540" t="str">
        <f t="shared" si="2028"/>
        <v/>
      </c>
      <c r="CU663" s="540" t="str">
        <f t="shared" si="2029"/>
        <v/>
      </c>
      <c r="CV663" s="540" t="str">
        <f t="shared" si="2030"/>
        <v/>
      </c>
      <c r="CW663" s="539" t="str">
        <f t="shared" si="2031"/>
        <v/>
      </c>
      <c r="CX663" s="539" t="str">
        <f t="shared" si="2032"/>
        <v/>
      </c>
      <c r="CY663" s="539" t="str">
        <f t="shared" si="2033"/>
        <v/>
      </c>
      <c r="CZ663" s="539" t="str">
        <f t="shared" si="2034"/>
        <v/>
      </c>
      <c r="DA663" s="539" t="str">
        <f t="shared" si="2035"/>
        <v/>
      </c>
      <c r="DB663" s="538" t="str">
        <f t="shared" si="2036"/>
        <v/>
      </c>
      <c r="DC663" s="537" t="str">
        <f t="shared" si="2037"/>
        <v/>
      </c>
      <c r="DD663" s="641">
        <f t="shared" si="2038"/>
        <v>0</v>
      </c>
      <c r="DE663" s="95">
        <f t="shared" si="2039"/>
        <v>0</v>
      </c>
      <c r="DF663" s="95">
        <f t="shared" si="2040"/>
        <v>0</v>
      </c>
      <c r="DG663" s="95">
        <f t="shared" si="2041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227</v>
      </c>
      <c r="B664" s="742" t="str">
        <f t="shared" ref="B664:K664" si="2049">IF(B662="","",B662/B$46*B663/12)</f>
        <v/>
      </c>
      <c r="C664" s="742" t="str">
        <f t="shared" si="2049"/>
        <v/>
      </c>
      <c r="D664" s="742" t="str">
        <f t="shared" si="2049"/>
        <v/>
      </c>
      <c r="E664" s="742" t="str">
        <f t="shared" si="2049"/>
        <v/>
      </c>
      <c r="F664" s="742" t="str">
        <f t="shared" si="2049"/>
        <v/>
      </c>
      <c r="G664" s="742" t="str">
        <f t="shared" si="2049"/>
        <v/>
      </c>
      <c r="H664" s="742" t="str">
        <f t="shared" si="2049"/>
        <v/>
      </c>
      <c r="I664" s="742" t="str">
        <f t="shared" si="2049"/>
        <v/>
      </c>
      <c r="J664" s="742" t="str">
        <f t="shared" si="2049"/>
        <v/>
      </c>
      <c r="K664" s="742" t="str">
        <f t="shared" si="2049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50">IF(T662="","",T662/T$46*T663/12)</f>
        <v/>
      </c>
      <c r="U664" s="742" t="str">
        <f t="shared" si="2050"/>
        <v/>
      </c>
      <c r="V664" s="742" t="str">
        <f t="shared" si="2050"/>
        <v/>
      </c>
      <c r="W664" s="742" t="str">
        <f t="shared" si="2050"/>
        <v/>
      </c>
      <c r="X664" s="742" t="str">
        <f t="shared" si="2050"/>
        <v/>
      </c>
      <c r="Y664" s="742" t="str">
        <f t="shared" si="2050"/>
        <v/>
      </c>
      <c r="Z664" s="742" t="str">
        <f t="shared" si="2050"/>
        <v/>
      </c>
      <c r="AA664" s="742" t="str">
        <f t="shared" si="2050"/>
        <v/>
      </c>
      <c r="AB664" s="742" t="str">
        <f t="shared" si="2050"/>
        <v/>
      </c>
      <c r="AC664" s="742" t="str">
        <f t="shared" si="2050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51">IF(AL662="","",AL662/AL$46*AL663/12)</f>
        <v/>
      </c>
      <c r="AM664" s="742" t="str">
        <f t="shared" si="2051"/>
        <v/>
      </c>
      <c r="AN664" s="742" t="str">
        <f t="shared" si="2051"/>
        <v/>
      </c>
      <c r="AO664" s="742" t="str">
        <f t="shared" si="2051"/>
        <v/>
      </c>
      <c r="AP664" s="742" t="str">
        <f t="shared" si="2051"/>
        <v/>
      </c>
      <c r="AQ664" s="742" t="str">
        <f t="shared" si="2051"/>
        <v/>
      </c>
      <c r="AR664" s="742" t="str">
        <f t="shared" si="2051"/>
        <v/>
      </c>
      <c r="AS664" s="742" t="str">
        <f t="shared" si="2051"/>
        <v/>
      </c>
      <c r="AT664" s="742" t="str">
        <f t="shared" si="2051"/>
        <v/>
      </c>
      <c r="AU664" s="742" t="str">
        <f t="shared" si="2051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2017"/>
        <v/>
      </c>
      <c r="CA664" s="611" t="str">
        <f t="shared" si="2018"/>
        <v/>
      </c>
      <c r="CB664" s="611" t="str">
        <f t="shared" si="2019"/>
        <v/>
      </c>
      <c r="CC664" s="679" t="str">
        <f t="shared" si="2020"/>
        <v/>
      </c>
      <c r="CD664" s="1319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0" t="str">
        <f t="shared" si="2048"/>
        <v/>
      </c>
      <c r="CF664" s="1320" t="str">
        <f t="shared" si="2048"/>
        <v/>
      </c>
      <c r="CG664" s="1320" t="str">
        <f t="shared" si="2048"/>
        <v/>
      </c>
      <c r="CH664" s="1321" t="str">
        <f t="shared" si="2048"/>
        <v/>
      </c>
      <c r="CI664" s="1321" t="str">
        <f t="shared" si="2048"/>
        <v/>
      </c>
      <c r="CJ664" s="1320" t="str">
        <f t="shared" si="2048"/>
        <v/>
      </c>
      <c r="CK664" s="1320" t="str">
        <f t="shared" si="2048"/>
        <v/>
      </c>
      <c r="CL664" s="1320" t="str">
        <f t="shared" si="2048"/>
        <v/>
      </c>
      <c r="CM664" s="1319" t="str">
        <f t="shared" si="2048"/>
        <v/>
      </c>
      <c r="CN664" s="526" t="str">
        <f t="shared" si="2022"/>
        <v/>
      </c>
      <c r="CO664" s="527" t="str">
        <f t="shared" si="2023"/>
        <v/>
      </c>
      <c r="CP664" s="527" t="str">
        <f t="shared" si="2024"/>
        <v/>
      </c>
      <c r="CQ664" s="527" t="str">
        <f t="shared" si="2025"/>
        <v/>
      </c>
      <c r="CR664" s="527" t="str">
        <f t="shared" si="2026"/>
        <v/>
      </c>
      <c r="CS664" s="527" t="str">
        <f t="shared" si="2027"/>
        <v/>
      </c>
      <c r="CT664" s="528" t="str">
        <f t="shared" si="2028"/>
        <v/>
      </c>
      <c r="CU664" s="528" t="str">
        <f t="shared" si="2029"/>
        <v/>
      </c>
      <c r="CV664" s="528" t="str">
        <f t="shared" si="2030"/>
        <v/>
      </c>
      <c r="CW664" s="527" t="str">
        <f t="shared" si="2031"/>
        <v/>
      </c>
      <c r="CX664" s="527" t="str">
        <f t="shared" si="2032"/>
        <v/>
      </c>
      <c r="CY664" s="527" t="str">
        <f t="shared" si="2033"/>
        <v/>
      </c>
      <c r="CZ664" s="527" t="str">
        <f t="shared" si="2034"/>
        <v/>
      </c>
      <c r="DA664" s="527" t="str">
        <f t="shared" si="2035"/>
        <v/>
      </c>
      <c r="DB664" s="526" t="str">
        <f t="shared" si="2036"/>
        <v/>
      </c>
      <c r="DC664" s="525" t="str">
        <f t="shared" si="2037"/>
        <v/>
      </c>
      <c r="DD664" s="641">
        <f t="shared" si="2038"/>
        <v>0</v>
      </c>
      <c r="DE664" s="95">
        <f t="shared" si="2039"/>
        <v>0</v>
      </c>
      <c r="DF664" s="95">
        <f t="shared" si="2040"/>
        <v>0</v>
      </c>
      <c r="DG664" s="95">
        <f t="shared" si="2041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303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2"/>
      <c r="CE665" s="1322"/>
      <c r="CF665" s="1322"/>
      <c r="CG665" s="1322"/>
      <c r="CH665" s="1322"/>
      <c r="CI665" s="1322"/>
      <c r="CJ665" s="1322"/>
      <c r="CK665" s="1322"/>
      <c r="CL665" s="1322"/>
      <c r="CM665" s="1322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304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52">IF(DD666&lt;3,"",(SUM(B666:R666)-MIN(B666:R666)-MAX(B666:R666))/(DD666-2))</f>
        <v>5</v>
      </c>
      <c r="CA666" s="586">
        <f t="shared" ref="CA666:CA681" si="2053">IF(DE666&lt;3,"",(SUM(T666:AJ666)-MIN(T666:AJ666)-MAX(T666:AJ666))/(DE666-2))</f>
        <v>5.125</v>
      </c>
      <c r="CB666" s="586">
        <f t="shared" ref="CB666:CB681" si="2054">IF(DF666&lt;3,"",(SUM(AL666:BB666)-MIN(AL666:BB666)-MAX(AL666:BB666))/(DF666-2))</f>
        <v>4.25</v>
      </c>
      <c r="CC666" s="676">
        <f t="shared" ref="CC666:CC681" si="2055">IF(DG666&lt;3,"",(SUM(BD666:BT666)-MIN(BD666:BT666)-MAX(BD666:BT666))/(DG666-2))</f>
        <v>4.375</v>
      </c>
      <c r="CD666" s="1316">
        <f t="shared" ref="CD666:CD676" si="205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17">
        <f t="shared" si="2048"/>
        <v>3</v>
      </c>
      <c r="CF666" s="1317">
        <f t="shared" si="2048"/>
        <v>4</v>
      </c>
      <c r="CG666" s="1317">
        <f t="shared" si="2048"/>
        <v>4</v>
      </c>
      <c r="CH666" s="1318">
        <f t="shared" si="2048"/>
        <v>4</v>
      </c>
      <c r="CI666" s="1318">
        <f t="shared" si="2048"/>
        <v>4</v>
      </c>
      <c r="CJ666" s="1317">
        <f t="shared" si="2048"/>
        <v>5</v>
      </c>
      <c r="CK666" s="1317">
        <f t="shared" si="2048"/>
        <v>5</v>
      </c>
      <c r="CL666" s="1317">
        <f t="shared" si="2048"/>
        <v>5</v>
      </c>
      <c r="CM666" s="1316">
        <f t="shared" si="2048"/>
        <v>6</v>
      </c>
      <c r="CN666" s="538" t="str">
        <f t="shared" ref="CN666:CN676" si="205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5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5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6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6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6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6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73">COUNT(B666:R666)</f>
        <v>10</v>
      </c>
      <c r="DE666" s="95">
        <f t="shared" ref="DE666:DE676" si="2074">COUNT(T666:AJ666)</f>
        <v>10</v>
      </c>
      <c r="DF666" s="95">
        <f t="shared" ref="DF666:DF676" si="2075">COUNT(AL666:BB666)</f>
        <v>10</v>
      </c>
      <c r="DG666" s="95">
        <f t="shared" ref="DG666:DG676" si="2076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227</v>
      </c>
      <c r="B667" s="621">
        <f t="shared" ref="B667:K667" si="2077">IF(B666="","",B666/B$46*8/12*5/7*0.5)</f>
        <v>0.11904761904761904</v>
      </c>
      <c r="C667" s="621">
        <f t="shared" si="2077"/>
        <v>0.13605442176870747</v>
      </c>
      <c r="D667" s="621">
        <f t="shared" si="2077"/>
        <v>0.17857142857142858</v>
      </c>
      <c r="E667" s="621">
        <f t="shared" si="2077"/>
        <v>0.16666666666666666</v>
      </c>
      <c r="F667" s="621">
        <f t="shared" si="2077"/>
        <v>0.17006802721088435</v>
      </c>
      <c r="G667" s="621">
        <f t="shared" si="2077"/>
        <v>0.14880952380952381</v>
      </c>
      <c r="H667" s="621">
        <f t="shared" si="2077"/>
        <v>0.1322751322751323</v>
      </c>
      <c r="I667" s="621">
        <f t="shared" si="2077"/>
        <v>0.19047619047619047</v>
      </c>
      <c r="J667" s="621">
        <f t="shared" si="2077"/>
        <v>0.14880952380952381</v>
      </c>
      <c r="K667" s="621">
        <f t="shared" si="2077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78">IF(T666="","",T666/T$46*8/12*5/7*0.5)</f>
        <v>0.11904761904761904</v>
      </c>
      <c r="U667" s="621">
        <f t="shared" si="2078"/>
        <v>0.17006802721088435</v>
      </c>
      <c r="V667" s="621">
        <f t="shared" si="2078"/>
        <v>0.15873015873015875</v>
      </c>
      <c r="W667" s="621">
        <f t="shared" si="2078"/>
        <v>0.16666666666666666</v>
      </c>
      <c r="X667" s="621">
        <f t="shared" si="2078"/>
        <v>0.17857142857142858</v>
      </c>
      <c r="Y667" s="621">
        <f t="shared" si="2078"/>
        <v>9.5238095238095233E-2</v>
      </c>
      <c r="Z667" s="621">
        <f t="shared" si="2078"/>
        <v>0.10582010582010581</v>
      </c>
      <c r="AA667" s="621">
        <f t="shared" si="2078"/>
        <v>0.16666666666666666</v>
      </c>
      <c r="AB667" s="621">
        <f t="shared" si="2078"/>
        <v>0.11904761904761904</v>
      </c>
      <c r="AC667" s="621">
        <f t="shared" si="2078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79">IF(AL666="","",AL666/AL$46*8/12*5/7*0.5)</f>
        <v>0.13605442176870747</v>
      </c>
      <c r="AM667" s="621">
        <f t="shared" si="2079"/>
        <v>0.17857142857142858</v>
      </c>
      <c r="AN667" s="621">
        <f t="shared" si="2079"/>
        <v>0.14285714285714285</v>
      </c>
      <c r="AO667" s="621">
        <f t="shared" si="2079"/>
        <v>0.11904761904761904</v>
      </c>
      <c r="AP667" s="621">
        <f t="shared" si="2079"/>
        <v>0.11904761904761904</v>
      </c>
      <c r="AQ667" s="621">
        <f t="shared" si="2079"/>
        <v>0.19047619047619047</v>
      </c>
      <c r="AR667" s="621">
        <f t="shared" si="2079"/>
        <v>0.13605442176870747</v>
      </c>
      <c r="AS667" s="621">
        <f t="shared" si="2079"/>
        <v>9.5238095238095233E-2</v>
      </c>
      <c r="AT667" s="621">
        <f t="shared" si="2079"/>
        <v>9.5238095238095233E-2</v>
      </c>
      <c r="AU667" s="621">
        <f t="shared" si="2079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80">IF(BD666="","",BD666/BD$46*8/12*5/7*0.5)</f>
        <v>0.1388888888888889</v>
      </c>
      <c r="BE667" s="621">
        <f t="shared" si="2080"/>
        <v>8.9285714285714288E-2</v>
      </c>
      <c r="BF667" s="621">
        <f t="shared" si="2080"/>
        <v>0.11904761904761904</v>
      </c>
      <c r="BG667" s="621">
        <f t="shared" si="2080"/>
        <v>0.1020408163265306</v>
      </c>
      <c r="BH667" s="621">
        <f t="shared" si="2080"/>
        <v>8.6580086580086577E-2</v>
      </c>
      <c r="BI667" s="621">
        <f t="shared" si="2080"/>
        <v>0.14285714285714285</v>
      </c>
      <c r="BJ667" s="621">
        <f t="shared" si="2080"/>
        <v>8.9285714285714288E-2</v>
      </c>
      <c r="BK667" s="621">
        <f t="shared" si="2080"/>
        <v>0.13605442176870747</v>
      </c>
      <c r="BL667" s="621">
        <f t="shared" si="2080"/>
        <v>8.6580086580086577E-2</v>
      </c>
      <c r="BM667" s="621">
        <f t="shared" si="2080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52"/>
        <v>0.1564153439153439</v>
      </c>
      <c r="CA667" s="611">
        <f t="shared" si="2053"/>
        <v>0.14229024943310656</v>
      </c>
      <c r="CB667" s="611">
        <f t="shared" si="2054"/>
        <v>0.13073979591836735</v>
      </c>
      <c r="CC667" s="679">
        <f t="shared" si="2055"/>
        <v>0.1130050505050505</v>
      </c>
      <c r="CD667" s="1319">
        <f t="shared" si="2056"/>
        <v>9.5238095238095233E-2</v>
      </c>
      <c r="CE667" s="1320">
        <f t="shared" si="2048"/>
        <v>9.5238095238095233E-2</v>
      </c>
      <c r="CF667" s="1320">
        <f t="shared" si="2048"/>
        <v>0.11904761904761904</v>
      </c>
      <c r="CG667" s="1320">
        <f t="shared" si="2048"/>
        <v>0.11904761904761904</v>
      </c>
      <c r="CH667" s="1321">
        <f t="shared" si="2048"/>
        <v>0.11904761904761904</v>
      </c>
      <c r="CI667" s="1321">
        <f t="shared" si="2048"/>
        <v>0.13605442176870747</v>
      </c>
      <c r="CJ667" s="1320">
        <f t="shared" si="2048"/>
        <v>0.13605442176870747</v>
      </c>
      <c r="CK667" s="1320">
        <f t="shared" si="2048"/>
        <v>0.14285714285714285</v>
      </c>
      <c r="CL667" s="1320">
        <f t="shared" si="2048"/>
        <v>0.17857142857142858</v>
      </c>
      <c r="CM667" s="1319">
        <f t="shared" si="2048"/>
        <v>0.19047619047619047</v>
      </c>
      <c r="CN667" s="526" t="str">
        <f t="shared" si="2057"/>
        <v/>
      </c>
      <c r="CO667" s="527" t="str">
        <f t="shared" si="2058"/>
        <v/>
      </c>
      <c r="CP667" s="527" t="str">
        <f t="shared" si="2059"/>
        <v/>
      </c>
      <c r="CQ667" s="527">
        <f t="shared" si="2060"/>
        <v>8.6580086580086577E-2</v>
      </c>
      <c r="CR667" s="527">
        <f t="shared" si="2061"/>
        <v>8.6580086580086577E-2</v>
      </c>
      <c r="CS667" s="527">
        <f t="shared" si="2062"/>
        <v>8.9285714285714288E-2</v>
      </c>
      <c r="CT667" s="528">
        <f t="shared" si="2063"/>
        <v>8.9285714285714288E-2</v>
      </c>
      <c r="CU667" s="528">
        <f t="shared" si="2064"/>
        <v>0.1020408163265306</v>
      </c>
      <c r="CV667" s="528">
        <f t="shared" si="2065"/>
        <v>0.11904761904761904</v>
      </c>
      <c r="CW667" s="527">
        <f t="shared" si="2066"/>
        <v>0.13605442176870747</v>
      </c>
      <c r="CX667" s="527">
        <f t="shared" si="2067"/>
        <v>0.1388888888888889</v>
      </c>
      <c r="CY667" s="527">
        <f t="shared" si="2068"/>
        <v>0.14285714285714285</v>
      </c>
      <c r="CZ667" s="527">
        <f t="shared" si="2069"/>
        <v>0.17006802721088435</v>
      </c>
      <c r="DA667" s="527" t="str">
        <f t="shared" si="2070"/>
        <v/>
      </c>
      <c r="DB667" s="526" t="str">
        <f t="shared" si="2071"/>
        <v/>
      </c>
      <c r="DC667" s="525" t="str">
        <f t="shared" si="2072"/>
        <v/>
      </c>
      <c r="DD667" s="641">
        <f t="shared" si="2073"/>
        <v>10</v>
      </c>
      <c r="DE667" s="95">
        <f t="shared" si="2074"/>
        <v>10</v>
      </c>
      <c r="DF667" s="95">
        <f t="shared" si="2075"/>
        <v>10</v>
      </c>
      <c r="DG667" s="95">
        <f t="shared" si="2076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305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52"/>
        <v/>
      </c>
      <c r="CA668" s="586" t="str">
        <f t="shared" si="2053"/>
        <v/>
      </c>
      <c r="CB668" s="586" t="str">
        <f t="shared" si="2054"/>
        <v/>
      </c>
      <c r="CC668" s="676" t="str">
        <f t="shared" si="2055"/>
        <v/>
      </c>
      <c r="CD668" s="1316" t="str">
        <f t="shared" si="2056"/>
        <v/>
      </c>
      <c r="CE668" s="1317" t="str">
        <f t="shared" si="2048"/>
        <v/>
      </c>
      <c r="CF668" s="1317" t="str">
        <f t="shared" si="2048"/>
        <v/>
      </c>
      <c r="CG668" s="1317" t="str">
        <f t="shared" si="2048"/>
        <v/>
      </c>
      <c r="CH668" s="1318" t="str">
        <f t="shared" si="2048"/>
        <v/>
      </c>
      <c r="CI668" s="1318" t="str">
        <f t="shared" si="2048"/>
        <v/>
      </c>
      <c r="CJ668" s="1317" t="str">
        <f t="shared" si="2048"/>
        <v/>
      </c>
      <c r="CK668" s="1317" t="str">
        <f t="shared" si="2048"/>
        <v/>
      </c>
      <c r="CL668" s="1317" t="str">
        <f t="shared" si="2048"/>
        <v/>
      </c>
      <c r="CM668" s="1316" t="str">
        <f t="shared" si="2048"/>
        <v/>
      </c>
      <c r="CN668" s="538" t="str">
        <f t="shared" si="2057"/>
        <v/>
      </c>
      <c r="CO668" s="539" t="str">
        <f t="shared" si="2058"/>
        <v/>
      </c>
      <c r="CP668" s="539" t="str">
        <f t="shared" si="2059"/>
        <v/>
      </c>
      <c r="CQ668" s="539" t="str">
        <f t="shared" si="2060"/>
        <v/>
      </c>
      <c r="CR668" s="539" t="str">
        <f t="shared" si="2061"/>
        <v/>
      </c>
      <c r="CS668" s="539" t="str">
        <f t="shared" si="2062"/>
        <v/>
      </c>
      <c r="CT668" s="540" t="str">
        <f t="shared" si="2063"/>
        <v/>
      </c>
      <c r="CU668" s="540" t="str">
        <f t="shared" si="2064"/>
        <v/>
      </c>
      <c r="CV668" s="540" t="str">
        <f t="shared" si="2065"/>
        <v/>
      </c>
      <c r="CW668" s="539" t="str">
        <f t="shared" si="2066"/>
        <v/>
      </c>
      <c r="CX668" s="539" t="str">
        <f t="shared" si="2067"/>
        <v/>
      </c>
      <c r="CY668" s="539" t="str">
        <f t="shared" si="2068"/>
        <v/>
      </c>
      <c r="CZ668" s="539" t="str">
        <f t="shared" si="2069"/>
        <v/>
      </c>
      <c r="DA668" s="539" t="str">
        <f t="shared" si="2070"/>
        <v/>
      </c>
      <c r="DB668" s="538" t="str">
        <f t="shared" si="2071"/>
        <v/>
      </c>
      <c r="DC668" s="537" t="str">
        <f t="shared" si="2072"/>
        <v/>
      </c>
      <c r="DD668" s="641">
        <f t="shared" si="2073"/>
        <v>1</v>
      </c>
      <c r="DE668" s="95">
        <f t="shared" si="2074"/>
        <v>0</v>
      </c>
      <c r="DF668" s="95">
        <f t="shared" si="2075"/>
        <v>0</v>
      </c>
      <c r="DG668" s="95">
        <f t="shared" si="2076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289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52"/>
        <v/>
      </c>
      <c r="CA669" s="586" t="str">
        <f t="shared" si="2053"/>
        <v/>
      </c>
      <c r="CB669" s="586" t="str">
        <f t="shared" si="2054"/>
        <v/>
      </c>
      <c r="CC669" s="676" t="str">
        <f t="shared" si="2055"/>
        <v/>
      </c>
      <c r="CD669" s="1316" t="str">
        <f t="shared" si="2056"/>
        <v/>
      </c>
      <c r="CE669" s="1317" t="str">
        <f t="shared" si="2048"/>
        <v/>
      </c>
      <c r="CF669" s="1317" t="str">
        <f t="shared" si="2048"/>
        <v/>
      </c>
      <c r="CG669" s="1317" t="str">
        <f t="shared" si="2048"/>
        <v/>
      </c>
      <c r="CH669" s="1318" t="str">
        <f t="shared" si="2048"/>
        <v/>
      </c>
      <c r="CI669" s="1318" t="str">
        <f t="shared" si="2048"/>
        <v/>
      </c>
      <c r="CJ669" s="1317" t="str">
        <f t="shared" si="2048"/>
        <v/>
      </c>
      <c r="CK669" s="1317" t="str">
        <f t="shared" si="2048"/>
        <v/>
      </c>
      <c r="CL669" s="1317" t="str">
        <f t="shared" si="2048"/>
        <v/>
      </c>
      <c r="CM669" s="1316" t="str">
        <f t="shared" si="2048"/>
        <v/>
      </c>
      <c r="CN669" s="538" t="str">
        <f t="shared" si="2057"/>
        <v/>
      </c>
      <c r="CO669" s="539" t="str">
        <f t="shared" si="2058"/>
        <v/>
      </c>
      <c r="CP669" s="539" t="str">
        <f t="shared" si="2059"/>
        <v/>
      </c>
      <c r="CQ669" s="539" t="str">
        <f t="shared" si="2060"/>
        <v/>
      </c>
      <c r="CR669" s="539" t="str">
        <f t="shared" si="2061"/>
        <v/>
      </c>
      <c r="CS669" s="539" t="str">
        <f t="shared" si="2062"/>
        <v/>
      </c>
      <c r="CT669" s="540" t="str">
        <f t="shared" si="2063"/>
        <v/>
      </c>
      <c r="CU669" s="540" t="str">
        <f t="shared" si="2064"/>
        <v/>
      </c>
      <c r="CV669" s="540" t="str">
        <f t="shared" si="2065"/>
        <v/>
      </c>
      <c r="CW669" s="539" t="str">
        <f t="shared" si="2066"/>
        <v/>
      </c>
      <c r="CX669" s="539" t="str">
        <f t="shared" si="2067"/>
        <v/>
      </c>
      <c r="CY669" s="539" t="str">
        <f t="shared" si="2068"/>
        <v/>
      </c>
      <c r="CZ669" s="539" t="str">
        <f t="shared" si="2069"/>
        <v/>
      </c>
      <c r="DA669" s="539" t="str">
        <f t="shared" si="2070"/>
        <v/>
      </c>
      <c r="DB669" s="538" t="str">
        <f t="shared" si="2071"/>
        <v/>
      </c>
      <c r="DC669" s="537" t="str">
        <f t="shared" si="2072"/>
        <v/>
      </c>
      <c r="DD669" s="641">
        <f t="shared" si="2073"/>
        <v>0</v>
      </c>
      <c r="DE669" s="95">
        <f t="shared" si="2074"/>
        <v>0</v>
      </c>
      <c r="DF669" s="95">
        <f t="shared" si="2075"/>
        <v>0</v>
      </c>
      <c r="DG669" s="95">
        <f t="shared" si="2076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227</v>
      </c>
      <c r="B670" s="621">
        <f t="shared" ref="B670:K670" si="2081">IF(B668="","",B668*B669/0.6/B$46/365)</f>
        <v>0</v>
      </c>
      <c r="C670" s="621" t="str">
        <f t="shared" si="2081"/>
        <v/>
      </c>
      <c r="D670" s="621" t="str">
        <f t="shared" si="2081"/>
        <v/>
      </c>
      <c r="E670" s="621" t="str">
        <f t="shared" si="2081"/>
        <v/>
      </c>
      <c r="F670" s="621" t="str">
        <f t="shared" si="2081"/>
        <v/>
      </c>
      <c r="G670" s="621" t="str">
        <f t="shared" si="2081"/>
        <v/>
      </c>
      <c r="H670" s="621" t="str">
        <f t="shared" si="2081"/>
        <v/>
      </c>
      <c r="I670" s="621" t="str">
        <f t="shared" si="2081"/>
        <v/>
      </c>
      <c r="J670" s="621" t="str">
        <f t="shared" si="2081"/>
        <v/>
      </c>
      <c r="K670" s="621" t="str">
        <f t="shared" si="2081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82">IF(T668="","",T668*T669/0.6/T$46/365)</f>
        <v/>
      </c>
      <c r="U670" s="621" t="str">
        <f t="shared" si="2082"/>
        <v/>
      </c>
      <c r="V670" s="621" t="str">
        <f t="shared" si="2082"/>
        <v/>
      </c>
      <c r="W670" s="621" t="str">
        <f t="shared" si="2082"/>
        <v/>
      </c>
      <c r="X670" s="621" t="str">
        <f t="shared" si="2082"/>
        <v/>
      </c>
      <c r="Y670" s="621" t="str">
        <f t="shared" si="2082"/>
        <v/>
      </c>
      <c r="Z670" s="621" t="str">
        <f t="shared" si="2082"/>
        <v/>
      </c>
      <c r="AA670" s="621" t="str">
        <f t="shared" si="2082"/>
        <v/>
      </c>
      <c r="AB670" s="621" t="str">
        <f t="shared" si="2082"/>
        <v/>
      </c>
      <c r="AC670" s="621" t="str">
        <f t="shared" si="2082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83">IF(AL668="","",AL668*AL669/0.6/AL$46/365)</f>
        <v/>
      </c>
      <c r="AM670" s="621" t="str">
        <f t="shared" si="2083"/>
        <v/>
      </c>
      <c r="AN670" s="621" t="str">
        <f t="shared" si="2083"/>
        <v/>
      </c>
      <c r="AO670" s="621" t="str">
        <f t="shared" si="2083"/>
        <v/>
      </c>
      <c r="AP670" s="621" t="str">
        <f t="shared" si="2083"/>
        <v/>
      </c>
      <c r="AQ670" s="621" t="str">
        <f t="shared" si="2083"/>
        <v/>
      </c>
      <c r="AR670" s="621" t="str">
        <f t="shared" si="2083"/>
        <v/>
      </c>
      <c r="AS670" s="621" t="str">
        <f t="shared" si="2083"/>
        <v/>
      </c>
      <c r="AT670" s="621" t="str">
        <f t="shared" si="2083"/>
        <v/>
      </c>
      <c r="AU670" s="621" t="str">
        <f t="shared" si="2083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84">IF(BD668="","",BD668*BD669/0.6/BD$46/365)</f>
        <v/>
      </c>
      <c r="BE670" s="621" t="str">
        <f t="shared" si="2084"/>
        <v/>
      </c>
      <c r="BF670" s="621" t="str">
        <f t="shared" si="2084"/>
        <v/>
      </c>
      <c r="BG670" s="621" t="str">
        <f t="shared" si="2084"/>
        <v/>
      </c>
      <c r="BH670" s="621" t="str">
        <f t="shared" si="2084"/>
        <v/>
      </c>
      <c r="BI670" s="621" t="str">
        <f t="shared" si="2084"/>
        <v/>
      </c>
      <c r="BJ670" s="621" t="str">
        <f t="shared" si="2084"/>
        <v/>
      </c>
      <c r="BK670" s="621" t="str">
        <f t="shared" si="2084"/>
        <v/>
      </c>
      <c r="BL670" s="621" t="str">
        <f t="shared" si="2084"/>
        <v/>
      </c>
      <c r="BM670" s="621" t="str">
        <f t="shared" si="2084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52"/>
        <v/>
      </c>
      <c r="CA670" s="611" t="str">
        <f t="shared" si="2053"/>
        <v/>
      </c>
      <c r="CB670" s="611" t="str">
        <f t="shared" si="2054"/>
        <v/>
      </c>
      <c r="CC670" s="679" t="str">
        <f t="shared" si="2055"/>
        <v/>
      </c>
      <c r="CD670" s="1319" t="str">
        <f t="shared" si="2056"/>
        <v/>
      </c>
      <c r="CE670" s="1320" t="str">
        <f t="shared" si="2048"/>
        <v/>
      </c>
      <c r="CF670" s="1320" t="str">
        <f t="shared" si="2048"/>
        <v/>
      </c>
      <c r="CG670" s="1320" t="str">
        <f t="shared" si="2048"/>
        <v/>
      </c>
      <c r="CH670" s="1321" t="str">
        <f t="shared" si="2048"/>
        <v/>
      </c>
      <c r="CI670" s="1321" t="str">
        <f t="shared" si="2048"/>
        <v/>
      </c>
      <c r="CJ670" s="1320" t="str">
        <f t="shared" si="2048"/>
        <v/>
      </c>
      <c r="CK670" s="1320" t="str">
        <f t="shared" si="2048"/>
        <v/>
      </c>
      <c r="CL670" s="1320" t="str">
        <f t="shared" si="2048"/>
        <v/>
      </c>
      <c r="CM670" s="1319" t="str">
        <f t="shared" si="2048"/>
        <v/>
      </c>
      <c r="CN670" s="526" t="str">
        <f t="shared" si="2057"/>
        <v/>
      </c>
      <c r="CO670" s="527" t="str">
        <f t="shared" si="2058"/>
        <v/>
      </c>
      <c r="CP670" s="527" t="str">
        <f t="shared" si="2059"/>
        <v/>
      </c>
      <c r="CQ670" s="527" t="str">
        <f t="shared" si="2060"/>
        <v/>
      </c>
      <c r="CR670" s="527" t="str">
        <f t="shared" si="2061"/>
        <v/>
      </c>
      <c r="CS670" s="527" t="str">
        <f t="shared" si="2062"/>
        <v/>
      </c>
      <c r="CT670" s="528" t="str">
        <f t="shared" si="2063"/>
        <v/>
      </c>
      <c r="CU670" s="528" t="str">
        <f t="shared" si="2064"/>
        <v/>
      </c>
      <c r="CV670" s="528" t="str">
        <f t="shared" si="2065"/>
        <v/>
      </c>
      <c r="CW670" s="527" t="str">
        <f t="shared" si="2066"/>
        <v/>
      </c>
      <c r="CX670" s="527" t="str">
        <f t="shared" si="2067"/>
        <v/>
      </c>
      <c r="CY670" s="527" t="str">
        <f t="shared" si="2068"/>
        <v/>
      </c>
      <c r="CZ670" s="527" t="str">
        <f t="shared" si="2069"/>
        <v/>
      </c>
      <c r="DA670" s="527" t="str">
        <f t="shared" si="2070"/>
        <v/>
      </c>
      <c r="DB670" s="526" t="str">
        <f t="shared" si="2071"/>
        <v/>
      </c>
      <c r="DC670" s="525" t="str">
        <f t="shared" si="2072"/>
        <v/>
      </c>
      <c r="DD670" s="641">
        <f t="shared" si="2073"/>
        <v>1</v>
      </c>
      <c r="DE670" s="95">
        <f t="shared" si="2074"/>
        <v>0</v>
      </c>
      <c r="DF670" s="95">
        <f t="shared" si="2075"/>
        <v>0</v>
      </c>
      <c r="DG670" s="95">
        <f t="shared" si="2076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306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52"/>
        <v/>
      </c>
      <c r="CA671" s="586" t="str">
        <f t="shared" si="2053"/>
        <v/>
      </c>
      <c r="CB671" s="586" t="str">
        <f t="shared" si="2054"/>
        <v/>
      </c>
      <c r="CC671" s="676" t="str">
        <f t="shared" si="2055"/>
        <v/>
      </c>
      <c r="CD671" s="1316" t="str">
        <f t="shared" si="2056"/>
        <v/>
      </c>
      <c r="CE671" s="1317" t="str">
        <f t="shared" si="2048"/>
        <v/>
      </c>
      <c r="CF671" s="1317" t="str">
        <f t="shared" si="2048"/>
        <v/>
      </c>
      <c r="CG671" s="1317" t="str">
        <f t="shared" si="2048"/>
        <v/>
      </c>
      <c r="CH671" s="1318" t="str">
        <f t="shared" si="2048"/>
        <v/>
      </c>
      <c r="CI671" s="1318" t="str">
        <f t="shared" si="2048"/>
        <v/>
      </c>
      <c r="CJ671" s="1317" t="str">
        <f t="shared" si="2048"/>
        <v/>
      </c>
      <c r="CK671" s="1317" t="str">
        <f t="shared" si="2048"/>
        <v/>
      </c>
      <c r="CL671" s="1317" t="str">
        <f t="shared" si="2048"/>
        <v/>
      </c>
      <c r="CM671" s="1316" t="str">
        <f t="shared" si="2048"/>
        <v/>
      </c>
      <c r="CN671" s="538" t="str">
        <f t="shared" si="2057"/>
        <v/>
      </c>
      <c r="CO671" s="539" t="str">
        <f t="shared" si="2058"/>
        <v/>
      </c>
      <c r="CP671" s="539" t="str">
        <f t="shared" si="2059"/>
        <v/>
      </c>
      <c r="CQ671" s="539" t="str">
        <f t="shared" si="2060"/>
        <v/>
      </c>
      <c r="CR671" s="539" t="str">
        <f t="shared" si="2061"/>
        <v/>
      </c>
      <c r="CS671" s="539" t="str">
        <f t="shared" si="2062"/>
        <v/>
      </c>
      <c r="CT671" s="540" t="str">
        <f t="shared" si="2063"/>
        <v/>
      </c>
      <c r="CU671" s="540" t="str">
        <f t="shared" si="2064"/>
        <v/>
      </c>
      <c r="CV671" s="540" t="str">
        <f t="shared" si="2065"/>
        <v/>
      </c>
      <c r="CW671" s="539" t="str">
        <f t="shared" si="2066"/>
        <v/>
      </c>
      <c r="CX671" s="539" t="str">
        <f t="shared" si="2067"/>
        <v/>
      </c>
      <c r="CY671" s="539" t="str">
        <f t="shared" si="2068"/>
        <v/>
      </c>
      <c r="CZ671" s="539" t="str">
        <f t="shared" si="2069"/>
        <v/>
      </c>
      <c r="DA671" s="539" t="str">
        <f t="shared" si="2070"/>
        <v/>
      </c>
      <c r="DB671" s="538" t="str">
        <f t="shared" si="2071"/>
        <v/>
      </c>
      <c r="DC671" s="537" t="str">
        <f t="shared" si="2072"/>
        <v/>
      </c>
      <c r="DD671" s="641">
        <f t="shared" si="2073"/>
        <v>0</v>
      </c>
      <c r="DE671" s="95">
        <f t="shared" si="2074"/>
        <v>0</v>
      </c>
      <c r="DF671" s="95">
        <f t="shared" si="2075"/>
        <v>0</v>
      </c>
      <c r="DG671" s="95">
        <f t="shared" si="2076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289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52"/>
        <v/>
      </c>
      <c r="CA672" s="586" t="str">
        <f t="shared" si="2053"/>
        <v/>
      </c>
      <c r="CB672" s="586" t="str">
        <f t="shared" si="2054"/>
        <v/>
      </c>
      <c r="CC672" s="676" t="str">
        <f t="shared" si="2055"/>
        <v/>
      </c>
      <c r="CD672" s="1316" t="str">
        <f t="shared" si="2056"/>
        <v/>
      </c>
      <c r="CE672" s="1317" t="str">
        <f t="shared" si="2048"/>
        <v/>
      </c>
      <c r="CF672" s="1317" t="str">
        <f t="shared" si="2048"/>
        <v/>
      </c>
      <c r="CG672" s="1317" t="str">
        <f t="shared" si="2048"/>
        <v/>
      </c>
      <c r="CH672" s="1318" t="str">
        <f t="shared" si="2048"/>
        <v/>
      </c>
      <c r="CI672" s="1318" t="str">
        <f t="shared" si="2048"/>
        <v/>
      </c>
      <c r="CJ672" s="1317" t="str">
        <f t="shared" si="2048"/>
        <v/>
      </c>
      <c r="CK672" s="1317" t="str">
        <f t="shared" si="2048"/>
        <v/>
      </c>
      <c r="CL672" s="1317" t="str">
        <f t="shared" si="2048"/>
        <v/>
      </c>
      <c r="CM672" s="1316" t="str">
        <f t="shared" si="2048"/>
        <v/>
      </c>
      <c r="CN672" s="538" t="str">
        <f t="shared" si="2057"/>
        <v/>
      </c>
      <c r="CO672" s="539" t="str">
        <f t="shared" si="2058"/>
        <v/>
      </c>
      <c r="CP672" s="539" t="str">
        <f t="shared" si="2059"/>
        <v/>
      </c>
      <c r="CQ672" s="539" t="str">
        <f t="shared" si="2060"/>
        <v/>
      </c>
      <c r="CR672" s="539" t="str">
        <f t="shared" si="2061"/>
        <v/>
      </c>
      <c r="CS672" s="539" t="str">
        <f t="shared" si="2062"/>
        <v/>
      </c>
      <c r="CT672" s="540" t="str">
        <f t="shared" si="2063"/>
        <v/>
      </c>
      <c r="CU672" s="540" t="str">
        <f t="shared" si="2064"/>
        <v/>
      </c>
      <c r="CV672" s="540" t="str">
        <f t="shared" si="2065"/>
        <v/>
      </c>
      <c r="CW672" s="539" t="str">
        <f t="shared" si="2066"/>
        <v/>
      </c>
      <c r="CX672" s="539" t="str">
        <f t="shared" si="2067"/>
        <v/>
      </c>
      <c r="CY672" s="539" t="str">
        <f t="shared" si="2068"/>
        <v/>
      </c>
      <c r="CZ672" s="539" t="str">
        <f t="shared" si="2069"/>
        <v/>
      </c>
      <c r="DA672" s="539" t="str">
        <f t="shared" si="2070"/>
        <v/>
      </c>
      <c r="DB672" s="538" t="str">
        <f t="shared" si="2071"/>
        <v/>
      </c>
      <c r="DC672" s="537" t="str">
        <f t="shared" si="2072"/>
        <v/>
      </c>
      <c r="DD672" s="641">
        <f t="shared" si="2073"/>
        <v>0</v>
      </c>
      <c r="DE672" s="95">
        <f t="shared" si="2074"/>
        <v>0</v>
      </c>
      <c r="DF672" s="95">
        <f t="shared" si="2075"/>
        <v>0</v>
      </c>
      <c r="DG672" s="95">
        <f t="shared" si="2076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227</v>
      </c>
      <c r="B673" s="621" t="str">
        <f t="shared" ref="B673:K673" si="2085">IF(B671="","",B671*B672/0.62/B$46/365)</f>
        <v/>
      </c>
      <c r="C673" s="621" t="str">
        <f t="shared" si="2085"/>
        <v/>
      </c>
      <c r="D673" s="621" t="str">
        <f t="shared" si="2085"/>
        <v/>
      </c>
      <c r="E673" s="621" t="str">
        <f t="shared" si="2085"/>
        <v/>
      </c>
      <c r="F673" s="621" t="str">
        <f t="shared" si="2085"/>
        <v/>
      </c>
      <c r="G673" s="621" t="str">
        <f t="shared" si="2085"/>
        <v/>
      </c>
      <c r="H673" s="621" t="str">
        <f t="shared" si="2085"/>
        <v/>
      </c>
      <c r="I673" s="621" t="str">
        <f t="shared" si="2085"/>
        <v/>
      </c>
      <c r="J673" s="621" t="str">
        <f t="shared" si="2085"/>
        <v/>
      </c>
      <c r="K673" s="621" t="str">
        <f t="shared" si="2085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86">IF(T671="","",T671*T672/0.62/T$46/365)</f>
        <v/>
      </c>
      <c r="U673" s="621" t="str">
        <f t="shared" si="2086"/>
        <v/>
      </c>
      <c r="V673" s="621" t="str">
        <f t="shared" si="2086"/>
        <v/>
      </c>
      <c r="W673" s="621" t="str">
        <f t="shared" si="2086"/>
        <v/>
      </c>
      <c r="X673" s="621" t="str">
        <f t="shared" si="2086"/>
        <v/>
      </c>
      <c r="Y673" s="621" t="str">
        <f t="shared" si="2086"/>
        <v/>
      </c>
      <c r="Z673" s="621" t="str">
        <f t="shared" si="2086"/>
        <v/>
      </c>
      <c r="AA673" s="621" t="str">
        <f t="shared" si="2086"/>
        <v/>
      </c>
      <c r="AB673" s="621" t="str">
        <f t="shared" si="2086"/>
        <v/>
      </c>
      <c r="AC673" s="621" t="str">
        <f t="shared" si="2086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87">IF(AL671="","",AL671*AL672/0.62/AL$46/365)</f>
        <v/>
      </c>
      <c r="AM673" s="621" t="str">
        <f t="shared" si="2087"/>
        <v/>
      </c>
      <c r="AN673" s="621" t="str">
        <f t="shared" si="2087"/>
        <v/>
      </c>
      <c r="AO673" s="621" t="str">
        <f t="shared" si="2087"/>
        <v/>
      </c>
      <c r="AP673" s="621" t="str">
        <f t="shared" si="2087"/>
        <v/>
      </c>
      <c r="AQ673" s="621" t="str">
        <f t="shared" si="2087"/>
        <v/>
      </c>
      <c r="AR673" s="621" t="str">
        <f t="shared" si="2087"/>
        <v/>
      </c>
      <c r="AS673" s="621" t="str">
        <f t="shared" si="2087"/>
        <v/>
      </c>
      <c r="AT673" s="621" t="str">
        <f t="shared" si="2087"/>
        <v/>
      </c>
      <c r="AU673" s="621" t="str">
        <f t="shared" si="2087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88">IF(BD671="","",BD671*BD672/0.62/BD$46/365)</f>
        <v/>
      </c>
      <c r="BE673" s="621" t="str">
        <f t="shared" si="2088"/>
        <v/>
      </c>
      <c r="BF673" s="621" t="str">
        <f t="shared" si="2088"/>
        <v/>
      </c>
      <c r="BG673" s="621" t="str">
        <f t="shared" si="2088"/>
        <v/>
      </c>
      <c r="BH673" s="621" t="str">
        <f t="shared" si="2088"/>
        <v/>
      </c>
      <c r="BI673" s="621" t="str">
        <f t="shared" si="2088"/>
        <v/>
      </c>
      <c r="BJ673" s="621" t="str">
        <f t="shared" si="2088"/>
        <v/>
      </c>
      <c r="BK673" s="621" t="str">
        <f t="shared" si="2088"/>
        <v/>
      </c>
      <c r="BL673" s="621" t="str">
        <f t="shared" si="2088"/>
        <v/>
      </c>
      <c r="BM673" s="621" t="str">
        <f t="shared" si="2088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52"/>
        <v/>
      </c>
      <c r="CA673" s="611" t="str">
        <f t="shared" si="2053"/>
        <v/>
      </c>
      <c r="CB673" s="611" t="str">
        <f t="shared" si="2054"/>
        <v/>
      </c>
      <c r="CC673" s="679" t="str">
        <f t="shared" si="2055"/>
        <v/>
      </c>
      <c r="CD673" s="1319" t="str">
        <f t="shared" si="2056"/>
        <v/>
      </c>
      <c r="CE673" s="1320" t="str">
        <f t="shared" si="2048"/>
        <v/>
      </c>
      <c r="CF673" s="1320" t="str">
        <f t="shared" si="2048"/>
        <v/>
      </c>
      <c r="CG673" s="1320" t="str">
        <f t="shared" si="2048"/>
        <v/>
      </c>
      <c r="CH673" s="1321" t="str">
        <f t="shared" si="2048"/>
        <v/>
      </c>
      <c r="CI673" s="1321" t="str">
        <f t="shared" si="2048"/>
        <v/>
      </c>
      <c r="CJ673" s="1320" t="str">
        <f t="shared" si="2048"/>
        <v/>
      </c>
      <c r="CK673" s="1320" t="str">
        <f t="shared" si="2048"/>
        <v/>
      </c>
      <c r="CL673" s="1320" t="str">
        <f t="shared" si="2048"/>
        <v/>
      </c>
      <c r="CM673" s="1319" t="str">
        <f t="shared" si="2048"/>
        <v/>
      </c>
      <c r="CN673" s="526" t="str">
        <f t="shared" si="2057"/>
        <v/>
      </c>
      <c r="CO673" s="527" t="str">
        <f t="shared" si="2058"/>
        <v/>
      </c>
      <c r="CP673" s="527" t="str">
        <f t="shared" si="2059"/>
        <v/>
      </c>
      <c r="CQ673" s="527" t="str">
        <f t="shared" si="2060"/>
        <v/>
      </c>
      <c r="CR673" s="527" t="str">
        <f t="shared" si="2061"/>
        <v/>
      </c>
      <c r="CS673" s="527" t="str">
        <f t="shared" si="2062"/>
        <v/>
      </c>
      <c r="CT673" s="528" t="str">
        <f t="shared" si="2063"/>
        <v/>
      </c>
      <c r="CU673" s="528" t="str">
        <f t="shared" si="2064"/>
        <v/>
      </c>
      <c r="CV673" s="528" t="str">
        <f t="shared" si="2065"/>
        <v/>
      </c>
      <c r="CW673" s="527" t="str">
        <f t="shared" si="2066"/>
        <v/>
      </c>
      <c r="CX673" s="527" t="str">
        <f t="shared" si="2067"/>
        <v/>
      </c>
      <c r="CY673" s="527" t="str">
        <f t="shared" si="2068"/>
        <v/>
      </c>
      <c r="CZ673" s="527" t="str">
        <f t="shared" si="2069"/>
        <v/>
      </c>
      <c r="DA673" s="527" t="str">
        <f t="shared" si="2070"/>
        <v/>
      </c>
      <c r="DB673" s="526" t="str">
        <f t="shared" si="2071"/>
        <v/>
      </c>
      <c r="DC673" s="525" t="str">
        <f t="shared" si="2072"/>
        <v/>
      </c>
      <c r="DD673" s="641">
        <f t="shared" si="2073"/>
        <v>0</v>
      </c>
      <c r="DE673" s="95">
        <f t="shared" si="2074"/>
        <v>0</v>
      </c>
      <c r="DF673" s="95">
        <f t="shared" si="2075"/>
        <v>0</v>
      </c>
      <c r="DG673" s="95">
        <f t="shared" si="2076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307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52"/>
        <v/>
      </c>
      <c r="CA674" s="586" t="str">
        <f t="shared" si="2053"/>
        <v/>
      </c>
      <c r="CB674" s="586" t="str">
        <f t="shared" si="2054"/>
        <v/>
      </c>
      <c r="CC674" s="676" t="str">
        <f t="shared" si="2055"/>
        <v/>
      </c>
      <c r="CD674" s="1316" t="str">
        <f t="shared" si="2056"/>
        <v/>
      </c>
      <c r="CE674" s="1317" t="str">
        <f t="shared" si="2048"/>
        <v/>
      </c>
      <c r="CF674" s="1317" t="str">
        <f t="shared" si="2048"/>
        <v/>
      </c>
      <c r="CG674" s="1317" t="str">
        <f t="shared" si="2048"/>
        <v/>
      </c>
      <c r="CH674" s="1318" t="str">
        <f t="shared" si="2048"/>
        <v/>
      </c>
      <c r="CI674" s="1318" t="str">
        <f t="shared" si="2048"/>
        <v/>
      </c>
      <c r="CJ674" s="1317" t="str">
        <f t="shared" si="2048"/>
        <v/>
      </c>
      <c r="CK674" s="1317" t="str">
        <f t="shared" si="2048"/>
        <v/>
      </c>
      <c r="CL674" s="1317" t="str">
        <f t="shared" si="2048"/>
        <v/>
      </c>
      <c r="CM674" s="1316" t="str">
        <f t="shared" si="2048"/>
        <v/>
      </c>
      <c r="CN674" s="538" t="str">
        <f t="shared" si="2057"/>
        <v/>
      </c>
      <c r="CO674" s="539" t="str">
        <f t="shared" si="2058"/>
        <v/>
      </c>
      <c r="CP674" s="539" t="str">
        <f t="shared" si="2059"/>
        <v/>
      </c>
      <c r="CQ674" s="539" t="str">
        <f t="shared" si="2060"/>
        <v/>
      </c>
      <c r="CR674" s="539" t="str">
        <f t="shared" si="2061"/>
        <v/>
      </c>
      <c r="CS674" s="539" t="str">
        <f t="shared" si="2062"/>
        <v/>
      </c>
      <c r="CT674" s="540" t="str">
        <f t="shared" si="2063"/>
        <v/>
      </c>
      <c r="CU674" s="540">
        <f t="shared" si="2064"/>
        <v>10</v>
      </c>
      <c r="CV674" s="540" t="str">
        <f t="shared" si="2065"/>
        <v/>
      </c>
      <c r="CW674" s="539" t="str">
        <f t="shared" si="2066"/>
        <v/>
      </c>
      <c r="CX674" s="539" t="str">
        <f t="shared" si="2067"/>
        <v/>
      </c>
      <c r="CY674" s="539" t="str">
        <f t="shared" si="2068"/>
        <v/>
      </c>
      <c r="CZ674" s="539" t="str">
        <f t="shared" si="2069"/>
        <v/>
      </c>
      <c r="DA674" s="539" t="str">
        <f t="shared" si="2070"/>
        <v/>
      </c>
      <c r="DB674" s="538" t="str">
        <f t="shared" si="2071"/>
        <v/>
      </c>
      <c r="DC674" s="537" t="str">
        <f t="shared" si="2072"/>
        <v/>
      </c>
      <c r="DD674" s="641">
        <f t="shared" si="2073"/>
        <v>0</v>
      </c>
      <c r="DE674" s="95">
        <f t="shared" si="2074"/>
        <v>0</v>
      </c>
      <c r="DF674" s="95">
        <f t="shared" si="2075"/>
        <v>0</v>
      </c>
      <c r="DG674" s="95">
        <f t="shared" si="2076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289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52"/>
        <v/>
      </c>
      <c r="CA675" s="586" t="str">
        <f t="shared" si="2053"/>
        <v/>
      </c>
      <c r="CB675" s="586" t="str">
        <f t="shared" si="2054"/>
        <v/>
      </c>
      <c r="CC675" s="676" t="str">
        <f t="shared" si="2055"/>
        <v/>
      </c>
      <c r="CD675" s="1316" t="str">
        <f t="shared" si="2056"/>
        <v/>
      </c>
      <c r="CE675" s="1317" t="str">
        <f t="shared" si="2048"/>
        <v/>
      </c>
      <c r="CF675" s="1317" t="str">
        <f t="shared" si="2048"/>
        <v/>
      </c>
      <c r="CG675" s="1317" t="str">
        <f t="shared" si="2048"/>
        <v/>
      </c>
      <c r="CH675" s="1318" t="str">
        <f t="shared" si="2048"/>
        <v/>
      </c>
      <c r="CI675" s="1318" t="str">
        <f t="shared" si="2048"/>
        <v/>
      </c>
      <c r="CJ675" s="1317" t="str">
        <f t="shared" si="2048"/>
        <v/>
      </c>
      <c r="CK675" s="1317" t="str">
        <f t="shared" si="2048"/>
        <v/>
      </c>
      <c r="CL675" s="1317" t="str">
        <f t="shared" si="2048"/>
        <v/>
      </c>
      <c r="CM675" s="1316" t="str">
        <f t="shared" si="2048"/>
        <v/>
      </c>
      <c r="CN675" s="538" t="str">
        <f t="shared" si="2057"/>
        <v/>
      </c>
      <c r="CO675" s="539" t="str">
        <f t="shared" si="2058"/>
        <v/>
      </c>
      <c r="CP675" s="539" t="str">
        <f t="shared" si="2059"/>
        <v/>
      </c>
      <c r="CQ675" s="539" t="str">
        <f t="shared" si="2060"/>
        <v/>
      </c>
      <c r="CR675" s="539" t="str">
        <f t="shared" si="2061"/>
        <v/>
      </c>
      <c r="CS675" s="539" t="str">
        <f t="shared" si="2062"/>
        <v/>
      </c>
      <c r="CT675" s="540" t="str">
        <f t="shared" si="2063"/>
        <v/>
      </c>
      <c r="CU675" s="540">
        <f t="shared" si="2064"/>
        <v>1</v>
      </c>
      <c r="CV675" s="540" t="str">
        <f t="shared" si="2065"/>
        <v/>
      </c>
      <c r="CW675" s="539" t="str">
        <f t="shared" si="2066"/>
        <v/>
      </c>
      <c r="CX675" s="539" t="str">
        <f t="shared" si="2067"/>
        <v/>
      </c>
      <c r="CY675" s="539" t="str">
        <f t="shared" si="2068"/>
        <v/>
      </c>
      <c r="CZ675" s="539" t="str">
        <f t="shared" si="2069"/>
        <v/>
      </c>
      <c r="DA675" s="539" t="str">
        <f t="shared" si="2070"/>
        <v/>
      </c>
      <c r="DB675" s="538" t="str">
        <f t="shared" si="2071"/>
        <v/>
      </c>
      <c r="DC675" s="537" t="str">
        <f t="shared" si="2072"/>
        <v/>
      </c>
      <c r="DD675" s="641">
        <f t="shared" si="2073"/>
        <v>0</v>
      </c>
      <c r="DE675" s="95">
        <f t="shared" si="2074"/>
        <v>0</v>
      </c>
      <c r="DF675" s="95">
        <f t="shared" si="2075"/>
        <v>0</v>
      </c>
      <c r="DG675" s="95">
        <f t="shared" si="2076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227</v>
      </c>
      <c r="B676" s="621" t="str">
        <f t="shared" ref="B676:K676" si="2089">IF(B674="","",B674*B675/0.23/B$46/365)</f>
        <v/>
      </c>
      <c r="C676" s="621" t="str">
        <f t="shared" si="2089"/>
        <v/>
      </c>
      <c r="D676" s="621" t="str">
        <f t="shared" si="2089"/>
        <v/>
      </c>
      <c r="E676" s="621" t="str">
        <f t="shared" si="2089"/>
        <v/>
      </c>
      <c r="F676" s="621" t="str">
        <f t="shared" si="2089"/>
        <v/>
      </c>
      <c r="G676" s="621" t="str">
        <f t="shared" si="2089"/>
        <v/>
      </c>
      <c r="H676" s="621" t="str">
        <f t="shared" si="2089"/>
        <v/>
      </c>
      <c r="I676" s="621" t="str">
        <f t="shared" si="2089"/>
        <v/>
      </c>
      <c r="J676" s="621" t="str">
        <f t="shared" si="2089"/>
        <v/>
      </c>
      <c r="K676" s="621" t="str">
        <f t="shared" si="2089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90">IF(T674="","",T674*T675/0.23/T$46/365)</f>
        <v/>
      </c>
      <c r="U676" s="621" t="str">
        <f t="shared" si="2090"/>
        <v/>
      </c>
      <c r="V676" s="621" t="str">
        <f t="shared" si="2090"/>
        <v/>
      </c>
      <c r="W676" s="621" t="str">
        <f t="shared" si="2090"/>
        <v/>
      </c>
      <c r="X676" s="621" t="str">
        <f t="shared" si="2090"/>
        <v/>
      </c>
      <c r="Y676" s="621" t="str">
        <f t="shared" si="2090"/>
        <v/>
      </c>
      <c r="Z676" s="621" t="str">
        <f t="shared" si="2090"/>
        <v/>
      </c>
      <c r="AA676" s="621" t="str">
        <f t="shared" si="2090"/>
        <v/>
      </c>
      <c r="AB676" s="621" t="str">
        <f t="shared" si="2090"/>
        <v/>
      </c>
      <c r="AC676" s="621" t="str">
        <f t="shared" si="2090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91">IF(AL674="","",AL674*AL675/0.23/AL$46/365)</f>
        <v/>
      </c>
      <c r="AM676" s="621" t="str">
        <f t="shared" si="2091"/>
        <v/>
      </c>
      <c r="AN676" s="621" t="str">
        <f t="shared" si="2091"/>
        <v/>
      </c>
      <c r="AO676" s="621" t="str">
        <f t="shared" si="2091"/>
        <v/>
      </c>
      <c r="AP676" s="621" t="str">
        <f t="shared" si="2091"/>
        <v/>
      </c>
      <c r="AQ676" s="621" t="str">
        <f t="shared" si="2091"/>
        <v/>
      </c>
      <c r="AR676" s="621" t="str">
        <f t="shared" si="2091"/>
        <v/>
      </c>
      <c r="AS676" s="621" t="str">
        <f t="shared" si="2091"/>
        <v/>
      </c>
      <c r="AT676" s="621" t="str">
        <f t="shared" si="2091"/>
        <v/>
      </c>
      <c r="AU676" s="621" t="str">
        <f t="shared" si="2091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92">IF(BD674="","",BD674*BD675/0.23/BD$46/365)</f>
        <v/>
      </c>
      <c r="BE676" s="621" t="str">
        <f t="shared" si="2092"/>
        <v/>
      </c>
      <c r="BF676" s="621" t="str">
        <f t="shared" si="2092"/>
        <v/>
      </c>
      <c r="BG676" s="621" t="str">
        <f t="shared" si="2092"/>
        <v/>
      </c>
      <c r="BH676" s="621">
        <f t="shared" si="2092"/>
        <v>1.0828956630028698E-2</v>
      </c>
      <c r="BI676" s="621" t="str">
        <f t="shared" si="2092"/>
        <v/>
      </c>
      <c r="BJ676" s="621" t="str">
        <f t="shared" si="2092"/>
        <v/>
      </c>
      <c r="BK676" s="621" t="str">
        <f t="shared" si="2092"/>
        <v/>
      </c>
      <c r="BL676" s="621" t="str">
        <f t="shared" si="2092"/>
        <v/>
      </c>
      <c r="BM676" s="621" t="str">
        <f t="shared" si="2092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52"/>
        <v/>
      </c>
      <c r="CA676" s="611" t="str">
        <f t="shared" si="2053"/>
        <v/>
      </c>
      <c r="CB676" s="611" t="str">
        <f t="shared" si="2054"/>
        <v/>
      </c>
      <c r="CC676" s="679" t="str">
        <f t="shared" si="2055"/>
        <v/>
      </c>
      <c r="CD676" s="1319" t="str">
        <f t="shared" si="2056"/>
        <v/>
      </c>
      <c r="CE676" s="1320" t="str">
        <f t="shared" si="2048"/>
        <v/>
      </c>
      <c r="CF676" s="1320" t="str">
        <f t="shared" si="2048"/>
        <v/>
      </c>
      <c r="CG676" s="1320" t="str">
        <f t="shared" si="2048"/>
        <v/>
      </c>
      <c r="CH676" s="1321" t="str">
        <f t="shared" si="2048"/>
        <v/>
      </c>
      <c r="CI676" s="1321" t="str">
        <f t="shared" si="2048"/>
        <v/>
      </c>
      <c r="CJ676" s="1320" t="str">
        <f t="shared" si="2048"/>
        <v/>
      </c>
      <c r="CK676" s="1320" t="str">
        <f t="shared" si="2048"/>
        <v/>
      </c>
      <c r="CL676" s="1320" t="str">
        <f t="shared" si="2048"/>
        <v/>
      </c>
      <c r="CM676" s="1319" t="str">
        <f t="shared" si="2048"/>
        <v/>
      </c>
      <c r="CN676" s="526" t="str">
        <f t="shared" si="2057"/>
        <v/>
      </c>
      <c r="CO676" s="527" t="str">
        <f t="shared" si="2058"/>
        <v/>
      </c>
      <c r="CP676" s="527" t="str">
        <f t="shared" si="2059"/>
        <v/>
      </c>
      <c r="CQ676" s="527" t="str">
        <f t="shared" si="2060"/>
        <v/>
      </c>
      <c r="CR676" s="527" t="str">
        <f t="shared" si="2061"/>
        <v/>
      </c>
      <c r="CS676" s="527" t="str">
        <f t="shared" si="2062"/>
        <v/>
      </c>
      <c r="CT676" s="528" t="str">
        <f t="shared" si="2063"/>
        <v/>
      </c>
      <c r="CU676" s="528">
        <f t="shared" si="2064"/>
        <v>1.0828956630028698E-2</v>
      </c>
      <c r="CV676" s="528" t="str">
        <f t="shared" si="2065"/>
        <v/>
      </c>
      <c r="CW676" s="527" t="str">
        <f t="shared" si="2066"/>
        <v/>
      </c>
      <c r="CX676" s="527" t="str">
        <f t="shared" si="2067"/>
        <v/>
      </c>
      <c r="CY676" s="527" t="str">
        <f t="shared" si="2068"/>
        <v/>
      </c>
      <c r="CZ676" s="527" t="str">
        <f t="shared" si="2069"/>
        <v/>
      </c>
      <c r="DA676" s="527" t="str">
        <f t="shared" si="2070"/>
        <v/>
      </c>
      <c r="DB676" s="526" t="str">
        <f t="shared" si="2071"/>
        <v/>
      </c>
      <c r="DC676" s="525" t="str">
        <f t="shared" si="2072"/>
        <v/>
      </c>
      <c r="DD676" s="641">
        <f t="shared" si="2073"/>
        <v>0</v>
      </c>
      <c r="DE676" s="95">
        <f t="shared" si="2074"/>
        <v>0</v>
      </c>
      <c r="DF676" s="95">
        <f t="shared" si="2075"/>
        <v>0</v>
      </c>
      <c r="DG676" s="95">
        <f t="shared" si="2076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308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52"/>
        <v/>
      </c>
      <c r="CA677" s="578" t="str">
        <f t="shared" si="2053"/>
        <v/>
      </c>
      <c r="CB677" s="578" t="str">
        <f t="shared" si="2054"/>
        <v/>
      </c>
      <c r="CC677" s="675" t="str">
        <f t="shared" si="2055"/>
        <v/>
      </c>
      <c r="CD677" s="1322"/>
      <c r="CE677" s="1322"/>
      <c r="CF677" s="1322"/>
      <c r="CG677" s="1322"/>
      <c r="CH677" s="1322"/>
      <c r="CI677" s="1322"/>
      <c r="CJ677" s="1322"/>
      <c r="CK677" s="1322"/>
      <c r="CL677" s="1322"/>
      <c r="CM677" s="1322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293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52"/>
        <v/>
      </c>
      <c r="CA678" s="586" t="str">
        <f t="shared" si="2053"/>
        <v/>
      </c>
      <c r="CB678" s="586" t="str">
        <f t="shared" si="2054"/>
        <v/>
      </c>
      <c r="CC678" s="676">
        <f t="shared" si="2055"/>
        <v>25</v>
      </c>
      <c r="CD678" s="1316" t="str">
        <f t="shared" ref="CD678:CM678" si="209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7" t="str">
        <f t="shared" si="2093"/>
        <v/>
      </c>
      <c r="CF678" s="1317" t="str">
        <f t="shared" si="2093"/>
        <v/>
      </c>
      <c r="CG678" s="1317" t="str">
        <f t="shared" si="2093"/>
        <v/>
      </c>
      <c r="CH678" s="1318">
        <f t="shared" si="2093"/>
        <v>1</v>
      </c>
      <c r="CI678" s="1318" t="str">
        <f t="shared" si="2093"/>
        <v/>
      </c>
      <c r="CJ678" s="1317" t="str">
        <f t="shared" si="2093"/>
        <v/>
      </c>
      <c r="CK678" s="1317" t="str">
        <f t="shared" si="2093"/>
        <v/>
      </c>
      <c r="CL678" s="1317" t="str">
        <f t="shared" si="2093"/>
        <v/>
      </c>
      <c r="CM678" s="1316" t="str">
        <f t="shared" si="2093"/>
        <v/>
      </c>
      <c r="CN678" s="538" t="str">
        <f t="shared" ref="CN678:CV681" si="2094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94"/>
        <v/>
      </c>
      <c r="CP678" s="539" t="str">
        <f t="shared" si="2094"/>
        <v/>
      </c>
      <c r="CQ678" s="539" t="str">
        <f t="shared" si="2094"/>
        <v/>
      </c>
      <c r="CR678" s="539" t="str">
        <f t="shared" si="2094"/>
        <v/>
      </c>
      <c r="CS678" s="539" t="str">
        <f t="shared" si="2094"/>
        <v/>
      </c>
      <c r="CT678" s="540">
        <f t="shared" si="2094"/>
        <v>20</v>
      </c>
      <c r="CU678" s="540">
        <f t="shared" si="2094"/>
        <v>20</v>
      </c>
      <c r="CV678" s="540">
        <f t="shared" si="2094"/>
        <v>30</v>
      </c>
      <c r="CW678" s="539">
        <f t="shared" ref="CW678:DC681" si="2095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95"/>
        <v/>
      </c>
      <c r="CY678" s="539" t="str">
        <f t="shared" si="2095"/>
        <v/>
      </c>
      <c r="CZ678" s="539" t="str">
        <f t="shared" si="2095"/>
        <v/>
      </c>
      <c r="DA678" s="539" t="str">
        <f t="shared" si="2095"/>
        <v/>
      </c>
      <c r="DB678" s="538" t="str">
        <f t="shared" si="2095"/>
        <v/>
      </c>
      <c r="DC678" s="537" t="str">
        <f t="shared" si="2095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289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52"/>
        <v/>
      </c>
      <c r="CA679" s="586" t="str">
        <f t="shared" si="2053"/>
        <v/>
      </c>
      <c r="CB679" s="586" t="str">
        <f t="shared" si="2054"/>
        <v/>
      </c>
      <c r="CC679" s="676">
        <f t="shared" si="2055"/>
        <v>1</v>
      </c>
      <c r="CD679" s="131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7" t="str">
        <f t="shared" ref="CE679:CM681" si="209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7" t="str">
        <f t="shared" si="2096"/>
        <v/>
      </c>
      <c r="CG679" s="1317" t="str">
        <f t="shared" si="2096"/>
        <v/>
      </c>
      <c r="CH679" s="1318">
        <f t="shared" si="2096"/>
        <v>2</v>
      </c>
      <c r="CI679" s="1318" t="str">
        <f t="shared" si="2096"/>
        <v/>
      </c>
      <c r="CJ679" s="1317" t="str">
        <f t="shared" si="2096"/>
        <v/>
      </c>
      <c r="CK679" s="1317" t="str">
        <f t="shared" si="2096"/>
        <v/>
      </c>
      <c r="CL679" s="1317" t="str">
        <f t="shared" si="2096"/>
        <v/>
      </c>
      <c r="CM679" s="1316" t="str">
        <f t="shared" si="2096"/>
        <v/>
      </c>
      <c r="CN679" s="538" t="str">
        <f t="shared" si="2094"/>
        <v/>
      </c>
      <c r="CO679" s="539" t="str">
        <f t="shared" si="2094"/>
        <v/>
      </c>
      <c r="CP679" s="539" t="str">
        <f t="shared" si="2094"/>
        <v/>
      </c>
      <c r="CQ679" s="539" t="str">
        <f t="shared" si="2094"/>
        <v/>
      </c>
      <c r="CR679" s="539" t="str">
        <f t="shared" si="2094"/>
        <v/>
      </c>
      <c r="CS679" s="539">
        <f t="shared" si="2094"/>
        <v>0</v>
      </c>
      <c r="CT679" s="540">
        <f t="shared" si="2094"/>
        <v>1</v>
      </c>
      <c r="CU679" s="540">
        <f t="shared" si="2094"/>
        <v>1</v>
      </c>
      <c r="CV679" s="540">
        <f t="shared" si="2094"/>
        <v>1</v>
      </c>
      <c r="CW679" s="539">
        <f t="shared" si="2095"/>
        <v>1</v>
      </c>
      <c r="CX679" s="539" t="str">
        <f t="shared" si="2095"/>
        <v/>
      </c>
      <c r="CY679" s="539" t="str">
        <f t="shared" si="2095"/>
        <v/>
      </c>
      <c r="CZ679" s="539" t="str">
        <f t="shared" si="2095"/>
        <v/>
      </c>
      <c r="DA679" s="539" t="str">
        <f t="shared" si="2095"/>
        <v/>
      </c>
      <c r="DB679" s="538" t="str">
        <f t="shared" si="2095"/>
        <v/>
      </c>
      <c r="DC679" s="537" t="str">
        <f t="shared" si="2095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284</v>
      </c>
      <c r="B680" s="747">
        <f>4000*$K$1</f>
        <v>16747.2</v>
      </c>
      <c r="C680" s="747">
        <f t="shared" ref="C680:K680" si="2097">4000*$K$1</f>
        <v>16747.2</v>
      </c>
      <c r="D680" s="747">
        <f t="shared" si="2097"/>
        <v>16747.2</v>
      </c>
      <c r="E680" s="747">
        <f t="shared" si="2097"/>
        <v>16747.2</v>
      </c>
      <c r="F680" s="747">
        <f t="shared" si="2097"/>
        <v>16747.2</v>
      </c>
      <c r="G680" s="747">
        <f t="shared" si="2097"/>
        <v>16747.2</v>
      </c>
      <c r="H680" s="747">
        <f t="shared" si="2097"/>
        <v>16747.2</v>
      </c>
      <c r="I680" s="747">
        <f t="shared" si="2097"/>
        <v>16747.2</v>
      </c>
      <c r="J680" s="747">
        <f t="shared" si="2097"/>
        <v>16747.2</v>
      </c>
      <c r="K680" s="747">
        <f t="shared" si="2097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98">4000*$K$1</f>
        <v>16747.2</v>
      </c>
      <c r="V680" s="747">
        <f t="shared" si="2098"/>
        <v>16747.2</v>
      </c>
      <c r="W680" s="747">
        <f t="shared" si="2098"/>
        <v>16747.2</v>
      </c>
      <c r="X680" s="747">
        <f t="shared" si="2098"/>
        <v>16747.2</v>
      </c>
      <c r="Y680" s="747">
        <f t="shared" si="2098"/>
        <v>16747.2</v>
      </c>
      <c r="Z680" s="747">
        <f t="shared" si="2098"/>
        <v>16747.2</v>
      </c>
      <c r="AA680" s="747">
        <f t="shared" si="2098"/>
        <v>16747.2</v>
      </c>
      <c r="AB680" s="747">
        <f t="shared" si="2098"/>
        <v>16747.2</v>
      </c>
      <c r="AC680" s="747">
        <f t="shared" si="2098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99">4000*$K$1</f>
        <v>16747.2</v>
      </c>
      <c r="AN680" s="747">
        <f t="shared" si="2099"/>
        <v>16747.2</v>
      </c>
      <c r="AO680" s="747">
        <f t="shared" si="2099"/>
        <v>16747.2</v>
      </c>
      <c r="AP680" s="747">
        <f t="shared" si="2099"/>
        <v>16747.2</v>
      </c>
      <c r="AQ680" s="747">
        <f t="shared" si="2099"/>
        <v>16747.2</v>
      </c>
      <c r="AR680" s="747">
        <f t="shared" si="2099"/>
        <v>16747.2</v>
      </c>
      <c r="AS680" s="747">
        <f t="shared" si="2099"/>
        <v>16747.2</v>
      </c>
      <c r="AT680" s="747">
        <f t="shared" si="2099"/>
        <v>16747.2</v>
      </c>
      <c r="AU680" s="747">
        <f t="shared" si="2099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100">4000*$K$1</f>
        <v>16747.2</v>
      </c>
      <c r="BF680" s="747">
        <f t="shared" si="2100"/>
        <v>16747.2</v>
      </c>
      <c r="BG680" s="747">
        <f t="shared" si="2100"/>
        <v>16747.2</v>
      </c>
      <c r="BH680" s="747">
        <f t="shared" si="2100"/>
        <v>16747.2</v>
      </c>
      <c r="BI680" s="747">
        <f t="shared" si="2100"/>
        <v>16747.2</v>
      </c>
      <c r="BJ680" s="747">
        <f t="shared" si="2100"/>
        <v>16747.2</v>
      </c>
      <c r="BK680" s="747">
        <f t="shared" si="2100"/>
        <v>16747.2</v>
      </c>
      <c r="BL680" s="747">
        <f t="shared" si="2100"/>
        <v>16747.2</v>
      </c>
      <c r="BM680" s="747">
        <f t="shared" si="2100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100"/>
        <v>16747.2</v>
      </c>
      <c r="BW680" s="747">
        <f t="shared" si="2100"/>
        <v>16747.2</v>
      </c>
      <c r="BX680" s="747">
        <f t="shared" si="2100"/>
        <v>16747.2</v>
      </c>
      <c r="BY680" s="747">
        <f t="shared" si="2100"/>
        <v>16747.2</v>
      </c>
      <c r="BZ680" s="586">
        <f t="shared" si="2052"/>
        <v>16747.2</v>
      </c>
      <c r="CA680" s="586">
        <f t="shared" si="2053"/>
        <v>16747.2</v>
      </c>
      <c r="CB680" s="586">
        <f t="shared" si="2054"/>
        <v>16747.2</v>
      </c>
      <c r="CC680" s="676">
        <f t="shared" si="2055"/>
        <v>16747.2</v>
      </c>
      <c r="CD680" s="131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7">
        <f t="shared" si="2096"/>
        <v>16747.2</v>
      </c>
      <c r="CF680" s="1317">
        <f t="shared" si="2096"/>
        <v>16747.2</v>
      </c>
      <c r="CG680" s="1317">
        <f t="shared" si="2096"/>
        <v>16747.2</v>
      </c>
      <c r="CH680" s="1318">
        <f t="shared" si="2096"/>
        <v>16747.2</v>
      </c>
      <c r="CI680" s="1318">
        <f t="shared" si="2096"/>
        <v>16747.2</v>
      </c>
      <c r="CJ680" s="1317">
        <f t="shared" si="2096"/>
        <v>16747.2</v>
      </c>
      <c r="CK680" s="1317">
        <f t="shared" si="2096"/>
        <v>16747.2</v>
      </c>
      <c r="CL680" s="1317">
        <f t="shared" si="2096"/>
        <v>16747.2</v>
      </c>
      <c r="CM680" s="1316">
        <f t="shared" si="2096"/>
        <v>16747.2</v>
      </c>
      <c r="CN680" s="538" t="str">
        <f t="shared" si="2094"/>
        <v/>
      </c>
      <c r="CO680" s="539" t="str">
        <f t="shared" si="2094"/>
        <v/>
      </c>
      <c r="CP680" s="539" t="str">
        <f t="shared" si="2094"/>
        <v/>
      </c>
      <c r="CQ680" s="539">
        <f t="shared" si="2094"/>
        <v>16747.2</v>
      </c>
      <c r="CR680" s="539">
        <f t="shared" si="2094"/>
        <v>16747.2</v>
      </c>
      <c r="CS680" s="539">
        <f t="shared" si="2094"/>
        <v>16747.2</v>
      </c>
      <c r="CT680" s="540">
        <f t="shared" si="2094"/>
        <v>16747.2</v>
      </c>
      <c r="CU680" s="540">
        <f t="shared" si="2094"/>
        <v>16747.2</v>
      </c>
      <c r="CV680" s="540">
        <f t="shared" si="2094"/>
        <v>16747.2</v>
      </c>
      <c r="CW680" s="539">
        <f t="shared" si="2095"/>
        <v>16747.2</v>
      </c>
      <c r="CX680" s="539">
        <f t="shared" si="2095"/>
        <v>16747.2</v>
      </c>
      <c r="CY680" s="539">
        <f t="shared" si="2095"/>
        <v>16747.2</v>
      </c>
      <c r="CZ680" s="539">
        <f t="shared" si="2095"/>
        <v>16747.2</v>
      </c>
      <c r="DA680" s="539" t="str">
        <f t="shared" si="2095"/>
        <v/>
      </c>
      <c r="DB680" s="538" t="str">
        <f t="shared" si="2095"/>
        <v/>
      </c>
      <c r="DC680" s="537" t="str">
        <f t="shared" si="2095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227</v>
      </c>
      <c r="B681" s="621" t="str">
        <f t="shared" ref="B681:K681" si="2101">IF(B678="","",B678*B679*B680/B$46/365/$G$1)</f>
        <v/>
      </c>
      <c r="C681" s="621" t="str">
        <f t="shared" si="2101"/>
        <v/>
      </c>
      <c r="D681" s="621" t="str">
        <f t="shared" si="2101"/>
        <v/>
      </c>
      <c r="E681" s="621" t="str">
        <f t="shared" si="2101"/>
        <v/>
      </c>
      <c r="F681" s="621" t="str">
        <f t="shared" si="2101"/>
        <v/>
      </c>
      <c r="G681" s="621" t="str">
        <f t="shared" si="2101"/>
        <v/>
      </c>
      <c r="H681" s="621" t="str">
        <f t="shared" si="2101"/>
        <v/>
      </c>
      <c r="I681" s="621" t="str">
        <f t="shared" si="2101"/>
        <v/>
      </c>
      <c r="J681" s="621" t="str">
        <f t="shared" si="2101"/>
        <v/>
      </c>
      <c r="K681" s="621" t="str">
        <f t="shared" si="2101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102">IF(T678="","",T678*T679*T680/T$46/365/$G$1)</f>
        <v/>
      </c>
      <c r="U681" s="621" t="str">
        <f t="shared" si="2102"/>
        <v/>
      </c>
      <c r="V681" s="621" t="str">
        <f t="shared" si="2102"/>
        <v/>
      </c>
      <c r="W681" s="621" t="str">
        <f t="shared" si="2102"/>
        <v/>
      </c>
      <c r="X681" s="621" t="str">
        <f t="shared" si="2102"/>
        <v/>
      </c>
      <c r="Y681" s="621" t="str">
        <f t="shared" si="2102"/>
        <v/>
      </c>
      <c r="Z681" s="621" t="str">
        <f t="shared" si="2102"/>
        <v/>
      </c>
      <c r="AA681" s="621" t="str">
        <f t="shared" si="2102"/>
        <v/>
      </c>
      <c r="AB681" s="621" t="str">
        <f t="shared" si="2102"/>
        <v/>
      </c>
      <c r="AC681" s="621" t="str">
        <f t="shared" si="2102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103">IF(AL678="","",AL678*AL679*AL680/AL$46/365/$G$1)</f>
        <v/>
      </c>
      <c r="AM681" s="621" t="str">
        <f t="shared" si="2103"/>
        <v/>
      </c>
      <c r="AN681" s="621" t="str">
        <f t="shared" si="2103"/>
        <v/>
      </c>
      <c r="AO681" s="621" t="str">
        <f t="shared" si="2103"/>
        <v/>
      </c>
      <c r="AP681" s="621" t="str">
        <f t="shared" si="2103"/>
        <v/>
      </c>
      <c r="AQ681" s="621" t="str">
        <f t="shared" si="2103"/>
        <v/>
      </c>
      <c r="AR681" s="621" t="str">
        <f t="shared" si="2103"/>
        <v/>
      </c>
      <c r="AS681" s="621" t="str">
        <f t="shared" si="2103"/>
        <v/>
      </c>
      <c r="AT681" s="621">
        <f t="shared" si="2103"/>
        <v>2.0855790784557906E-3</v>
      </c>
      <c r="AU681" s="621" t="str">
        <f t="shared" si="2103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104">IF(BD678="","",BD678*BD679*BD680/BD$46/365/$G$1)</f>
        <v>8.6899128268991283E-3</v>
      </c>
      <c r="BE681" s="621" t="str">
        <f t="shared" si="2104"/>
        <v/>
      </c>
      <c r="BF681" s="621" t="str">
        <f t="shared" si="2104"/>
        <v/>
      </c>
      <c r="BG681" s="621" t="str">
        <f t="shared" si="2104"/>
        <v/>
      </c>
      <c r="BH681" s="621">
        <f t="shared" si="2104"/>
        <v>1.4219857353107664E-2</v>
      </c>
      <c r="BI681" s="621">
        <f t="shared" si="2104"/>
        <v>2.0855790784557911E-2</v>
      </c>
      <c r="BJ681" s="621" t="str">
        <f t="shared" si="2104"/>
        <v/>
      </c>
      <c r="BK681" s="621" t="str">
        <f t="shared" si="2104"/>
        <v/>
      </c>
      <c r="BL681" s="621" t="str">
        <f t="shared" si="2104"/>
        <v/>
      </c>
      <c r="BM681" s="621">
        <f t="shared" si="2104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52"/>
        <v/>
      </c>
      <c r="CA681" s="611" t="str">
        <f t="shared" si="2053"/>
        <v/>
      </c>
      <c r="CB681" s="611" t="str">
        <f t="shared" si="2054"/>
        <v/>
      </c>
      <c r="CC681" s="679">
        <f t="shared" si="2055"/>
        <v>1.4558425385324512E-2</v>
      </c>
      <c r="CD681" s="1319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0" t="str">
        <f t="shared" si="2096"/>
        <v/>
      </c>
      <c r="CF681" s="1320" t="str">
        <f t="shared" si="2096"/>
        <v/>
      </c>
      <c r="CG681" s="1320" t="str">
        <f t="shared" si="2096"/>
        <v/>
      </c>
      <c r="CH681" s="1321">
        <f t="shared" si="2096"/>
        <v>2.0855790784557906E-3</v>
      </c>
      <c r="CI681" s="1321" t="str">
        <f t="shared" si="2096"/>
        <v/>
      </c>
      <c r="CJ681" s="1320" t="str">
        <f t="shared" si="2096"/>
        <v/>
      </c>
      <c r="CK681" s="1320" t="str">
        <f t="shared" si="2096"/>
        <v/>
      </c>
      <c r="CL681" s="1320" t="str">
        <f t="shared" si="2096"/>
        <v/>
      </c>
      <c r="CM681" s="1319" t="str">
        <f t="shared" si="2096"/>
        <v/>
      </c>
      <c r="CN681" s="526" t="str">
        <f t="shared" si="2094"/>
        <v/>
      </c>
      <c r="CO681" s="527" t="str">
        <f t="shared" si="2094"/>
        <v/>
      </c>
      <c r="CP681" s="527" t="str">
        <f t="shared" si="2094"/>
        <v/>
      </c>
      <c r="CQ681" s="527" t="str">
        <f t="shared" si="2094"/>
        <v/>
      </c>
      <c r="CR681" s="527" t="str">
        <f t="shared" si="2094"/>
        <v/>
      </c>
      <c r="CS681" s="527" t="str">
        <f t="shared" si="2094"/>
        <v/>
      </c>
      <c r="CT681" s="528">
        <f t="shared" si="2094"/>
        <v>8.6899128268991283E-3</v>
      </c>
      <c r="CU681" s="528">
        <f t="shared" si="2094"/>
        <v>1.4219857353107664E-2</v>
      </c>
      <c r="CV681" s="528">
        <f t="shared" si="2094"/>
        <v>1.4896993417541363E-2</v>
      </c>
      <c r="CW681" s="527">
        <f t="shared" si="2095"/>
        <v>2.0855790784557911E-2</v>
      </c>
      <c r="CX681" s="527" t="str">
        <f t="shared" si="2095"/>
        <v/>
      </c>
      <c r="CY681" s="527" t="str">
        <f t="shared" si="2095"/>
        <v/>
      </c>
      <c r="CZ681" s="527" t="str">
        <f t="shared" si="2095"/>
        <v/>
      </c>
      <c r="DA681" s="527" t="str">
        <f t="shared" si="2095"/>
        <v/>
      </c>
      <c r="DB681" s="526" t="str">
        <f t="shared" si="2095"/>
        <v/>
      </c>
      <c r="DC681" s="525" t="str">
        <f t="shared" si="2095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309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2"/>
      <c r="CE682" s="1322"/>
      <c r="CF682" s="1322"/>
      <c r="CG682" s="1322"/>
      <c r="CH682" s="1322"/>
      <c r="CI682" s="1322"/>
      <c r="CJ682" s="1322"/>
      <c r="CK682" s="1322"/>
      <c r="CL682" s="1322"/>
      <c r="CM682" s="1322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293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16" t="str">
        <f t="shared" ref="CD683:CM683" si="210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7" t="str">
        <f t="shared" si="2105"/>
        <v/>
      </c>
      <c r="CF683" s="1317" t="str">
        <f t="shared" si="2105"/>
        <v/>
      </c>
      <c r="CG683" s="1317" t="str">
        <f t="shared" si="2105"/>
        <v/>
      </c>
      <c r="CH683" s="1318" t="str">
        <f t="shared" si="2105"/>
        <v/>
      </c>
      <c r="CI683" s="1318" t="str">
        <f t="shared" si="2105"/>
        <v/>
      </c>
      <c r="CJ683" s="1317" t="str">
        <f t="shared" si="2105"/>
        <v/>
      </c>
      <c r="CK683" s="1317" t="str">
        <f t="shared" si="2105"/>
        <v/>
      </c>
      <c r="CL683" s="1317" t="str">
        <f t="shared" si="2105"/>
        <v/>
      </c>
      <c r="CM683" s="1316" t="str">
        <f t="shared" si="2105"/>
        <v/>
      </c>
      <c r="CN683" s="538" t="str">
        <f t="shared" ref="CN683:CV686" si="2106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106"/>
        <v/>
      </c>
      <c r="CP683" s="539" t="str">
        <f t="shared" si="2106"/>
        <v/>
      </c>
      <c r="CQ683" s="539" t="str">
        <f t="shared" si="2106"/>
        <v/>
      </c>
      <c r="CR683" s="539" t="str">
        <f t="shared" si="2106"/>
        <v/>
      </c>
      <c r="CS683" s="539" t="str">
        <f t="shared" si="2106"/>
        <v/>
      </c>
      <c r="CT683" s="540" t="str">
        <f t="shared" si="2106"/>
        <v/>
      </c>
      <c r="CU683" s="540" t="str">
        <f t="shared" si="2106"/>
        <v/>
      </c>
      <c r="CV683" s="540" t="str">
        <f t="shared" si="2106"/>
        <v/>
      </c>
      <c r="CW683" s="539" t="str">
        <f t="shared" ref="CW683:DC686" si="2107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107"/>
        <v/>
      </c>
      <c r="CY683" s="539" t="str">
        <f t="shared" si="2107"/>
        <v/>
      </c>
      <c r="CZ683" s="539" t="str">
        <f t="shared" si="2107"/>
        <v/>
      </c>
      <c r="DA683" s="539" t="str">
        <f t="shared" si="2107"/>
        <v/>
      </c>
      <c r="DB683" s="538" t="str">
        <f t="shared" si="2107"/>
        <v/>
      </c>
      <c r="DC683" s="537" t="str">
        <f t="shared" si="2107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289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1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7" t="str">
        <f t="shared" ref="CE684:CM686" si="210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7" t="str">
        <f t="shared" si="2108"/>
        <v/>
      </c>
      <c r="CG684" s="1317" t="str">
        <f t="shared" si="2108"/>
        <v/>
      </c>
      <c r="CH684" s="1318" t="str">
        <f t="shared" si="2108"/>
        <v/>
      </c>
      <c r="CI684" s="1318" t="str">
        <f t="shared" si="2108"/>
        <v/>
      </c>
      <c r="CJ684" s="1317" t="str">
        <f t="shared" si="2108"/>
        <v/>
      </c>
      <c r="CK684" s="1317" t="str">
        <f t="shared" si="2108"/>
        <v/>
      </c>
      <c r="CL684" s="1317" t="str">
        <f t="shared" si="2108"/>
        <v/>
      </c>
      <c r="CM684" s="1316" t="str">
        <f t="shared" si="2108"/>
        <v/>
      </c>
      <c r="CN684" s="538" t="str">
        <f t="shared" si="2106"/>
        <v/>
      </c>
      <c r="CO684" s="539" t="str">
        <f t="shared" si="2106"/>
        <v/>
      </c>
      <c r="CP684" s="539" t="str">
        <f t="shared" si="2106"/>
        <v/>
      </c>
      <c r="CQ684" s="539" t="str">
        <f t="shared" si="2106"/>
        <v/>
      </c>
      <c r="CR684" s="539" t="str">
        <f t="shared" si="2106"/>
        <v/>
      </c>
      <c r="CS684" s="539" t="str">
        <f t="shared" si="2106"/>
        <v/>
      </c>
      <c r="CT684" s="540" t="str">
        <f t="shared" si="2106"/>
        <v/>
      </c>
      <c r="CU684" s="540" t="str">
        <f t="shared" si="2106"/>
        <v/>
      </c>
      <c r="CV684" s="540" t="str">
        <f t="shared" si="2106"/>
        <v/>
      </c>
      <c r="CW684" s="539" t="str">
        <f t="shared" si="2107"/>
        <v/>
      </c>
      <c r="CX684" s="539" t="str">
        <f t="shared" si="2107"/>
        <v/>
      </c>
      <c r="CY684" s="539" t="str">
        <f t="shared" si="2107"/>
        <v/>
      </c>
      <c r="CZ684" s="539" t="str">
        <f t="shared" si="2107"/>
        <v/>
      </c>
      <c r="DA684" s="539" t="str">
        <f t="shared" si="2107"/>
        <v/>
      </c>
      <c r="DB684" s="538" t="str">
        <f t="shared" si="2107"/>
        <v/>
      </c>
      <c r="DC684" s="537" t="str">
        <f t="shared" si="2107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284</v>
      </c>
      <c r="B685" s="747">
        <f>2020*$K$1</f>
        <v>8457.3359999999993</v>
      </c>
      <c r="C685" s="747">
        <f t="shared" ref="C685:K685" si="2109">2020*$K$1</f>
        <v>8457.3359999999993</v>
      </c>
      <c r="D685" s="747">
        <f t="shared" si="2109"/>
        <v>8457.3359999999993</v>
      </c>
      <c r="E685" s="747">
        <f t="shared" si="2109"/>
        <v>8457.3359999999993</v>
      </c>
      <c r="F685" s="747">
        <f t="shared" si="2109"/>
        <v>8457.3359999999993</v>
      </c>
      <c r="G685" s="747">
        <f t="shared" si="2109"/>
        <v>8457.3359999999993</v>
      </c>
      <c r="H685" s="747">
        <f t="shared" si="2109"/>
        <v>8457.3359999999993</v>
      </c>
      <c r="I685" s="747">
        <f t="shared" si="2109"/>
        <v>8457.3359999999993</v>
      </c>
      <c r="J685" s="747">
        <f t="shared" si="2109"/>
        <v>8457.3359999999993</v>
      </c>
      <c r="K685" s="747">
        <f t="shared" si="2109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110">2020*$K$1</f>
        <v>8457.3359999999993</v>
      </c>
      <c r="V685" s="747">
        <f t="shared" si="2110"/>
        <v>8457.3359999999993</v>
      </c>
      <c r="W685" s="747">
        <f t="shared" si="2110"/>
        <v>8457.3359999999993</v>
      </c>
      <c r="X685" s="747">
        <f t="shared" si="2110"/>
        <v>8457.3359999999993</v>
      </c>
      <c r="Y685" s="747">
        <f t="shared" si="2110"/>
        <v>8457.3359999999993</v>
      </c>
      <c r="Z685" s="747">
        <f t="shared" si="2110"/>
        <v>8457.3359999999993</v>
      </c>
      <c r="AA685" s="747">
        <f t="shared" si="2110"/>
        <v>8457.3359999999993</v>
      </c>
      <c r="AB685" s="747">
        <f t="shared" si="2110"/>
        <v>8457.3359999999993</v>
      </c>
      <c r="AC685" s="747">
        <f t="shared" si="2110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111">2020*$K$1</f>
        <v>8457.3359999999993</v>
      </c>
      <c r="AN685" s="747">
        <f t="shared" si="2111"/>
        <v>8457.3359999999993</v>
      </c>
      <c r="AO685" s="747">
        <f t="shared" si="2111"/>
        <v>8457.3359999999993</v>
      </c>
      <c r="AP685" s="747">
        <f t="shared" si="2111"/>
        <v>8457.3359999999993</v>
      </c>
      <c r="AQ685" s="747">
        <f t="shared" si="2111"/>
        <v>8457.3359999999993</v>
      </c>
      <c r="AR685" s="747">
        <f t="shared" si="2111"/>
        <v>8457.3359999999993</v>
      </c>
      <c r="AS685" s="747">
        <f t="shared" si="2111"/>
        <v>8457.3359999999993</v>
      </c>
      <c r="AT685" s="747">
        <f t="shared" si="2111"/>
        <v>8457.3359999999993</v>
      </c>
      <c r="AU685" s="747">
        <f t="shared" si="2111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112">2020*$K$1</f>
        <v>8457.3359999999993</v>
      </c>
      <c r="BF685" s="747">
        <f t="shared" si="2112"/>
        <v>8457.3359999999993</v>
      </c>
      <c r="BG685" s="747">
        <f t="shared" si="2112"/>
        <v>8457.3359999999993</v>
      </c>
      <c r="BH685" s="747">
        <f t="shared" si="2112"/>
        <v>8457.3359999999993</v>
      </c>
      <c r="BI685" s="747">
        <f t="shared" si="2112"/>
        <v>8457.3359999999993</v>
      </c>
      <c r="BJ685" s="747">
        <f t="shared" si="2112"/>
        <v>8457.3359999999993</v>
      </c>
      <c r="BK685" s="747">
        <f t="shared" si="2112"/>
        <v>8457.3359999999993</v>
      </c>
      <c r="BL685" s="747">
        <f t="shared" si="2112"/>
        <v>8457.3359999999993</v>
      </c>
      <c r="BM685" s="747">
        <f t="shared" si="2112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112"/>
        <v>8457.3359999999993</v>
      </c>
      <c r="BW685" s="747">
        <f t="shared" si="2112"/>
        <v>8457.3359999999993</v>
      </c>
      <c r="BX685" s="747">
        <f t="shared" si="2112"/>
        <v>8457.3359999999993</v>
      </c>
      <c r="BY685" s="747">
        <f t="shared" si="2112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1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7">
        <f t="shared" si="2108"/>
        <v>8457.3359999999993</v>
      </c>
      <c r="CF685" s="1317">
        <f t="shared" si="2108"/>
        <v>8457.3359999999993</v>
      </c>
      <c r="CG685" s="1317">
        <f t="shared" si="2108"/>
        <v>8457.3359999999993</v>
      </c>
      <c r="CH685" s="1318">
        <f t="shared" si="2108"/>
        <v>8457.3359999999993</v>
      </c>
      <c r="CI685" s="1318">
        <f t="shared" si="2108"/>
        <v>8457.3359999999993</v>
      </c>
      <c r="CJ685" s="1317">
        <f t="shared" si="2108"/>
        <v>8457.3359999999993</v>
      </c>
      <c r="CK685" s="1317">
        <f t="shared" si="2108"/>
        <v>8457.3359999999993</v>
      </c>
      <c r="CL685" s="1317">
        <f t="shared" si="2108"/>
        <v>8457.3359999999993</v>
      </c>
      <c r="CM685" s="1316">
        <f t="shared" si="2108"/>
        <v>8457.3359999999993</v>
      </c>
      <c r="CN685" s="538" t="str">
        <f t="shared" si="2106"/>
        <v/>
      </c>
      <c r="CO685" s="539" t="str">
        <f t="shared" si="2106"/>
        <v/>
      </c>
      <c r="CP685" s="539" t="str">
        <f t="shared" si="2106"/>
        <v/>
      </c>
      <c r="CQ685" s="539">
        <f t="shared" si="2106"/>
        <v>8457.3359999999993</v>
      </c>
      <c r="CR685" s="539">
        <f t="shared" si="2106"/>
        <v>8457.3359999999993</v>
      </c>
      <c r="CS685" s="539">
        <f t="shared" si="2106"/>
        <v>8457.3359999999993</v>
      </c>
      <c r="CT685" s="540">
        <f t="shared" si="2106"/>
        <v>8457.3359999999993</v>
      </c>
      <c r="CU685" s="540">
        <f t="shared" si="2106"/>
        <v>8457.3359999999993</v>
      </c>
      <c r="CV685" s="540">
        <f t="shared" si="2106"/>
        <v>8457.3359999999993</v>
      </c>
      <c r="CW685" s="539">
        <f t="shared" si="2107"/>
        <v>8457.3359999999993</v>
      </c>
      <c r="CX685" s="539">
        <f t="shared" si="2107"/>
        <v>8457.3359999999993</v>
      </c>
      <c r="CY685" s="539">
        <f t="shared" si="2107"/>
        <v>8457.3359999999993</v>
      </c>
      <c r="CZ685" s="539">
        <f t="shared" si="2107"/>
        <v>8457.3359999999993</v>
      </c>
      <c r="DA685" s="539" t="str">
        <f t="shared" si="2107"/>
        <v/>
      </c>
      <c r="DB685" s="538" t="str">
        <f t="shared" si="2107"/>
        <v/>
      </c>
      <c r="DC685" s="537" t="str">
        <f t="shared" si="2107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227</v>
      </c>
      <c r="B686" s="621" t="str">
        <f t="shared" ref="B686:K686" si="2113">IF(B683="","",B683*B684*B685/B$46/365/$G$1)</f>
        <v/>
      </c>
      <c r="C686" s="621" t="str">
        <f t="shared" si="2113"/>
        <v/>
      </c>
      <c r="D686" s="621" t="str">
        <f t="shared" si="2113"/>
        <v/>
      </c>
      <c r="E686" s="621" t="str">
        <f t="shared" si="2113"/>
        <v/>
      </c>
      <c r="F686" s="621" t="str">
        <f t="shared" si="2113"/>
        <v/>
      </c>
      <c r="G686" s="621" t="str">
        <f t="shared" si="2113"/>
        <v/>
      </c>
      <c r="H686" s="621" t="str">
        <f t="shared" si="2113"/>
        <v/>
      </c>
      <c r="I686" s="621" t="str">
        <f t="shared" si="2113"/>
        <v/>
      </c>
      <c r="J686" s="621" t="str">
        <f t="shared" si="2113"/>
        <v/>
      </c>
      <c r="K686" s="621" t="str">
        <f t="shared" si="2113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114">IF(T683="","",T683*T684*T685/T$46/365/$G$1)</f>
        <v/>
      </c>
      <c r="U686" s="621" t="str">
        <f t="shared" si="2114"/>
        <v/>
      </c>
      <c r="V686" s="621" t="str">
        <f t="shared" si="2114"/>
        <v/>
      </c>
      <c r="W686" s="621" t="str">
        <f t="shared" si="2114"/>
        <v/>
      </c>
      <c r="X686" s="621" t="str">
        <f t="shared" si="2114"/>
        <v/>
      </c>
      <c r="Y686" s="621" t="str">
        <f t="shared" si="2114"/>
        <v/>
      </c>
      <c r="Z686" s="621" t="str">
        <f t="shared" si="2114"/>
        <v/>
      </c>
      <c r="AA686" s="621" t="str">
        <f t="shared" si="2114"/>
        <v/>
      </c>
      <c r="AB686" s="621" t="str">
        <f t="shared" si="2114"/>
        <v/>
      </c>
      <c r="AC686" s="621" t="str">
        <f t="shared" si="2114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115">IF(AL683="","",AL683*AL684*AL685/AL$46/365/$G$1)</f>
        <v/>
      </c>
      <c r="AM686" s="621" t="str">
        <f t="shared" si="2115"/>
        <v/>
      </c>
      <c r="AN686" s="621" t="str">
        <f t="shared" si="2115"/>
        <v/>
      </c>
      <c r="AO686" s="621" t="str">
        <f t="shared" si="2115"/>
        <v/>
      </c>
      <c r="AP686" s="621" t="str">
        <f t="shared" si="2115"/>
        <v/>
      </c>
      <c r="AQ686" s="621" t="str">
        <f t="shared" si="2115"/>
        <v/>
      </c>
      <c r="AR686" s="621" t="str">
        <f t="shared" si="2115"/>
        <v/>
      </c>
      <c r="AS686" s="621" t="str">
        <f t="shared" si="2115"/>
        <v/>
      </c>
      <c r="AT686" s="621" t="str">
        <f t="shared" si="2115"/>
        <v/>
      </c>
      <c r="AU686" s="621" t="str">
        <f t="shared" si="2115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116">IF(BD683="","",BD683*BD684*BD685/BD$46/365/$G$1)</f>
        <v/>
      </c>
      <c r="BE686" s="621" t="str">
        <f t="shared" si="2116"/>
        <v/>
      </c>
      <c r="BF686" s="621" t="str">
        <f t="shared" si="2116"/>
        <v/>
      </c>
      <c r="BG686" s="621" t="str">
        <f t="shared" si="2116"/>
        <v/>
      </c>
      <c r="BH686" s="621" t="str">
        <f t="shared" si="2116"/>
        <v/>
      </c>
      <c r="BI686" s="621" t="str">
        <f t="shared" si="2116"/>
        <v/>
      </c>
      <c r="BJ686" s="621" t="str">
        <f t="shared" si="2116"/>
        <v/>
      </c>
      <c r="BK686" s="621" t="str">
        <f t="shared" si="2116"/>
        <v/>
      </c>
      <c r="BL686" s="621" t="str">
        <f t="shared" si="2116"/>
        <v/>
      </c>
      <c r="BM686" s="621" t="str">
        <f t="shared" si="2116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19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0" t="str">
        <f t="shared" si="2108"/>
        <v/>
      </c>
      <c r="CF686" s="1320" t="str">
        <f t="shared" si="2108"/>
        <v/>
      </c>
      <c r="CG686" s="1320" t="str">
        <f t="shared" si="2108"/>
        <v/>
      </c>
      <c r="CH686" s="1321" t="str">
        <f t="shared" si="2108"/>
        <v/>
      </c>
      <c r="CI686" s="1321" t="str">
        <f t="shared" si="2108"/>
        <v/>
      </c>
      <c r="CJ686" s="1320" t="str">
        <f t="shared" si="2108"/>
        <v/>
      </c>
      <c r="CK686" s="1320" t="str">
        <f t="shared" si="2108"/>
        <v/>
      </c>
      <c r="CL686" s="1320" t="str">
        <f t="shared" si="2108"/>
        <v/>
      </c>
      <c r="CM686" s="1319" t="str">
        <f t="shared" si="2108"/>
        <v/>
      </c>
      <c r="CN686" s="526" t="str">
        <f t="shared" si="2106"/>
        <v/>
      </c>
      <c r="CO686" s="527" t="str">
        <f t="shared" si="2106"/>
        <v/>
      </c>
      <c r="CP686" s="527" t="str">
        <f t="shared" si="2106"/>
        <v/>
      </c>
      <c r="CQ686" s="527" t="str">
        <f t="shared" si="2106"/>
        <v/>
      </c>
      <c r="CR686" s="527" t="str">
        <f t="shared" si="2106"/>
        <v/>
      </c>
      <c r="CS686" s="527" t="str">
        <f t="shared" si="2106"/>
        <v/>
      </c>
      <c r="CT686" s="528" t="str">
        <f t="shared" si="2106"/>
        <v/>
      </c>
      <c r="CU686" s="528" t="str">
        <f t="shared" si="2106"/>
        <v/>
      </c>
      <c r="CV686" s="528" t="str">
        <f t="shared" si="2106"/>
        <v/>
      </c>
      <c r="CW686" s="527" t="str">
        <f t="shared" si="2107"/>
        <v/>
      </c>
      <c r="CX686" s="527" t="str">
        <f t="shared" si="2107"/>
        <v/>
      </c>
      <c r="CY686" s="527" t="str">
        <f t="shared" si="2107"/>
        <v/>
      </c>
      <c r="CZ686" s="527" t="str">
        <f t="shared" si="2107"/>
        <v/>
      </c>
      <c r="DA686" s="527" t="str">
        <f t="shared" si="2107"/>
        <v/>
      </c>
      <c r="DB686" s="526" t="str">
        <f t="shared" si="2107"/>
        <v/>
      </c>
      <c r="DC686" s="525" t="str">
        <f t="shared" si="2107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310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24"/>
      <c r="CE687" s="1324"/>
      <c r="CF687" s="1324"/>
      <c r="CG687" s="1324"/>
      <c r="CH687" s="1324"/>
      <c r="CI687" s="1324"/>
      <c r="CJ687" s="1324"/>
      <c r="CK687" s="1324"/>
      <c r="CL687" s="1324"/>
      <c r="CM687" s="1324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293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16" t="str">
        <f t="shared" ref="CD688:CM688" si="211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7" t="str">
        <f t="shared" si="2117"/>
        <v/>
      </c>
      <c r="CF688" s="1317">
        <f t="shared" si="2117"/>
        <v>8</v>
      </c>
      <c r="CG688" s="1317">
        <f t="shared" si="2117"/>
        <v>10</v>
      </c>
      <c r="CH688" s="1318">
        <f t="shared" si="2117"/>
        <v>10</v>
      </c>
      <c r="CI688" s="1318">
        <f t="shared" si="2117"/>
        <v>38</v>
      </c>
      <c r="CJ688" s="1317">
        <f t="shared" si="2117"/>
        <v>40</v>
      </c>
      <c r="CK688" s="1317">
        <f t="shared" si="2117"/>
        <v>75</v>
      </c>
      <c r="CL688" s="1317" t="str">
        <f t="shared" si="2117"/>
        <v/>
      </c>
      <c r="CM688" s="1316" t="str">
        <f t="shared" si="2117"/>
        <v/>
      </c>
      <c r="CN688" s="538" t="str">
        <f t="shared" ref="CN688:CV691" si="2118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118"/>
        <v/>
      </c>
      <c r="CP688" s="539" t="str">
        <f t="shared" si="2118"/>
        <v/>
      </c>
      <c r="CQ688" s="539" t="str">
        <f t="shared" si="2118"/>
        <v/>
      </c>
      <c r="CR688" s="539">
        <f t="shared" si="2118"/>
        <v>0</v>
      </c>
      <c r="CS688" s="539">
        <f t="shared" si="2118"/>
        <v>40</v>
      </c>
      <c r="CT688" s="540">
        <f t="shared" si="2118"/>
        <v>50</v>
      </c>
      <c r="CU688" s="540">
        <f t="shared" si="2118"/>
        <v>50</v>
      </c>
      <c r="CV688" s="540">
        <f t="shared" si="2118"/>
        <v>100</v>
      </c>
      <c r="CW688" s="539">
        <f t="shared" ref="CW688:DC691" si="2119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119"/>
        <v>150</v>
      </c>
      <c r="CY688" s="539" t="str">
        <f t="shared" si="2119"/>
        <v/>
      </c>
      <c r="CZ688" s="539" t="str">
        <f t="shared" si="2119"/>
        <v/>
      </c>
      <c r="DA688" s="539" t="str">
        <f t="shared" si="2119"/>
        <v/>
      </c>
      <c r="DB688" s="538" t="str">
        <f t="shared" si="2119"/>
        <v/>
      </c>
      <c r="DC688" s="537" t="str">
        <f t="shared" si="2119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289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1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7" t="str">
        <f t="shared" ref="CE689:CM691" si="2120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7">
        <f t="shared" si="2120"/>
        <v>1</v>
      </c>
      <c r="CG689" s="1317">
        <f t="shared" si="2120"/>
        <v>1</v>
      </c>
      <c r="CH689" s="1318">
        <f t="shared" si="2120"/>
        <v>1</v>
      </c>
      <c r="CI689" s="1318">
        <f t="shared" si="2120"/>
        <v>1</v>
      </c>
      <c r="CJ689" s="1317">
        <f t="shared" si="2120"/>
        <v>1</v>
      </c>
      <c r="CK689" s="1317">
        <f t="shared" si="2120"/>
        <v>1</v>
      </c>
      <c r="CL689" s="1317" t="str">
        <f t="shared" si="2120"/>
        <v/>
      </c>
      <c r="CM689" s="1316" t="str">
        <f t="shared" si="2120"/>
        <v/>
      </c>
      <c r="CN689" s="538" t="str">
        <f t="shared" si="2118"/>
        <v/>
      </c>
      <c r="CO689" s="539" t="str">
        <f t="shared" si="2118"/>
        <v/>
      </c>
      <c r="CP689" s="539" t="str">
        <f t="shared" si="2118"/>
        <v/>
      </c>
      <c r="CQ689" s="539" t="str">
        <f t="shared" si="2118"/>
        <v/>
      </c>
      <c r="CR689" s="539" t="str">
        <f t="shared" si="2118"/>
        <v/>
      </c>
      <c r="CS689" s="539">
        <f t="shared" si="2118"/>
        <v>1</v>
      </c>
      <c r="CT689" s="540">
        <f t="shared" si="2118"/>
        <v>1</v>
      </c>
      <c r="CU689" s="540">
        <f t="shared" si="2118"/>
        <v>1</v>
      </c>
      <c r="CV689" s="540">
        <f t="shared" si="2118"/>
        <v>1</v>
      </c>
      <c r="CW689" s="539">
        <f t="shared" si="2119"/>
        <v>1</v>
      </c>
      <c r="CX689" s="539">
        <f t="shared" si="2119"/>
        <v>1</v>
      </c>
      <c r="CY689" s="539" t="str">
        <f t="shared" si="2119"/>
        <v/>
      </c>
      <c r="CZ689" s="539" t="str">
        <f t="shared" si="2119"/>
        <v/>
      </c>
      <c r="DA689" s="539" t="str">
        <f t="shared" si="2119"/>
        <v/>
      </c>
      <c r="DB689" s="538" t="str">
        <f t="shared" si="2119"/>
        <v/>
      </c>
      <c r="DC689" s="537" t="str">
        <f t="shared" si="2119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284</v>
      </c>
      <c r="B690" s="747">
        <f>3620*$K$1</f>
        <v>15156.216</v>
      </c>
      <c r="C690" s="747">
        <f t="shared" ref="C690:K690" si="2121">3620*$K$1</f>
        <v>15156.216</v>
      </c>
      <c r="D690" s="747">
        <f t="shared" si="2121"/>
        <v>15156.216</v>
      </c>
      <c r="E690" s="747">
        <f t="shared" si="2121"/>
        <v>15156.216</v>
      </c>
      <c r="F690" s="747">
        <f t="shared" si="2121"/>
        <v>15156.216</v>
      </c>
      <c r="G690" s="747">
        <f t="shared" si="2121"/>
        <v>15156.216</v>
      </c>
      <c r="H690" s="747">
        <f t="shared" si="2121"/>
        <v>15156.216</v>
      </c>
      <c r="I690" s="747">
        <f t="shared" si="2121"/>
        <v>15156.216</v>
      </c>
      <c r="J690" s="747">
        <f t="shared" si="2121"/>
        <v>15156.216</v>
      </c>
      <c r="K690" s="747">
        <f t="shared" si="2121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122">3620*$K$1</f>
        <v>15156.216</v>
      </c>
      <c r="V690" s="747">
        <f t="shared" si="2122"/>
        <v>15156.216</v>
      </c>
      <c r="W690" s="747">
        <f t="shared" si="2122"/>
        <v>15156.216</v>
      </c>
      <c r="X690" s="747">
        <f t="shared" si="2122"/>
        <v>15156.216</v>
      </c>
      <c r="Y690" s="747">
        <f t="shared" si="2122"/>
        <v>15156.216</v>
      </c>
      <c r="Z690" s="747">
        <f t="shared" si="2122"/>
        <v>15156.216</v>
      </c>
      <c r="AA690" s="747">
        <f t="shared" si="2122"/>
        <v>15156.216</v>
      </c>
      <c r="AB690" s="747">
        <f t="shared" si="2122"/>
        <v>15156.216</v>
      </c>
      <c r="AC690" s="747">
        <f t="shared" si="2122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123">3620*$K$1</f>
        <v>15156.216</v>
      </c>
      <c r="AN690" s="747">
        <f t="shared" si="2123"/>
        <v>15156.216</v>
      </c>
      <c r="AO690" s="747">
        <f t="shared" si="2123"/>
        <v>15156.216</v>
      </c>
      <c r="AP690" s="747">
        <f t="shared" si="2123"/>
        <v>15156.216</v>
      </c>
      <c r="AQ690" s="747">
        <f t="shared" si="2123"/>
        <v>15156.216</v>
      </c>
      <c r="AR690" s="747">
        <f t="shared" si="2123"/>
        <v>15156.216</v>
      </c>
      <c r="AS690" s="747">
        <f t="shared" si="2123"/>
        <v>15156.216</v>
      </c>
      <c r="AT690" s="747">
        <f t="shared" si="2123"/>
        <v>15156.216</v>
      </c>
      <c r="AU690" s="747">
        <f t="shared" si="2123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124">3620*$K$1</f>
        <v>15156.216</v>
      </c>
      <c r="BF690" s="747">
        <f t="shared" si="2124"/>
        <v>15156.216</v>
      </c>
      <c r="BG690" s="747">
        <f t="shared" si="2124"/>
        <v>15156.216</v>
      </c>
      <c r="BH690" s="747">
        <f t="shared" si="2124"/>
        <v>15156.216</v>
      </c>
      <c r="BI690" s="747">
        <f t="shared" si="2124"/>
        <v>15156.216</v>
      </c>
      <c r="BJ690" s="747">
        <f t="shared" si="2124"/>
        <v>15156.216</v>
      </c>
      <c r="BK690" s="747">
        <f t="shared" si="2124"/>
        <v>15156.216</v>
      </c>
      <c r="BL690" s="747">
        <f t="shared" si="2124"/>
        <v>15156.216</v>
      </c>
      <c r="BM690" s="747">
        <f t="shared" si="2124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124"/>
        <v>15156.216</v>
      </c>
      <c r="BW690" s="747">
        <f t="shared" si="2124"/>
        <v>15156.216</v>
      </c>
      <c r="BX690" s="747">
        <f t="shared" si="2124"/>
        <v>15156.216</v>
      </c>
      <c r="BY690" s="747">
        <f t="shared" si="2124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1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7">
        <f t="shared" si="2120"/>
        <v>15156.216</v>
      </c>
      <c r="CF690" s="1317">
        <f t="shared" si="2120"/>
        <v>15156.216</v>
      </c>
      <c r="CG690" s="1317">
        <f t="shared" si="2120"/>
        <v>15156.216</v>
      </c>
      <c r="CH690" s="1318">
        <f t="shared" si="2120"/>
        <v>15156.216</v>
      </c>
      <c r="CI690" s="1318">
        <f t="shared" si="2120"/>
        <v>15156.216</v>
      </c>
      <c r="CJ690" s="1317">
        <f t="shared" si="2120"/>
        <v>15156.216</v>
      </c>
      <c r="CK690" s="1317">
        <f t="shared" si="2120"/>
        <v>15156.216</v>
      </c>
      <c r="CL690" s="1317">
        <f t="shared" si="2120"/>
        <v>15156.216</v>
      </c>
      <c r="CM690" s="1316">
        <f t="shared" si="2120"/>
        <v>15156.216</v>
      </c>
      <c r="CN690" s="538" t="str">
        <f t="shared" si="2118"/>
        <v/>
      </c>
      <c r="CO690" s="539" t="str">
        <f t="shared" si="2118"/>
        <v/>
      </c>
      <c r="CP690" s="539" t="str">
        <f t="shared" si="2118"/>
        <v/>
      </c>
      <c r="CQ690" s="539">
        <f t="shared" si="2118"/>
        <v>15156.216</v>
      </c>
      <c r="CR690" s="539">
        <f t="shared" si="2118"/>
        <v>15156.216</v>
      </c>
      <c r="CS690" s="539">
        <f t="shared" si="2118"/>
        <v>15156.216</v>
      </c>
      <c r="CT690" s="540">
        <f t="shared" si="2118"/>
        <v>15156.216</v>
      </c>
      <c r="CU690" s="540">
        <f t="shared" si="2118"/>
        <v>15156.216</v>
      </c>
      <c r="CV690" s="540">
        <f t="shared" si="2118"/>
        <v>15156.216</v>
      </c>
      <c r="CW690" s="539">
        <f t="shared" si="2119"/>
        <v>15156.216</v>
      </c>
      <c r="CX690" s="539">
        <f t="shared" si="2119"/>
        <v>15156.216</v>
      </c>
      <c r="CY690" s="539">
        <f t="shared" si="2119"/>
        <v>15156.216</v>
      </c>
      <c r="CZ690" s="539">
        <f t="shared" si="2119"/>
        <v>15156.216</v>
      </c>
      <c r="DA690" s="539" t="str">
        <f t="shared" si="2119"/>
        <v/>
      </c>
      <c r="DB690" s="538" t="str">
        <f t="shared" si="2119"/>
        <v/>
      </c>
      <c r="DC690" s="537" t="str">
        <f t="shared" si="2119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227</v>
      </c>
      <c r="B691" s="621" t="str">
        <f t="shared" ref="B691:K691" si="2125">IF(B688="","",B688*B689*B690/B$46/365/$G$1)</f>
        <v/>
      </c>
      <c r="C691" s="621" t="str">
        <f t="shared" si="2125"/>
        <v/>
      </c>
      <c r="D691" s="621" t="str">
        <f t="shared" si="2125"/>
        <v/>
      </c>
      <c r="E691" s="621" t="str">
        <f t="shared" si="2125"/>
        <v/>
      </c>
      <c r="F691" s="621" t="str">
        <f t="shared" si="2125"/>
        <v/>
      </c>
      <c r="G691" s="621" t="str">
        <f t="shared" si="2125"/>
        <v/>
      </c>
      <c r="H691" s="621" t="str">
        <f t="shared" si="2125"/>
        <v/>
      </c>
      <c r="I691" s="621" t="str">
        <f t="shared" si="2125"/>
        <v/>
      </c>
      <c r="J691" s="621" t="str">
        <f t="shared" si="2125"/>
        <v/>
      </c>
      <c r="K691" s="621" t="str">
        <f t="shared" si="2125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126">IF(T688="","",T688*T689*T690/T$46/365/$G$1)</f>
        <v/>
      </c>
      <c r="U691" s="621" t="str">
        <f t="shared" si="2126"/>
        <v/>
      </c>
      <c r="V691" s="621" t="str">
        <f t="shared" si="2126"/>
        <v/>
      </c>
      <c r="W691" s="621" t="str">
        <f t="shared" si="2126"/>
        <v/>
      </c>
      <c r="X691" s="621" t="str">
        <f t="shared" si="2126"/>
        <v/>
      </c>
      <c r="Y691" s="621" t="str">
        <f t="shared" si="2126"/>
        <v/>
      </c>
      <c r="Z691" s="621" t="str">
        <f t="shared" si="2126"/>
        <v/>
      </c>
      <c r="AA691" s="621" t="str">
        <f t="shared" si="2126"/>
        <v/>
      </c>
      <c r="AB691" s="621" t="str">
        <f t="shared" si="2126"/>
        <v/>
      </c>
      <c r="AC691" s="621" t="str">
        <f t="shared" si="2126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127">IF(AL688="","",AL688*AL689*AL690/AL$46/365/$G$1)</f>
        <v/>
      </c>
      <c r="AM691" s="621">
        <f t="shared" si="2127"/>
        <v>2.2413457658779577E-2</v>
      </c>
      <c r="AN691" s="621">
        <f t="shared" si="2127"/>
        <v>9.4372453300124535E-3</v>
      </c>
      <c r="AO691" s="621" t="str">
        <f t="shared" si="2127"/>
        <v/>
      </c>
      <c r="AP691" s="621" t="str">
        <f t="shared" si="2127"/>
        <v/>
      </c>
      <c r="AQ691" s="621">
        <f t="shared" si="2127"/>
        <v>7.5497962640099624E-3</v>
      </c>
      <c r="AR691" s="621">
        <f t="shared" si="2127"/>
        <v>2.6963558085749864E-2</v>
      </c>
      <c r="AS691" s="621" t="str">
        <f t="shared" si="2127"/>
        <v/>
      </c>
      <c r="AT691" s="621">
        <f t="shared" si="2127"/>
        <v>9.4372453300124535E-3</v>
      </c>
      <c r="AU691" s="621">
        <f t="shared" si="2127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128">IF(BD688="","",BD688*BD689*BD690/BD$46/365/$G$1)</f>
        <v>1.5728742216687422E-2</v>
      </c>
      <c r="BE691" s="621">
        <f t="shared" si="2128"/>
        <v>8.8474174968866753E-2</v>
      </c>
      <c r="BF691" s="621">
        <f t="shared" si="2128"/>
        <v>0</v>
      </c>
      <c r="BG691" s="621">
        <f t="shared" si="2128"/>
        <v>6.7408895214374667E-2</v>
      </c>
      <c r="BH691" s="621">
        <f t="shared" si="2128"/>
        <v>2.1448284840937398E-2</v>
      </c>
      <c r="BI691" s="621">
        <f t="shared" si="2128"/>
        <v>4.7186226650062273E-2</v>
      </c>
      <c r="BJ691" s="621" t="str">
        <f t="shared" si="2128"/>
        <v/>
      </c>
      <c r="BK691" s="621" t="str">
        <f t="shared" si="2128"/>
        <v/>
      </c>
      <c r="BL691" s="621" t="str">
        <f t="shared" si="2128"/>
        <v/>
      </c>
      <c r="BM691" s="621">
        <f t="shared" si="2128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19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0" t="str">
        <f t="shared" si="2120"/>
        <v/>
      </c>
      <c r="CF691" s="1320">
        <f t="shared" si="2120"/>
        <v>7.5497962640099624E-3</v>
      </c>
      <c r="CG691" s="1320">
        <f t="shared" si="2120"/>
        <v>9.4372453300124535E-3</v>
      </c>
      <c r="CH691" s="1321">
        <f t="shared" si="2120"/>
        <v>9.4372453300124535E-3</v>
      </c>
      <c r="CI691" s="1321">
        <f t="shared" si="2120"/>
        <v>2.2413457658779577E-2</v>
      </c>
      <c r="CJ691" s="1320">
        <f t="shared" si="2120"/>
        <v>2.6963558085749864E-2</v>
      </c>
      <c r="CK691" s="1320">
        <f t="shared" si="2120"/>
        <v>3.5389669987546703E-2</v>
      </c>
      <c r="CL691" s="1320" t="str">
        <f t="shared" si="2120"/>
        <v/>
      </c>
      <c r="CM691" s="1319" t="str">
        <f t="shared" si="2120"/>
        <v/>
      </c>
      <c r="CN691" s="526" t="str">
        <f t="shared" si="2118"/>
        <v/>
      </c>
      <c r="CO691" s="527" t="str">
        <f t="shared" si="2118"/>
        <v/>
      </c>
      <c r="CP691" s="527" t="str">
        <f t="shared" si="2118"/>
        <v/>
      </c>
      <c r="CQ691" s="527" t="str">
        <f t="shared" si="2118"/>
        <v/>
      </c>
      <c r="CR691" s="527">
        <f t="shared" si="2118"/>
        <v>0</v>
      </c>
      <c r="CS691" s="527">
        <f t="shared" si="2118"/>
        <v>1.5728742216687422E-2</v>
      </c>
      <c r="CT691" s="528">
        <f t="shared" si="2118"/>
        <v>2.1448284840937398E-2</v>
      </c>
      <c r="CU691" s="528">
        <f t="shared" si="2118"/>
        <v>3.3704447607187334E-2</v>
      </c>
      <c r="CV691" s="528">
        <f t="shared" si="2118"/>
        <v>4.7186226650062273E-2</v>
      </c>
      <c r="CW691" s="527">
        <f t="shared" si="2119"/>
        <v>6.7408895214374667E-2</v>
      </c>
      <c r="CX691" s="527">
        <f t="shared" si="2119"/>
        <v>8.8474174968866753E-2</v>
      </c>
      <c r="CY691" s="527" t="str">
        <f t="shared" si="2119"/>
        <v/>
      </c>
      <c r="CZ691" s="527" t="str">
        <f t="shared" si="2119"/>
        <v/>
      </c>
      <c r="DA691" s="527" t="str">
        <f t="shared" si="2119"/>
        <v/>
      </c>
      <c r="DB691" s="526" t="str">
        <f t="shared" si="2119"/>
        <v/>
      </c>
      <c r="DC691" s="525" t="str">
        <f t="shared" si="2119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935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2"/>
      <c r="CE692" s="1322"/>
      <c r="CF692" s="1322"/>
      <c r="CG692" s="1322"/>
      <c r="CH692" s="1322"/>
      <c r="CI692" s="1322"/>
      <c r="CJ692" s="1322"/>
      <c r="CK692" s="1322"/>
      <c r="CL692" s="1322"/>
      <c r="CM692" s="1322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293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129">IF(DD693&lt;3,"",(SUM(B693:R693)-MIN(B693:R693)-MAX(B693:R693))/(DD693-2))</f>
        <v/>
      </c>
      <c r="CA693" s="586" t="str">
        <f t="shared" ref="CA693:CA701" si="2130">IF(DE693&lt;3,"",(SUM(T693:AJ693)-MIN(T693:AJ693)-MAX(T693:AJ693))/(DE693-2))</f>
        <v/>
      </c>
      <c r="CB693" s="586" t="str">
        <f t="shared" ref="CB693:CB701" si="2131">IF(DF693&lt;3,"",(SUM(AL693:BB693)-MIN(AL693:BB693)-MAX(AL693:BB693))/(DF693-2))</f>
        <v/>
      </c>
      <c r="CC693" s="676" t="str">
        <f t="shared" ref="CC693:CC701" si="2132">IF(DG693&lt;3,"",(SUM(BD693:BT693)-MIN(BD693:BT693)-MAX(BD693:BT693))/(DG693-2))</f>
        <v/>
      </c>
      <c r="CD693" s="1316" t="str">
        <f t="shared" ref="CD693:CM693" si="21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7" t="str">
        <f t="shared" si="2133"/>
        <v/>
      </c>
      <c r="CF693" s="1317" t="str">
        <f t="shared" si="2133"/>
        <v/>
      </c>
      <c r="CG693" s="1317" t="str">
        <f t="shared" si="2133"/>
        <v/>
      </c>
      <c r="CH693" s="1318" t="str">
        <f t="shared" si="2133"/>
        <v/>
      </c>
      <c r="CI693" s="1318" t="str">
        <f t="shared" si="2133"/>
        <v/>
      </c>
      <c r="CJ693" s="1317" t="str">
        <f t="shared" si="2133"/>
        <v/>
      </c>
      <c r="CK693" s="1317" t="str">
        <f t="shared" si="2133"/>
        <v/>
      </c>
      <c r="CL693" s="1317" t="str">
        <f t="shared" si="2133"/>
        <v/>
      </c>
      <c r="CM693" s="1316" t="str">
        <f t="shared" si="2133"/>
        <v/>
      </c>
      <c r="CN693" s="538" t="str">
        <f t="shared" ref="CN693:CV696" si="21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34"/>
        <v/>
      </c>
      <c r="CP693" s="539" t="str">
        <f t="shared" si="2134"/>
        <v/>
      </c>
      <c r="CQ693" s="539" t="str">
        <f t="shared" si="2134"/>
        <v/>
      </c>
      <c r="CR693" s="539" t="str">
        <f t="shared" si="2134"/>
        <v/>
      </c>
      <c r="CS693" s="539" t="str">
        <f t="shared" si="2134"/>
        <v/>
      </c>
      <c r="CT693" s="540" t="str">
        <f t="shared" si="2134"/>
        <v/>
      </c>
      <c r="CU693" s="540">
        <f t="shared" si="2134"/>
        <v>20</v>
      </c>
      <c r="CV693" s="540" t="str">
        <f t="shared" si="2134"/>
        <v/>
      </c>
      <c r="CW693" s="539" t="str">
        <f t="shared" ref="CW693:DC696" si="2135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35"/>
        <v/>
      </c>
      <c r="CY693" s="539" t="str">
        <f t="shared" si="2135"/>
        <v/>
      </c>
      <c r="CZ693" s="539" t="str">
        <f t="shared" si="2135"/>
        <v/>
      </c>
      <c r="DA693" s="539" t="str">
        <f t="shared" si="2135"/>
        <v/>
      </c>
      <c r="DB693" s="538" t="str">
        <f t="shared" si="2135"/>
        <v/>
      </c>
      <c r="DC693" s="537" t="str">
        <f t="shared" si="2135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289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129"/>
        <v/>
      </c>
      <c r="CA694" s="586" t="str">
        <f t="shared" si="2130"/>
        <v/>
      </c>
      <c r="CB694" s="586" t="str">
        <f t="shared" si="2131"/>
        <v/>
      </c>
      <c r="CC694" s="676" t="str">
        <f t="shared" si="2132"/>
        <v/>
      </c>
      <c r="CD694" s="131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7" t="str">
        <f t="shared" ref="CE694:CM696" si="21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7" t="str">
        <f t="shared" si="2136"/>
        <v/>
      </c>
      <c r="CG694" s="1317" t="str">
        <f t="shared" si="2136"/>
        <v/>
      </c>
      <c r="CH694" s="1318" t="str">
        <f t="shared" si="2136"/>
        <v/>
      </c>
      <c r="CI694" s="1318" t="str">
        <f t="shared" si="2136"/>
        <v/>
      </c>
      <c r="CJ694" s="1317" t="str">
        <f t="shared" si="2136"/>
        <v/>
      </c>
      <c r="CK694" s="1317" t="str">
        <f t="shared" si="2136"/>
        <v/>
      </c>
      <c r="CL694" s="1317" t="str">
        <f t="shared" si="2136"/>
        <v/>
      </c>
      <c r="CM694" s="1316" t="str">
        <f t="shared" si="2136"/>
        <v/>
      </c>
      <c r="CN694" s="538" t="str">
        <f t="shared" si="2134"/>
        <v/>
      </c>
      <c r="CO694" s="539" t="str">
        <f t="shared" si="2134"/>
        <v/>
      </c>
      <c r="CP694" s="539" t="str">
        <f t="shared" si="2134"/>
        <v/>
      </c>
      <c r="CQ694" s="539" t="str">
        <f t="shared" si="2134"/>
        <v/>
      </c>
      <c r="CR694" s="539" t="str">
        <f t="shared" si="2134"/>
        <v/>
      </c>
      <c r="CS694" s="539" t="str">
        <f t="shared" si="2134"/>
        <v/>
      </c>
      <c r="CT694" s="540" t="str">
        <f t="shared" si="2134"/>
        <v/>
      </c>
      <c r="CU694" s="540">
        <f t="shared" si="2134"/>
        <v>1</v>
      </c>
      <c r="CV694" s="540" t="str">
        <f t="shared" si="2134"/>
        <v/>
      </c>
      <c r="CW694" s="539" t="str">
        <f t="shared" si="2135"/>
        <v/>
      </c>
      <c r="CX694" s="539" t="str">
        <f t="shared" si="2135"/>
        <v/>
      </c>
      <c r="CY694" s="539" t="str">
        <f t="shared" si="2135"/>
        <v/>
      </c>
      <c r="CZ694" s="539" t="str">
        <f t="shared" si="2135"/>
        <v/>
      </c>
      <c r="DA694" s="539" t="str">
        <f t="shared" si="2135"/>
        <v/>
      </c>
      <c r="DB694" s="538" t="str">
        <f t="shared" si="2135"/>
        <v/>
      </c>
      <c r="DC694" s="537" t="str">
        <f t="shared" si="2135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284</v>
      </c>
      <c r="B695" s="747">
        <f>9000*$K$1</f>
        <v>37681.199999999997</v>
      </c>
      <c r="C695" s="747">
        <f t="shared" ref="C695:K695" si="2137">9000*$K$1</f>
        <v>37681.199999999997</v>
      </c>
      <c r="D695" s="747">
        <f t="shared" si="2137"/>
        <v>37681.199999999997</v>
      </c>
      <c r="E695" s="747">
        <f t="shared" si="2137"/>
        <v>37681.199999999997</v>
      </c>
      <c r="F695" s="747">
        <f t="shared" si="2137"/>
        <v>37681.199999999997</v>
      </c>
      <c r="G695" s="747">
        <f t="shared" si="2137"/>
        <v>37681.199999999997</v>
      </c>
      <c r="H695" s="747">
        <f t="shared" si="2137"/>
        <v>37681.199999999997</v>
      </c>
      <c r="I695" s="747">
        <f t="shared" si="2137"/>
        <v>37681.199999999997</v>
      </c>
      <c r="J695" s="747">
        <f t="shared" si="2137"/>
        <v>37681.199999999997</v>
      </c>
      <c r="K695" s="747">
        <f t="shared" si="2137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38">9000*$K$1</f>
        <v>37681.199999999997</v>
      </c>
      <c r="V695" s="747">
        <f t="shared" si="2138"/>
        <v>37681.199999999997</v>
      </c>
      <c r="W695" s="747">
        <f t="shared" si="2138"/>
        <v>37681.199999999997</v>
      </c>
      <c r="X695" s="747">
        <f t="shared" si="2138"/>
        <v>37681.199999999997</v>
      </c>
      <c r="Y695" s="747">
        <f t="shared" si="2138"/>
        <v>37681.199999999997</v>
      </c>
      <c r="Z695" s="747">
        <f t="shared" si="2138"/>
        <v>37681.199999999997</v>
      </c>
      <c r="AA695" s="747">
        <f t="shared" si="2138"/>
        <v>37681.199999999997</v>
      </c>
      <c r="AB695" s="747">
        <f t="shared" si="2138"/>
        <v>37681.199999999997</v>
      </c>
      <c r="AC695" s="747">
        <f t="shared" si="2138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39">9000*$K$1</f>
        <v>37681.199999999997</v>
      </c>
      <c r="AN695" s="747">
        <f t="shared" si="2139"/>
        <v>37681.199999999997</v>
      </c>
      <c r="AO695" s="747">
        <f t="shared" si="2139"/>
        <v>37681.199999999997</v>
      </c>
      <c r="AP695" s="747">
        <f t="shared" si="2139"/>
        <v>37681.199999999997</v>
      </c>
      <c r="AQ695" s="747">
        <f t="shared" si="2139"/>
        <v>37681.199999999997</v>
      </c>
      <c r="AR695" s="747">
        <f t="shared" si="2139"/>
        <v>37681.199999999997</v>
      </c>
      <c r="AS695" s="747">
        <f t="shared" si="2139"/>
        <v>37681.199999999997</v>
      </c>
      <c r="AT695" s="747">
        <f t="shared" si="2139"/>
        <v>37681.199999999997</v>
      </c>
      <c r="AU695" s="747">
        <f t="shared" si="2139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40">9000*$K$1</f>
        <v>37681.199999999997</v>
      </c>
      <c r="BF695" s="747">
        <f t="shared" si="2140"/>
        <v>37681.199999999997</v>
      </c>
      <c r="BG695" s="747">
        <f t="shared" si="2140"/>
        <v>37681.199999999997</v>
      </c>
      <c r="BH695" s="747">
        <f t="shared" si="2140"/>
        <v>37681.199999999997</v>
      </c>
      <c r="BI695" s="747">
        <f t="shared" si="2140"/>
        <v>37681.199999999997</v>
      </c>
      <c r="BJ695" s="747">
        <f t="shared" si="2140"/>
        <v>37681.199999999997</v>
      </c>
      <c r="BK695" s="747">
        <f t="shared" si="2140"/>
        <v>37681.199999999997</v>
      </c>
      <c r="BL695" s="747">
        <f t="shared" si="2140"/>
        <v>37681.199999999997</v>
      </c>
      <c r="BM695" s="747">
        <f t="shared" si="2140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41">9000*$K$1</f>
        <v>37681.199999999997</v>
      </c>
      <c r="BW695" s="747">
        <f t="shared" si="2141"/>
        <v>37681.199999999997</v>
      </c>
      <c r="BX695" s="747">
        <f t="shared" si="2141"/>
        <v>37681.199999999997</v>
      </c>
      <c r="BY695" s="747">
        <f t="shared" si="2141"/>
        <v>37681.199999999997</v>
      </c>
      <c r="BZ695" s="586">
        <f t="shared" si="2129"/>
        <v>37681.200000000004</v>
      </c>
      <c r="CA695" s="586">
        <f t="shared" si="2130"/>
        <v>37681.200000000004</v>
      </c>
      <c r="CB695" s="586">
        <f t="shared" si="2131"/>
        <v>37681.200000000004</v>
      </c>
      <c r="CC695" s="676">
        <f t="shared" si="2132"/>
        <v>37681.200000000004</v>
      </c>
      <c r="CD695" s="131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17">
        <f t="shared" si="2136"/>
        <v>37681.199999999997</v>
      </c>
      <c r="CF695" s="1317">
        <f t="shared" si="2136"/>
        <v>37681.199999999997</v>
      </c>
      <c r="CG695" s="1317">
        <f t="shared" si="2136"/>
        <v>37681.199999999997</v>
      </c>
      <c r="CH695" s="1318">
        <f t="shared" si="2136"/>
        <v>37681.199999999997</v>
      </c>
      <c r="CI695" s="1318">
        <f t="shared" si="2136"/>
        <v>37681.199999999997</v>
      </c>
      <c r="CJ695" s="1317">
        <f t="shared" si="2136"/>
        <v>37681.199999999997</v>
      </c>
      <c r="CK695" s="1317">
        <f t="shared" si="2136"/>
        <v>37681.199999999997</v>
      </c>
      <c r="CL695" s="1317">
        <f t="shared" si="2136"/>
        <v>37681.199999999997</v>
      </c>
      <c r="CM695" s="1316">
        <f t="shared" si="2136"/>
        <v>37681.199999999997</v>
      </c>
      <c r="CN695" s="538" t="str">
        <f t="shared" si="2134"/>
        <v/>
      </c>
      <c r="CO695" s="539" t="str">
        <f t="shared" si="2134"/>
        <v/>
      </c>
      <c r="CP695" s="539" t="str">
        <f t="shared" si="2134"/>
        <v/>
      </c>
      <c r="CQ695" s="539">
        <f t="shared" si="2134"/>
        <v>37681.199999999997</v>
      </c>
      <c r="CR695" s="539">
        <f t="shared" si="2134"/>
        <v>37681.199999999997</v>
      </c>
      <c r="CS695" s="539">
        <f t="shared" si="2134"/>
        <v>37681.199999999997</v>
      </c>
      <c r="CT695" s="540">
        <f t="shared" si="2134"/>
        <v>37681.199999999997</v>
      </c>
      <c r="CU695" s="540">
        <f t="shared" si="2134"/>
        <v>37681.199999999997</v>
      </c>
      <c r="CV695" s="540">
        <f t="shared" si="2134"/>
        <v>37681.199999999997</v>
      </c>
      <c r="CW695" s="539">
        <f t="shared" si="2135"/>
        <v>37681.199999999997</v>
      </c>
      <c r="CX695" s="539">
        <f t="shared" si="2135"/>
        <v>37681.199999999997</v>
      </c>
      <c r="CY695" s="539">
        <f t="shared" si="2135"/>
        <v>37681.199999999997</v>
      </c>
      <c r="CZ695" s="539">
        <f t="shared" si="2135"/>
        <v>37681.199999999997</v>
      </c>
      <c r="DA695" s="539" t="str">
        <f t="shared" si="2135"/>
        <v/>
      </c>
      <c r="DB695" s="538" t="str">
        <f t="shared" si="2135"/>
        <v/>
      </c>
      <c r="DC695" s="537" t="str">
        <f t="shared" si="2135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227</v>
      </c>
      <c r="B696" s="621" t="str">
        <f t="shared" ref="B696:K696" si="2142">IF(B693="","",B693*B694*B695/B$46/365/$G$1)</f>
        <v/>
      </c>
      <c r="C696" s="621" t="str">
        <f t="shared" si="2142"/>
        <v/>
      </c>
      <c r="D696" s="621" t="str">
        <f t="shared" si="2142"/>
        <v/>
      </c>
      <c r="E696" s="621" t="str">
        <f t="shared" si="2142"/>
        <v/>
      </c>
      <c r="F696" s="621" t="str">
        <f t="shared" si="2142"/>
        <v/>
      </c>
      <c r="G696" s="621" t="str">
        <f t="shared" si="2142"/>
        <v/>
      </c>
      <c r="H696" s="621" t="str">
        <f t="shared" si="2142"/>
        <v/>
      </c>
      <c r="I696" s="621" t="str">
        <f t="shared" si="2142"/>
        <v/>
      </c>
      <c r="J696" s="621" t="str">
        <f t="shared" si="2142"/>
        <v/>
      </c>
      <c r="K696" s="621" t="str">
        <f t="shared" si="2142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43">IF(T693="","",T693*T694*T695/T$46/365/$G$1)</f>
        <v/>
      </c>
      <c r="U696" s="621" t="str">
        <f t="shared" si="2143"/>
        <v/>
      </c>
      <c r="V696" s="621" t="str">
        <f t="shared" si="2143"/>
        <v/>
      </c>
      <c r="W696" s="621" t="str">
        <f t="shared" si="2143"/>
        <v/>
      </c>
      <c r="X696" s="621" t="str">
        <f t="shared" si="2143"/>
        <v/>
      </c>
      <c r="Y696" s="621" t="str">
        <f t="shared" si="2143"/>
        <v/>
      </c>
      <c r="Z696" s="621" t="str">
        <f t="shared" si="2143"/>
        <v/>
      </c>
      <c r="AA696" s="621" t="str">
        <f t="shared" si="2143"/>
        <v/>
      </c>
      <c r="AB696" s="621" t="str">
        <f t="shared" si="2143"/>
        <v/>
      </c>
      <c r="AC696" s="621" t="str">
        <f t="shared" si="2143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44">IF(AL693="","",AL693*AL694*AL695/AL$46/365/$G$1)</f>
        <v/>
      </c>
      <c r="AM696" s="621" t="str">
        <f t="shared" si="2144"/>
        <v/>
      </c>
      <c r="AN696" s="621" t="str">
        <f t="shared" si="2144"/>
        <v/>
      </c>
      <c r="AO696" s="621" t="str">
        <f t="shared" si="2144"/>
        <v/>
      </c>
      <c r="AP696" s="621" t="str">
        <f t="shared" si="2144"/>
        <v/>
      </c>
      <c r="AQ696" s="621" t="str">
        <f t="shared" si="2144"/>
        <v/>
      </c>
      <c r="AR696" s="621" t="str">
        <f t="shared" si="2144"/>
        <v/>
      </c>
      <c r="AS696" s="621" t="str">
        <f t="shared" si="2144"/>
        <v/>
      </c>
      <c r="AT696" s="621" t="str">
        <f t="shared" si="2144"/>
        <v/>
      </c>
      <c r="AU696" s="621" t="str">
        <f t="shared" si="2144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45">IF(BD693="","",BD693*BD694*BD695/BD$46/365/$G$1)</f>
        <v>1.9552303860523038E-2</v>
      </c>
      <c r="BE696" s="621" t="str">
        <f t="shared" si="2145"/>
        <v/>
      </c>
      <c r="BF696" s="621" t="str">
        <f t="shared" si="2145"/>
        <v/>
      </c>
      <c r="BG696" s="621" t="str">
        <f t="shared" si="2145"/>
        <v/>
      </c>
      <c r="BH696" s="621" t="str">
        <f t="shared" si="2145"/>
        <v/>
      </c>
      <c r="BI696" s="621" t="str">
        <f t="shared" si="2145"/>
        <v/>
      </c>
      <c r="BJ696" s="621" t="str">
        <f t="shared" si="2145"/>
        <v/>
      </c>
      <c r="BK696" s="621" t="str">
        <f t="shared" si="2145"/>
        <v/>
      </c>
      <c r="BL696" s="621" t="str">
        <f t="shared" si="2145"/>
        <v/>
      </c>
      <c r="BM696" s="621" t="str">
        <f t="shared" si="2145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129"/>
        <v/>
      </c>
      <c r="CA696" s="611" t="str">
        <f t="shared" si="2130"/>
        <v/>
      </c>
      <c r="CB696" s="611" t="str">
        <f t="shared" si="2131"/>
        <v/>
      </c>
      <c r="CC696" s="679" t="str">
        <f t="shared" si="2132"/>
        <v/>
      </c>
      <c r="CD696" s="1319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0" t="str">
        <f t="shared" si="2136"/>
        <v/>
      </c>
      <c r="CF696" s="1320" t="str">
        <f t="shared" si="2136"/>
        <v/>
      </c>
      <c r="CG696" s="1320" t="str">
        <f t="shared" si="2136"/>
        <v/>
      </c>
      <c r="CH696" s="1321" t="str">
        <f t="shared" si="2136"/>
        <v/>
      </c>
      <c r="CI696" s="1321" t="str">
        <f t="shared" si="2136"/>
        <v/>
      </c>
      <c r="CJ696" s="1320" t="str">
        <f t="shared" si="2136"/>
        <v/>
      </c>
      <c r="CK696" s="1320" t="str">
        <f t="shared" si="2136"/>
        <v/>
      </c>
      <c r="CL696" s="1320" t="str">
        <f t="shared" si="2136"/>
        <v/>
      </c>
      <c r="CM696" s="1319" t="str">
        <f t="shared" si="2136"/>
        <v/>
      </c>
      <c r="CN696" s="526" t="str">
        <f t="shared" si="2134"/>
        <v/>
      </c>
      <c r="CO696" s="527" t="str">
        <f t="shared" si="2134"/>
        <v/>
      </c>
      <c r="CP696" s="527" t="str">
        <f t="shared" si="2134"/>
        <v/>
      </c>
      <c r="CQ696" s="527" t="str">
        <f t="shared" si="2134"/>
        <v/>
      </c>
      <c r="CR696" s="527" t="str">
        <f t="shared" si="2134"/>
        <v/>
      </c>
      <c r="CS696" s="527" t="str">
        <f t="shared" si="2134"/>
        <v/>
      </c>
      <c r="CT696" s="528" t="str">
        <f t="shared" si="2134"/>
        <v/>
      </c>
      <c r="CU696" s="528">
        <f t="shared" si="2134"/>
        <v>1.9552303860523038E-2</v>
      </c>
      <c r="CV696" s="528" t="str">
        <f t="shared" si="2134"/>
        <v/>
      </c>
      <c r="CW696" s="527" t="str">
        <f t="shared" si="2135"/>
        <v/>
      </c>
      <c r="CX696" s="527" t="str">
        <f t="shared" si="2135"/>
        <v/>
      </c>
      <c r="CY696" s="527" t="str">
        <f t="shared" si="2135"/>
        <v/>
      </c>
      <c r="CZ696" s="527" t="str">
        <f t="shared" si="2135"/>
        <v/>
      </c>
      <c r="DA696" s="527" t="str">
        <f t="shared" si="2135"/>
        <v/>
      </c>
      <c r="DB696" s="526" t="str">
        <f t="shared" si="2135"/>
        <v/>
      </c>
      <c r="DC696" s="525" t="str">
        <f t="shared" si="2135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129"/>
        <v/>
      </c>
      <c r="CA697" s="578" t="str">
        <f t="shared" si="2130"/>
        <v/>
      </c>
      <c r="CB697" s="578" t="str">
        <f t="shared" si="2131"/>
        <v/>
      </c>
      <c r="CC697" s="675" t="str">
        <f t="shared" si="2132"/>
        <v/>
      </c>
      <c r="CD697" s="1322"/>
      <c r="CE697" s="1322"/>
      <c r="CF697" s="1322"/>
      <c r="CG697" s="1322"/>
      <c r="CH697" s="1322"/>
      <c r="CI697" s="1322"/>
      <c r="CJ697" s="1322"/>
      <c r="CK697" s="1322"/>
      <c r="CL697" s="1322"/>
      <c r="CM697" s="1322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293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129"/>
        <v/>
      </c>
      <c r="CA698" s="586" t="str">
        <f t="shared" si="2130"/>
        <v/>
      </c>
      <c r="CB698" s="586">
        <f t="shared" si="2131"/>
        <v>40</v>
      </c>
      <c r="CC698" s="676">
        <f t="shared" si="2132"/>
        <v>42.5</v>
      </c>
      <c r="CD698" s="1316" t="str">
        <f t="shared" ref="CD698:CM698" si="21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7" t="str">
        <f t="shared" si="2146"/>
        <v/>
      </c>
      <c r="CF698" s="1317" t="str">
        <f t="shared" si="2146"/>
        <v/>
      </c>
      <c r="CG698" s="1317">
        <f t="shared" si="2146"/>
        <v>10</v>
      </c>
      <c r="CH698" s="1318">
        <f t="shared" si="2146"/>
        <v>40</v>
      </c>
      <c r="CI698" s="1318">
        <f t="shared" si="2146"/>
        <v>40</v>
      </c>
      <c r="CJ698" s="1317">
        <f t="shared" si="2146"/>
        <v>50</v>
      </c>
      <c r="CK698" s="1317" t="str">
        <f t="shared" si="2146"/>
        <v/>
      </c>
      <c r="CL698" s="1317" t="str">
        <f t="shared" si="2146"/>
        <v/>
      </c>
      <c r="CM698" s="1316" t="str">
        <f t="shared" si="2146"/>
        <v/>
      </c>
      <c r="CN698" s="538" t="str">
        <f t="shared" ref="CN698:CV701" si="21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47"/>
        <v/>
      </c>
      <c r="CP698" s="539" t="str">
        <f t="shared" si="2147"/>
        <v/>
      </c>
      <c r="CQ698" s="539" t="str">
        <f t="shared" si="2147"/>
        <v/>
      </c>
      <c r="CR698" s="539" t="str">
        <f t="shared" si="2147"/>
        <v/>
      </c>
      <c r="CS698" s="539">
        <f t="shared" si="2147"/>
        <v>20</v>
      </c>
      <c r="CT698" s="540">
        <f t="shared" si="2147"/>
        <v>20</v>
      </c>
      <c r="CU698" s="540">
        <f t="shared" si="2147"/>
        <v>40</v>
      </c>
      <c r="CV698" s="540">
        <f t="shared" si="2147"/>
        <v>50</v>
      </c>
      <c r="CW698" s="539">
        <f t="shared" ref="CW698:DC701" si="2148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48"/>
        <v>75</v>
      </c>
      <c r="CY698" s="539" t="str">
        <f t="shared" si="2148"/>
        <v/>
      </c>
      <c r="CZ698" s="539" t="str">
        <f t="shared" si="2148"/>
        <v/>
      </c>
      <c r="DA698" s="539" t="str">
        <f t="shared" si="2148"/>
        <v/>
      </c>
      <c r="DB698" s="538" t="str">
        <f t="shared" si="2148"/>
        <v/>
      </c>
      <c r="DC698" s="537" t="str">
        <f t="shared" si="2148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289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129"/>
        <v/>
      </c>
      <c r="CA699" s="586" t="str">
        <f t="shared" si="2130"/>
        <v/>
      </c>
      <c r="CB699" s="586">
        <f t="shared" si="2131"/>
        <v>1</v>
      </c>
      <c r="CC699" s="676">
        <f t="shared" si="2132"/>
        <v>1</v>
      </c>
      <c r="CD699" s="131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7" t="str">
        <f t="shared" ref="CE699:CM701" si="21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7" t="str">
        <f t="shared" si="2149"/>
        <v/>
      </c>
      <c r="CG699" s="1317">
        <f t="shared" si="2149"/>
        <v>1</v>
      </c>
      <c r="CH699" s="1318">
        <f t="shared" si="2149"/>
        <v>1</v>
      </c>
      <c r="CI699" s="1318">
        <f t="shared" si="2149"/>
        <v>1</v>
      </c>
      <c r="CJ699" s="1317">
        <f t="shared" si="2149"/>
        <v>1</v>
      </c>
      <c r="CK699" s="1317" t="str">
        <f t="shared" si="2149"/>
        <v/>
      </c>
      <c r="CL699" s="1317" t="str">
        <f t="shared" si="2149"/>
        <v/>
      </c>
      <c r="CM699" s="1316" t="str">
        <f t="shared" si="2149"/>
        <v/>
      </c>
      <c r="CN699" s="538" t="str">
        <f t="shared" si="2147"/>
        <v/>
      </c>
      <c r="CO699" s="539" t="str">
        <f t="shared" si="2147"/>
        <v/>
      </c>
      <c r="CP699" s="539" t="str">
        <f t="shared" si="2147"/>
        <v/>
      </c>
      <c r="CQ699" s="539" t="str">
        <f t="shared" si="2147"/>
        <v/>
      </c>
      <c r="CR699" s="539" t="str">
        <f t="shared" si="2147"/>
        <v/>
      </c>
      <c r="CS699" s="539">
        <f t="shared" si="2147"/>
        <v>1</v>
      </c>
      <c r="CT699" s="540">
        <f t="shared" si="2147"/>
        <v>1</v>
      </c>
      <c r="CU699" s="540">
        <f t="shared" si="2147"/>
        <v>1</v>
      </c>
      <c r="CV699" s="540">
        <f t="shared" si="2147"/>
        <v>1</v>
      </c>
      <c r="CW699" s="539">
        <f t="shared" si="2148"/>
        <v>1</v>
      </c>
      <c r="CX699" s="539">
        <f t="shared" si="2148"/>
        <v>1</v>
      </c>
      <c r="CY699" s="539" t="str">
        <f t="shared" si="2148"/>
        <v/>
      </c>
      <c r="CZ699" s="539" t="str">
        <f t="shared" si="2148"/>
        <v/>
      </c>
      <c r="DA699" s="539" t="str">
        <f t="shared" si="2148"/>
        <v/>
      </c>
      <c r="DB699" s="538" t="str">
        <f t="shared" si="2148"/>
        <v/>
      </c>
      <c r="DC699" s="537" t="str">
        <f t="shared" si="2148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284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129"/>
        <v/>
      </c>
      <c r="CA700" s="586" t="str">
        <f t="shared" si="2130"/>
        <v/>
      </c>
      <c r="CB700" s="586">
        <f t="shared" si="2131"/>
        <v>14820</v>
      </c>
      <c r="CC700" s="676">
        <f t="shared" si="2132"/>
        <v>14820</v>
      </c>
      <c r="CD700" s="13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7" t="str">
        <f t="shared" si="2149"/>
        <v/>
      </c>
      <c r="CF700" s="1317" t="str">
        <f t="shared" si="2149"/>
        <v/>
      </c>
      <c r="CG700" s="1317">
        <f t="shared" si="2149"/>
        <v>14820</v>
      </c>
      <c r="CH700" s="1318">
        <f t="shared" si="2149"/>
        <v>14820</v>
      </c>
      <c r="CI700" s="1318">
        <f t="shared" si="2149"/>
        <v>14820</v>
      </c>
      <c r="CJ700" s="1317">
        <f t="shared" si="2149"/>
        <v>24240</v>
      </c>
      <c r="CK700" s="1317" t="str">
        <f t="shared" si="2149"/>
        <v/>
      </c>
      <c r="CL700" s="1317" t="str">
        <f t="shared" si="2149"/>
        <v/>
      </c>
      <c r="CM700" s="1316" t="str">
        <f t="shared" si="2149"/>
        <v/>
      </c>
      <c r="CN700" s="538" t="str">
        <f t="shared" si="2147"/>
        <v/>
      </c>
      <c r="CO700" s="539" t="str">
        <f t="shared" si="2147"/>
        <v/>
      </c>
      <c r="CP700" s="539" t="str">
        <f t="shared" si="2147"/>
        <v/>
      </c>
      <c r="CQ700" s="539" t="str">
        <f t="shared" si="2147"/>
        <v/>
      </c>
      <c r="CR700" s="539" t="str">
        <f t="shared" si="2147"/>
        <v/>
      </c>
      <c r="CS700" s="539">
        <f t="shared" si="2147"/>
        <v>14820</v>
      </c>
      <c r="CT700" s="540">
        <f t="shared" si="2147"/>
        <v>14820</v>
      </c>
      <c r="CU700" s="540">
        <f t="shared" si="2147"/>
        <v>14820</v>
      </c>
      <c r="CV700" s="540">
        <f t="shared" si="2147"/>
        <v>14820</v>
      </c>
      <c r="CW700" s="539">
        <f t="shared" si="2148"/>
        <v>14820</v>
      </c>
      <c r="CX700" s="539">
        <f t="shared" si="2148"/>
        <v>14820</v>
      </c>
      <c r="CY700" s="539" t="str">
        <f t="shared" si="2148"/>
        <v/>
      </c>
      <c r="CZ700" s="539" t="str">
        <f t="shared" si="2148"/>
        <v/>
      </c>
      <c r="DA700" s="539" t="str">
        <f t="shared" si="2148"/>
        <v/>
      </c>
      <c r="DB700" s="538" t="str">
        <f t="shared" si="2148"/>
        <v/>
      </c>
      <c r="DC700" s="537" t="str">
        <f t="shared" si="2148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227</v>
      </c>
      <c r="B701" s="621" t="str">
        <f t="shared" ref="B701:K701" si="2150">IF(B698="","",B698*B699*B700/B$46/365/$G$1)</f>
        <v/>
      </c>
      <c r="C701" s="621" t="str">
        <f t="shared" si="2150"/>
        <v/>
      </c>
      <c r="D701" s="621" t="str">
        <f t="shared" si="2150"/>
        <v/>
      </c>
      <c r="E701" s="621" t="str">
        <f t="shared" si="2150"/>
        <v/>
      </c>
      <c r="F701" s="621" t="str">
        <f t="shared" si="2150"/>
        <v/>
      </c>
      <c r="G701" s="621" t="str">
        <f t="shared" si="2150"/>
        <v/>
      </c>
      <c r="H701" s="621" t="str">
        <f t="shared" si="2150"/>
        <v/>
      </c>
      <c r="I701" s="621" t="str">
        <f t="shared" si="2150"/>
        <v/>
      </c>
      <c r="J701" s="621" t="str">
        <f t="shared" si="2150"/>
        <v/>
      </c>
      <c r="K701" s="621" t="str">
        <f t="shared" si="2150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51">IF(T698="","",T698*T699*T700/T$46/365/$G$1)</f>
        <v/>
      </c>
      <c r="U701" s="621" t="str">
        <f t="shared" si="2151"/>
        <v/>
      </c>
      <c r="V701" s="621" t="str">
        <f t="shared" si="2151"/>
        <v/>
      </c>
      <c r="W701" s="621" t="str">
        <f t="shared" si="2151"/>
        <v/>
      </c>
      <c r="X701" s="621" t="str">
        <f t="shared" si="2151"/>
        <v/>
      </c>
      <c r="Y701" s="621" t="str">
        <f t="shared" si="2151"/>
        <v/>
      </c>
      <c r="Z701" s="621" t="str">
        <f t="shared" si="2151"/>
        <v/>
      </c>
      <c r="AA701" s="621" t="str">
        <f t="shared" si="2151"/>
        <v/>
      </c>
      <c r="AB701" s="621" t="str">
        <f t="shared" si="2151"/>
        <v/>
      </c>
      <c r="AC701" s="621" t="str">
        <f t="shared" si="2151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52">IF(AL698="","",AL698*AL699*AL700/AL$46/365/$G$1)</f>
        <v/>
      </c>
      <c r="AM701" s="621" t="str">
        <f t="shared" si="2152"/>
        <v/>
      </c>
      <c r="AN701" s="621">
        <f t="shared" si="2152"/>
        <v>1.5093399750933998E-2</v>
      </c>
      <c r="AO701" s="621" t="str">
        <f t="shared" si="2152"/>
        <v/>
      </c>
      <c r="AP701" s="621" t="str">
        <f t="shared" si="2152"/>
        <v/>
      </c>
      <c r="AQ701" s="621">
        <f t="shared" si="2152"/>
        <v>4.6139476961394768E-2</v>
      </c>
      <c r="AR701" s="621" t="str">
        <f t="shared" si="2152"/>
        <v/>
      </c>
      <c r="AS701" s="621" t="str">
        <f t="shared" si="2152"/>
        <v/>
      </c>
      <c r="AT701" s="621">
        <f t="shared" si="2152"/>
        <v>3.6911581569115816E-2</v>
      </c>
      <c r="AU701" s="621">
        <f t="shared" si="2152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53">IF(BD698="","",BD698*BD699*BD700/BD$46/365/$G$1)</f>
        <v>7.6899128268991274E-3</v>
      </c>
      <c r="BE701" s="621">
        <f t="shared" si="2153"/>
        <v>4.3255759651307596E-2</v>
      </c>
      <c r="BF701" s="621" t="str">
        <f t="shared" si="2153"/>
        <v/>
      </c>
      <c r="BG701" s="621">
        <f t="shared" si="2153"/>
        <v>3.2956769258139118E-2</v>
      </c>
      <c r="BH701" s="621">
        <f t="shared" si="2153"/>
        <v>2.5166987433488056E-2</v>
      </c>
      <c r="BI701" s="621">
        <f t="shared" si="2153"/>
        <v>1.8455790784557908E-2</v>
      </c>
      <c r="BJ701" s="621" t="str">
        <f t="shared" si="2153"/>
        <v/>
      </c>
      <c r="BK701" s="621" t="str">
        <f t="shared" si="2153"/>
        <v/>
      </c>
      <c r="BL701" s="621" t="str">
        <f t="shared" si="2153"/>
        <v/>
      </c>
      <c r="BM701" s="621">
        <f t="shared" si="2153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129"/>
        <v/>
      </c>
      <c r="CA701" s="611" t="str">
        <f t="shared" si="2130"/>
        <v/>
      </c>
      <c r="CB701" s="611">
        <f t="shared" si="2131"/>
        <v>2.7683686176836857E-2</v>
      </c>
      <c r="CC701" s="679">
        <f t="shared" si="2132"/>
        <v>2.2440563794860181E-2</v>
      </c>
      <c r="CD701" s="1319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0" t="str">
        <f t="shared" si="2149"/>
        <v/>
      </c>
      <c r="CF701" s="1320" t="str">
        <f t="shared" si="2149"/>
        <v/>
      </c>
      <c r="CG701" s="1320">
        <f t="shared" si="2149"/>
        <v>1.5093399750933998E-2</v>
      </c>
      <c r="CH701" s="1321">
        <f t="shared" si="2149"/>
        <v>1.8455790784557908E-2</v>
      </c>
      <c r="CI701" s="1321">
        <f t="shared" si="2149"/>
        <v>3.6911581569115816E-2</v>
      </c>
      <c r="CJ701" s="1320">
        <f t="shared" si="2149"/>
        <v>4.6139476961394768E-2</v>
      </c>
      <c r="CK701" s="1320" t="str">
        <f t="shared" si="2149"/>
        <v/>
      </c>
      <c r="CL701" s="1320" t="str">
        <f t="shared" si="2149"/>
        <v/>
      </c>
      <c r="CM701" s="1319" t="str">
        <f t="shared" si="2149"/>
        <v/>
      </c>
      <c r="CN701" s="526" t="str">
        <f t="shared" si="2147"/>
        <v/>
      </c>
      <c r="CO701" s="527" t="str">
        <f t="shared" si="2147"/>
        <v/>
      </c>
      <c r="CP701" s="527" t="str">
        <f t="shared" si="2147"/>
        <v/>
      </c>
      <c r="CQ701" s="527" t="str">
        <f t="shared" si="2147"/>
        <v/>
      </c>
      <c r="CR701" s="527" t="str">
        <f t="shared" si="2147"/>
        <v/>
      </c>
      <c r="CS701" s="527">
        <f t="shared" si="2147"/>
        <v>7.6899128268991274E-3</v>
      </c>
      <c r="CT701" s="528">
        <f t="shared" si="2147"/>
        <v>1.3182707703255648E-2</v>
      </c>
      <c r="CU701" s="528">
        <f t="shared" si="2147"/>
        <v>1.8455790784557908E-2</v>
      </c>
      <c r="CV701" s="528">
        <f t="shared" si="2147"/>
        <v>2.5166987433488056E-2</v>
      </c>
      <c r="CW701" s="527">
        <f t="shared" si="2148"/>
        <v>3.2956769258139118E-2</v>
      </c>
      <c r="CX701" s="527">
        <f t="shared" si="2148"/>
        <v>4.3255759651307596E-2</v>
      </c>
      <c r="CY701" s="527" t="str">
        <f t="shared" si="2148"/>
        <v/>
      </c>
      <c r="CZ701" s="527" t="str">
        <f t="shared" si="2148"/>
        <v/>
      </c>
      <c r="DA701" s="527" t="str">
        <f t="shared" si="2148"/>
        <v/>
      </c>
      <c r="DB701" s="526" t="str">
        <f t="shared" si="2148"/>
        <v/>
      </c>
      <c r="DC701" s="525" t="str">
        <f t="shared" si="2148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312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28"/>
      <c r="CE702" s="1328"/>
      <c r="CF702" s="1328"/>
      <c r="CG702" s="1328"/>
      <c r="CH702" s="1328"/>
      <c r="CI702" s="1328"/>
      <c r="CJ702" s="1328"/>
      <c r="CK702" s="1328"/>
      <c r="CL702" s="1328"/>
      <c r="CM702" s="1328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313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2"/>
      <c r="CE703" s="1322"/>
      <c r="CF703" s="1322"/>
      <c r="CG703" s="1322"/>
      <c r="CH703" s="1322"/>
      <c r="CI703" s="1322"/>
      <c r="CJ703" s="1322"/>
      <c r="CK703" s="1322"/>
      <c r="CL703" s="1322"/>
      <c r="CM703" s="1322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297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54">IF(DD704&lt;3,"",(SUM(B704:R704)-MIN(B704:R704)-MAX(B704:R704))/(DD704-2))</f>
        <v/>
      </c>
      <c r="CA704" s="586" t="str">
        <f t="shared" ref="CA704:CA727" si="2155">IF(DE704&lt;3,"",(SUM(T704:AJ704)-MIN(T704:AJ704)-MAX(T704:AJ704))/(DE704-2))</f>
        <v/>
      </c>
      <c r="CB704" s="586" t="str">
        <f t="shared" ref="CB704:CB727" si="2156">IF(DF704&lt;3,"",(SUM(AL704:BB704)-MIN(AL704:BB704)-MAX(AL704:BB704))/(DF704-2))</f>
        <v/>
      </c>
      <c r="CC704" s="676" t="str">
        <f t="shared" ref="CC704:CC727" si="2157">IF(DG704&lt;3,"",(SUM(BD704:BT704)-MIN(BD704:BT704)-MAX(BD704:BT704))/(DG704-2))</f>
        <v/>
      </c>
      <c r="CD704" s="1316" t="str">
        <f t="shared" ref="CD704:CI707" si="21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7" t="str">
        <f t="shared" si="2158"/>
        <v/>
      </c>
      <c r="CF704" s="1317" t="str">
        <f t="shared" si="2158"/>
        <v/>
      </c>
      <c r="CG704" s="1317" t="str">
        <f t="shared" si="2158"/>
        <v/>
      </c>
      <c r="CH704" s="1318" t="str">
        <f t="shared" si="2158"/>
        <v/>
      </c>
      <c r="CI704" s="1318" t="str">
        <f t="shared" si="2158"/>
        <v/>
      </c>
      <c r="CJ704" s="1317" t="str">
        <f t="shared" ref="CJ704:CM707" si="21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17" t="str">
        <f t="shared" si="2159"/>
        <v/>
      </c>
      <c r="CL704" s="1317" t="str">
        <f t="shared" si="2159"/>
        <v/>
      </c>
      <c r="CM704" s="1316" t="str">
        <f t="shared" si="2159"/>
        <v/>
      </c>
      <c r="CN704" s="538" t="str">
        <f t="shared" ref="CN704:CV708" si="21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60"/>
        <v/>
      </c>
      <c r="CP704" s="539" t="str">
        <f t="shared" si="2160"/>
        <v/>
      </c>
      <c r="CQ704" s="539" t="str">
        <f t="shared" si="2160"/>
        <v/>
      </c>
      <c r="CR704" s="539" t="str">
        <f t="shared" si="2160"/>
        <v/>
      </c>
      <c r="CS704" s="539" t="str">
        <f t="shared" si="2160"/>
        <v/>
      </c>
      <c r="CT704" s="540" t="str">
        <f t="shared" si="2160"/>
        <v/>
      </c>
      <c r="CU704" s="540" t="str">
        <f t="shared" si="2160"/>
        <v/>
      </c>
      <c r="CV704" s="540" t="str">
        <f t="shared" si="2160"/>
        <v/>
      </c>
      <c r="CW704" s="539" t="str">
        <f t="shared" ref="CW704:DC708" si="2161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61"/>
        <v/>
      </c>
      <c r="CY704" s="539" t="str">
        <f t="shared" si="2161"/>
        <v/>
      </c>
      <c r="CZ704" s="539" t="str">
        <f t="shared" si="2161"/>
        <v/>
      </c>
      <c r="DA704" s="539" t="str">
        <f t="shared" si="2161"/>
        <v/>
      </c>
      <c r="DB704" s="538" t="str">
        <f t="shared" si="2161"/>
        <v/>
      </c>
      <c r="DC704" s="537" t="str">
        <f t="shared" si="2161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298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54"/>
        <v/>
      </c>
      <c r="CA705" s="586" t="str">
        <f t="shared" si="2155"/>
        <v/>
      </c>
      <c r="CB705" s="586" t="str">
        <f t="shared" si="2156"/>
        <v/>
      </c>
      <c r="CC705" s="676" t="str">
        <f t="shared" si="2157"/>
        <v/>
      </c>
      <c r="CD705" s="1316" t="str">
        <f t="shared" si="2158"/>
        <v/>
      </c>
      <c r="CE705" s="1317" t="str">
        <f t="shared" si="2158"/>
        <v/>
      </c>
      <c r="CF705" s="1317" t="str">
        <f t="shared" si="2158"/>
        <v/>
      </c>
      <c r="CG705" s="1317" t="str">
        <f t="shared" si="2158"/>
        <v/>
      </c>
      <c r="CH705" s="1318" t="str">
        <f t="shared" si="2158"/>
        <v/>
      </c>
      <c r="CI705" s="1318" t="str">
        <f t="shared" si="2158"/>
        <v/>
      </c>
      <c r="CJ705" s="1317" t="str">
        <f t="shared" si="2159"/>
        <v/>
      </c>
      <c r="CK705" s="1317" t="str">
        <f t="shared" si="2159"/>
        <v/>
      </c>
      <c r="CL705" s="1317" t="str">
        <f t="shared" si="2159"/>
        <v/>
      </c>
      <c r="CM705" s="1316" t="str">
        <f t="shared" si="2159"/>
        <v/>
      </c>
      <c r="CN705" s="538" t="str">
        <f t="shared" si="2160"/>
        <v/>
      </c>
      <c r="CO705" s="539" t="str">
        <f t="shared" si="2160"/>
        <v/>
      </c>
      <c r="CP705" s="539" t="str">
        <f t="shared" si="2160"/>
        <v/>
      </c>
      <c r="CQ705" s="539" t="str">
        <f t="shared" si="2160"/>
        <v/>
      </c>
      <c r="CR705" s="539" t="str">
        <f t="shared" si="2160"/>
        <v/>
      </c>
      <c r="CS705" s="539" t="str">
        <f t="shared" si="2160"/>
        <v/>
      </c>
      <c r="CT705" s="540" t="str">
        <f t="shared" si="2160"/>
        <v/>
      </c>
      <c r="CU705" s="540" t="str">
        <f t="shared" si="2160"/>
        <v/>
      </c>
      <c r="CV705" s="540" t="str">
        <f t="shared" si="2160"/>
        <v/>
      </c>
      <c r="CW705" s="539" t="str">
        <f t="shared" si="2161"/>
        <v/>
      </c>
      <c r="CX705" s="539" t="str">
        <f t="shared" si="2161"/>
        <v/>
      </c>
      <c r="CY705" s="539" t="str">
        <f t="shared" si="2161"/>
        <v/>
      </c>
      <c r="CZ705" s="539" t="str">
        <f t="shared" si="2161"/>
        <v/>
      </c>
      <c r="DA705" s="539" t="str">
        <f t="shared" si="2161"/>
        <v/>
      </c>
      <c r="DB705" s="538" t="str">
        <f t="shared" si="2161"/>
        <v/>
      </c>
      <c r="DC705" s="537" t="str">
        <f t="shared" si="2161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54"/>
        <v/>
      </c>
      <c r="CA706" s="586" t="str">
        <f t="shared" si="2155"/>
        <v/>
      </c>
      <c r="CB706" s="586" t="str">
        <f t="shared" si="2156"/>
        <v/>
      </c>
      <c r="CC706" s="676" t="str">
        <f t="shared" si="2157"/>
        <v/>
      </c>
      <c r="CD706" s="1316" t="str">
        <f t="shared" si="2158"/>
        <v/>
      </c>
      <c r="CE706" s="1317" t="str">
        <f t="shared" si="2158"/>
        <v/>
      </c>
      <c r="CF706" s="1317" t="str">
        <f t="shared" si="2158"/>
        <v/>
      </c>
      <c r="CG706" s="1317" t="str">
        <f t="shared" si="2158"/>
        <v/>
      </c>
      <c r="CH706" s="1318" t="str">
        <f t="shared" si="2158"/>
        <v/>
      </c>
      <c r="CI706" s="1318" t="str">
        <f t="shared" si="2158"/>
        <v/>
      </c>
      <c r="CJ706" s="1317" t="str">
        <f t="shared" si="2159"/>
        <v/>
      </c>
      <c r="CK706" s="1317" t="str">
        <f t="shared" si="2159"/>
        <v/>
      </c>
      <c r="CL706" s="1317" t="str">
        <f t="shared" si="2159"/>
        <v/>
      </c>
      <c r="CM706" s="1316" t="str">
        <f t="shared" si="2159"/>
        <v/>
      </c>
      <c r="CN706" s="538" t="str">
        <f t="shared" si="2160"/>
        <v/>
      </c>
      <c r="CO706" s="539" t="str">
        <f t="shared" si="2160"/>
        <v/>
      </c>
      <c r="CP706" s="539" t="str">
        <f t="shared" si="2160"/>
        <v/>
      </c>
      <c r="CQ706" s="539" t="str">
        <f t="shared" si="2160"/>
        <v/>
      </c>
      <c r="CR706" s="539" t="str">
        <f t="shared" si="2160"/>
        <v/>
      </c>
      <c r="CS706" s="539" t="str">
        <f t="shared" si="2160"/>
        <v/>
      </c>
      <c r="CT706" s="540" t="str">
        <f t="shared" si="2160"/>
        <v/>
      </c>
      <c r="CU706" s="540" t="str">
        <f t="shared" si="2160"/>
        <v/>
      </c>
      <c r="CV706" s="540" t="str">
        <f t="shared" si="2160"/>
        <v/>
      </c>
      <c r="CW706" s="539" t="str">
        <f t="shared" si="2161"/>
        <v/>
      </c>
      <c r="CX706" s="539" t="str">
        <f t="shared" si="2161"/>
        <v/>
      </c>
      <c r="CY706" s="539" t="str">
        <f t="shared" si="2161"/>
        <v/>
      </c>
      <c r="CZ706" s="539" t="str">
        <f t="shared" si="2161"/>
        <v/>
      </c>
      <c r="DA706" s="539" t="str">
        <f t="shared" si="2161"/>
        <v/>
      </c>
      <c r="DB706" s="538" t="str">
        <f t="shared" si="2161"/>
        <v/>
      </c>
      <c r="DC706" s="537" t="str">
        <f t="shared" si="2161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54"/>
        <v/>
      </c>
      <c r="CA707" s="586" t="str">
        <f t="shared" si="2155"/>
        <v/>
      </c>
      <c r="CB707" s="586" t="str">
        <f t="shared" si="2156"/>
        <v/>
      </c>
      <c r="CC707" s="676" t="str">
        <f t="shared" si="2157"/>
        <v/>
      </c>
      <c r="CD707" s="1316" t="str">
        <f t="shared" si="2158"/>
        <v/>
      </c>
      <c r="CE707" s="1317" t="str">
        <f t="shared" si="2158"/>
        <v/>
      </c>
      <c r="CF707" s="1317" t="str">
        <f t="shared" si="2158"/>
        <v/>
      </c>
      <c r="CG707" s="1317" t="str">
        <f t="shared" si="2158"/>
        <v/>
      </c>
      <c r="CH707" s="1318" t="str">
        <f t="shared" si="2158"/>
        <v/>
      </c>
      <c r="CI707" s="1318" t="str">
        <f t="shared" si="2158"/>
        <v/>
      </c>
      <c r="CJ707" s="1317" t="str">
        <f t="shared" si="2159"/>
        <v/>
      </c>
      <c r="CK707" s="1317" t="str">
        <f t="shared" si="2159"/>
        <v/>
      </c>
      <c r="CL707" s="1317" t="str">
        <f t="shared" si="2159"/>
        <v/>
      </c>
      <c r="CM707" s="1316" t="str">
        <f t="shared" si="2159"/>
        <v/>
      </c>
      <c r="CN707" s="538" t="str">
        <f t="shared" si="2160"/>
        <v/>
      </c>
      <c r="CO707" s="539" t="str">
        <f t="shared" si="2160"/>
        <v/>
      </c>
      <c r="CP707" s="539" t="str">
        <f t="shared" si="2160"/>
        <v/>
      </c>
      <c r="CQ707" s="539" t="str">
        <f t="shared" si="2160"/>
        <v/>
      </c>
      <c r="CR707" s="539" t="str">
        <f t="shared" si="2160"/>
        <v/>
      </c>
      <c r="CS707" s="539" t="str">
        <f t="shared" si="2160"/>
        <v/>
      </c>
      <c r="CT707" s="540" t="str">
        <f t="shared" si="2160"/>
        <v/>
      </c>
      <c r="CU707" s="540" t="str">
        <f t="shared" si="2160"/>
        <v/>
      </c>
      <c r="CV707" s="540" t="str">
        <f t="shared" si="2160"/>
        <v/>
      </c>
      <c r="CW707" s="539" t="str">
        <f t="shared" si="2161"/>
        <v/>
      </c>
      <c r="CX707" s="539" t="str">
        <f t="shared" si="2161"/>
        <v/>
      </c>
      <c r="CY707" s="539" t="str">
        <f t="shared" si="2161"/>
        <v/>
      </c>
      <c r="CZ707" s="539" t="str">
        <f t="shared" si="2161"/>
        <v/>
      </c>
      <c r="DA707" s="539" t="str">
        <f t="shared" si="2161"/>
        <v/>
      </c>
      <c r="DB707" s="538" t="str">
        <f t="shared" si="2161"/>
        <v/>
      </c>
      <c r="DC707" s="537" t="str">
        <f t="shared" si="2161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315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54"/>
        <v>0</v>
      </c>
      <c r="CA708" s="586">
        <f t="shared" si="2155"/>
        <v>1108.8</v>
      </c>
      <c r="CB708" s="586">
        <f t="shared" si="2156"/>
        <v>752</v>
      </c>
      <c r="CC708" s="676">
        <f t="shared" si="2157"/>
        <v>0</v>
      </c>
      <c r="CD708" s="1316">
        <f t="shared" ref="CD708:CM708" si="21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7">
        <f t="shared" si="2162"/>
        <v>0</v>
      </c>
      <c r="CF708" s="1317">
        <f t="shared" si="2162"/>
        <v>0</v>
      </c>
      <c r="CG708" s="1317">
        <f t="shared" si="2162"/>
        <v>0</v>
      </c>
      <c r="CH708" s="1318">
        <f t="shared" si="2162"/>
        <v>0</v>
      </c>
      <c r="CI708" s="1318">
        <f t="shared" si="2162"/>
        <v>180</v>
      </c>
      <c r="CJ708" s="1317">
        <f t="shared" si="2162"/>
        <v>336</v>
      </c>
      <c r="CK708" s="1317">
        <f t="shared" si="2162"/>
        <v>1000</v>
      </c>
      <c r="CL708" s="1317">
        <f t="shared" si="2162"/>
        <v>4500</v>
      </c>
      <c r="CM708" s="1316">
        <f t="shared" si="2162"/>
        <v>5000</v>
      </c>
      <c r="CN708" s="538" t="str">
        <f t="shared" si="2160"/>
        <v/>
      </c>
      <c r="CO708" s="539" t="str">
        <f t="shared" si="2160"/>
        <v/>
      </c>
      <c r="CP708" s="539" t="str">
        <f t="shared" si="2160"/>
        <v/>
      </c>
      <c r="CQ708" s="539">
        <f t="shared" si="2160"/>
        <v>0</v>
      </c>
      <c r="CR708" s="539">
        <f t="shared" si="2160"/>
        <v>0</v>
      </c>
      <c r="CS708" s="539">
        <f t="shared" si="2160"/>
        <v>0</v>
      </c>
      <c r="CT708" s="540">
        <f t="shared" si="2160"/>
        <v>0</v>
      </c>
      <c r="CU708" s="540">
        <f t="shared" si="2160"/>
        <v>0</v>
      </c>
      <c r="CV708" s="540">
        <f t="shared" si="2160"/>
        <v>0</v>
      </c>
      <c r="CW708" s="539">
        <f t="shared" si="2161"/>
        <v>0</v>
      </c>
      <c r="CX708" s="539">
        <f t="shared" si="2161"/>
        <v>0</v>
      </c>
      <c r="CY708" s="539">
        <f t="shared" si="2161"/>
        <v>0</v>
      </c>
      <c r="CZ708" s="539">
        <f t="shared" si="2161"/>
        <v>2400</v>
      </c>
      <c r="DA708" s="539" t="str">
        <f t="shared" si="2161"/>
        <v/>
      </c>
      <c r="DB708" s="538" t="str">
        <f t="shared" si="2161"/>
        <v/>
      </c>
      <c r="DC708" s="537" t="str">
        <f t="shared" si="2161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316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54"/>
        <v/>
      </c>
      <c r="CA709" s="578" t="str">
        <f t="shared" si="2155"/>
        <v/>
      </c>
      <c r="CB709" s="578" t="str">
        <f t="shared" si="2156"/>
        <v/>
      </c>
      <c r="CC709" s="675" t="str">
        <f t="shared" si="2157"/>
        <v/>
      </c>
      <c r="CD709" s="1322"/>
      <c r="CE709" s="1322"/>
      <c r="CF709" s="1322"/>
      <c r="CG709" s="1322"/>
      <c r="CH709" s="1322"/>
      <c r="CI709" s="1322"/>
      <c r="CJ709" s="1322"/>
      <c r="CK709" s="1322"/>
      <c r="CL709" s="1322"/>
      <c r="CM709" s="1322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297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54"/>
        <v/>
      </c>
      <c r="CA710" s="586" t="str">
        <f t="shared" si="2155"/>
        <v/>
      </c>
      <c r="CB710" s="586" t="str">
        <f t="shared" si="2156"/>
        <v/>
      </c>
      <c r="CC710" s="676" t="str">
        <f t="shared" si="2157"/>
        <v/>
      </c>
      <c r="CD710" s="1316" t="str">
        <f t="shared" ref="CD710:CI713" si="21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7" t="str">
        <f t="shared" si="2163"/>
        <v/>
      </c>
      <c r="CF710" s="1317" t="str">
        <f t="shared" si="2163"/>
        <v/>
      </c>
      <c r="CG710" s="1317" t="str">
        <f t="shared" si="2163"/>
        <v/>
      </c>
      <c r="CH710" s="1318" t="str">
        <f t="shared" si="2163"/>
        <v/>
      </c>
      <c r="CI710" s="1318" t="str">
        <f t="shared" si="2163"/>
        <v/>
      </c>
      <c r="CJ710" s="1317" t="str">
        <f t="shared" ref="CJ710:CM713" si="21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17" t="str">
        <f t="shared" si="2164"/>
        <v/>
      </c>
      <c r="CL710" s="1317" t="str">
        <f t="shared" si="2164"/>
        <v/>
      </c>
      <c r="CM710" s="1316" t="str">
        <f t="shared" si="2164"/>
        <v/>
      </c>
      <c r="CN710" s="538" t="str">
        <f t="shared" ref="CN710:CV714" si="21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65"/>
        <v/>
      </c>
      <c r="CP710" s="539" t="str">
        <f t="shared" si="2165"/>
        <v/>
      </c>
      <c r="CQ710" s="539" t="str">
        <f t="shared" si="2165"/>
        <v/>
      </c>
      <c r="CR710" s="539" t="str">
        <f t="shared" si="2165"/>
        <v/>
      </c>
      <c r="CS710" s="539" t="str">
        <f t="shared" si="2165"/>
        <v/>
      </c>
      <c r="CT710" s="540" t="str">
        <f t="shared" si="2165"/>
        <v/>
      </c>
      <c r="CU710" s="540" t="str">
        <f t="shared" si="2165"/>
        <v/>
      </c>
      <c r="CV710" s="540" t="str">
        <f t="shared" si="2165"/>
        <v/>
      </c>
      <c r="CW710" s="539" t="str">
        <f t="shared" ref="CW710:DC714" si="2166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66"/>
        <v/>
      </c>
      <c r="CY710" s="539" t="str">
        <f t="shared" si="2166"/>
        <v/>
      </c>
      <c r="CZ710" s="539" t="str">
        <f t="shared" si="2166"/>
        <v/>
      </c>
      <c r="DA710" s="539" t="str">
        <f t="shared" si="2166"/>
        <v/>
      </c>
      <c r="DB710" s="538" t="str">
        <f t="shared" si="2166"/>
        <v/>
      </c>
      <c r="DC710" s="537" t="str">
        <f t="shared" si="2166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298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54"/>
        <v/>
      </c>
      <c r="CA711" s="586" t="str">
        <f t="shared" si="2155"/>
        <v/>
      </c>
      <c r="CB711" s="586" t="str">
        <f t="shared" si="2156"/>
        <v/>
      </c>
      <c r="CC711" s="676" t="str">
        <f t="shared" si="2157"/>
        <v/>
      </c>
      <c r="CD711" s="1316" t="str">
        <f t="shared" si="2163"/>
        <v/>
      </c>
      <c r="CE711" s="1317" t="str">
        <f t="shared" si="2163"/>
        <v/>
      </c>
      <c r="CF711" s="1317" t="str">
        <f t="shared" si="2163"/>
        <v/>
      </c>
      <c r="CG711" s="1317" t="str">
        <f t="shared" si="2163"/>
        <v/>
      </c>
      <c r="CH711" s="1318" t="str">
        <f t="shared" si="2163"/>
        <v/>
      </c>
      <c r="CI711" s="1318" t="str">
        <f t="shared" si="2163"/>
        <v/>
      </c>
      <c r="CJ711" s="1317" t="str">
        <f t="shared" si="2164"/>
        <v/>
      </c>
      <c r="CK711" s="1317" t="str">
        <f t="shared" si="2164"/>
        <v/>
      </c>
      <c r="CL711" s="1317" t="str">
        <f t="shared" si="2164"/>
        <v/>
      </c>
      <c r="CM711" s="1316" t="str">
        <f t="shared" si="2164"/>
        <v/>
      </c>
      <c r="CN711" s="538" t="str">
        <f t="shared" si="2165"/>
        <v/>
      </c>
      <c r="CO711" s="539" t="str">
        <f t="shared" si="2165"/>
        <v/>
      </c>
      <c r="CP711" s="539" t="str">
        <f t="shared" si="2165"/>
        <v/>
      </c>
      <c r="CQ711" s="539" t="str">
        <f t="shared" si="2165"/>
        <v/>
      </c>
      <c r="CR711" s="539" t="str">
        <f t="shared" si="2165"/>
        <v/>
      </c>
      <c r="CS711" s="539" t="str">
        <f t="shared" si="2165"/>
        <v/>
      </c>
      <c r="CT711" s="540" t="str">
        <f t="shared" si="2165"/>
        <v/>
      </c>
      <c r="CU711" s="540" t="str">
        <f t="shared" si="2165"/>
        <v/>
      </c>
      <c r="CV711" s="540" t="str">
        <f t="shared" si="2165"/>
        <v/>
      </c>
      <c r="CW711" s="539" t="str">
        <f t="shared" si="2166"/>
        <v/>
      </c>
      <c r="CX711" s="539" t="str">
        <f t="shared" si="2166"/>
        <v/>
      </c>
      <c r="CY711" s="539" t="str">
        <f t="shared" si="2166"/>
        <v/>
      </c>
      <c r="CZ711" s="539" t="str">
        <f t="shared" si="2166"/>
        <v/>
      </c>
      <c r="DA711" s="539" t="str">
        <f t="shared" si="2166"/>
        <v/>
      </c>
      <c r="DB711" s="538" t="str">
        <f t="shared" si="2166"/>
        <v/>
      </c>
      <c r="DC711" s="537" t="str">
        <f t="shared" si="2166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54"/>
        <v/>
      </c>
      <c r="CA712" s="586" t="str">
        <f t="shared" si="2155"/>
        <v/>
      </c>
      <c r="CB712" s="586" t="str">
        <f t="shared" si="2156"/>
        <v/>
      </c>
      <c r="CC712" s="676" t="str">
        <f t="shared" si="2157"/>
        <v/>
      </c>
      <c r="CD712" s="1316" t="str">
        <f t="shared" si="2163"/>
        <v/>
      </c>
      <c r="CE712" s="1317" t="str">
        <f t="shared" si="2163"/>
        <v/>
      </c>
      <c r="CF712" s="1317" t="str">
        <f t="shared" si="2163"/>
        <v/>
      </c>
      <c r="CG712" s="1317" t="str">
        <f t="shared" si="2163"/>
        <v/>
      </c>
      <c r="CH712" s="1318" t="str">
        <f t="shared" si="2163"/>
        <v/>
      </c>
      <c r="CI712" s="1318" t="str">
        <f t="shared" si="2163"/>
        <v/>
      </c>
      <c r="CJ712" s="1317" t="str">
        <f t="shared" si="2164"/>
        <v/>
      </c>
      <c r="CK712" s="1317" t="str">
        <f t="shared" si="2164"/>
        <v/>
      </c>
      <c r="CL712" s="1317" t="str">
        <f t="shared" si="2164"/>
        <v/>
      </c>
      <c r="CM712" s="1316" t="str">
        <f t="shared" si="2164"/>
        <v/>
      </c>
      <c r="CN712" s="538" t="str">
        <f t="shared" si="2165"/>
        <v/>
      </c>
      <c r="CO712" s="539" t="str">
        <f t="shared" si="2165"/>
        <v/>
      </c>
      <c r="CP712" s="539" t="str">
        <f t="shared" si="2165"/>
        <v/>
      </c>
      <c r="CQ712" s="539" t="str">
        <f t="shared" si="2165"/>
        <v/>
      </c>
      <c r="CR712" s="539" t="str">
        <f t="shared" si="2165"/>
        <v/>
      </c>
      <c r="CS712" s="539" t="str">
        <f t="shared" si="2165"/>
        <v/>
      </c>
      <c r="CT712" s="540" t="str">
        <f t="shared" si="2165"/>
        <v/>
      </c>
      <c r="CU712" s="540" t="str">
        <f t="shared" si="2165"/>
        <v/>
      </c>
      <c r="CV712" s="540" t="str">
        <f t="shared" si="2165"/>
        <v/>
      </c>
      <c r="CW712" s="539" t="str">
        <f t="shared" si="2166"/>
        <v/>
      </c>
      <c r="CX712" s="539" t="str">
        <f t="shared" si="2166"/>
        <v/>
      </c>
      <c r="CY712" s="539" t="str">
        <f t="shared" si="2166"/>
        <v/>
      </c>
      <c r="CZ712" s="539" t="str">
        <f t="shared" si="2166"/>
        <v/>
      </c>
      <c r="DA712" s="539" t="str">
        <f t="shared" si="2166"/>
        <v/>
      </c>
      <c r="DB712" s="538" t="str">
        <f t="shared" si="2166"/>
        <v/>
      </c>
      <c r="DC712" s="537" t="str">
        <f t="shared" si="2166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54"/>
        <v/>
      </c>
      <c r="CA713" s="586" t="str">
        <f t="shared" si="2155"/>
        <v/>
      </c>
      <c r="CB713" s="586" t="str">
        <f t="shared" si="2156"/>
        <v/>
      </c>
      <c r="CC713" s="676" t="str">
        <f t="shared" si="2157"/>
        <v/>
      </c>
      <c r="CD713" s="1316" t="str">
        <f t="shared" si="2163"/>
        <v/>
      </c>
      <c r="CE713" s="1317" t="str">
        <f t="shared" si="2163"/>
        <v/>
      </c>
      <c r="CF713" s="1317" t="str">
        <f t="shared" si="2163"/>
        <v/>
      </c>
      <c r="CG713" s="1317" t="str">
        <f t="shared" si="2163"/>
        <v/>
      </c>
      <c r="CH713" s="1318" t="str">
        <f t="shared" si="2163"/>
        <v/>
      </c>
      <c r="CI713" s="1318" t="str">
        <f t="shared" si="2163"/>
        <v/>
      </c>
      <c r="CJ713" s="1317" t="str">
        <f t="shared" si="2164"/>
        <v/>
      </c>
      <c r="CK713" s="1317" t="str">
        <f t="shared" si="2164"/>
        <v/>
      </c>
      <c r="CL713" s="1317" t="str">
        <f t="shared" si="2164"/>
        <v/>
      </c>
      <c r="CM713" s="1316" t="str">
        <f t="shared" si="2164"/>
        <v/>
      </c>
      <c r="CN713" s="538" t="str">
        <f t="shared" si="2165"/>
        <v/>
      </c>
      <c r="CO713" s="539" t="str">
        <f t="shared" si="2165"/>
        <v/>
      </c>
      <c r="CP713" s="539" t="str">
        <f t="shared" si="2165"/>
        <v/>
      </c>
      <c r="CQ713" s="539" t="str">
        <f t="shared" si="2165"/>
        <v/>
      </c>
      <c r="CR713" s="539" t="str">
        <f t="shared" si="2165"/>
        <v/>
      </c>
      <c r="CS713" s="539" t="str">
        <f t="shared" si="2165"/>
        <v/>
      </c>
      <c r="CT713" s="540" t="str">
        <f t="shared" si="2165"/>
        <v/>
      </c>
      <c r="CU713" s="540" t="str">
        <f t="shared" si="2165"/>
        <v/>
      </c>
      <c r="CV713" s="540" t="str">
        <f t="shared" si="2165"/>
        <v/>
      </c>
      <c r="CW713" s="539" t="str">
        <f t="shared" si="2166"/>
        <v/>
      </c>
      <c r="CX713" s="539" t="str">
        <f t="shared" si="2166"/>
        <v/>
      </c>
      <c r="CY713" s="539" t="str">
        <f t="shared" si="2166"/>
        <v/>
      </c>
      <c r="CZ713" s="539" t="str">
        <f t="shared" si="2166"/>
        <v/>
      </c>
      <c r="DA713" s="539" t="str">
        <f t="shared" si="2166"/>
        <v/>
      </c>
      <c r="DB713" s="538" t="str">
        <f t="shared" si="2166"/>
        <v/>
      </c>
      <c r="DC713" s="537" t="str">
        <f t="shared" si="2166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315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54"/>
        <v>0</v>
      </c>
      <c r="CA714" s="586">
        <f t="shared" si="2155"/>
        <v>0</v>
      </c>
      <c r="CB714" s="586">
        <f t="shared" si="2156"/>
        <v>0</v>
      </c>
      <c r="CC714" s="676">
        <f t="shared" si="2157"/>
        <v>0</v>
      </c>
      <c r="CD714" s="131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7">
        <f t="shared" ref="CE714:CM714" si="21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7">
        <f t="shared" si="2167"/>
        <v>0</v>
      </c>
      <c r="CG714" s="1317">
        <f t="shared" si="2167"/>
        <v>0</v>
      </c>
      <c r="CH714" s="1318">
        <f t="shared" si="2167"/>
        <v>0</v>
      </c>
      <c r="CI714" s="1318">
        <f t="shared" si="2167"/>
        <v>0</v>
      </c>
      <c r="CJ714" s="1317">
        <f t="shared" si="2167"/>
        <v>0</v>
      </c>
      <c r="CK714" s="1317">
        <f t="shared" si="2167"/>
        <v>0</v>
      </c>
      <c r="CL714" s="1317">
        <f t="shared" si="2167"/>
        <v>0</v>
      </c>
      <c r="CM714" s="1316">
        <f t="shared" si="2167"/>
        <v>660</v>
      </c>
      <c r="CN714" s="538" t="str">
        <f t="shared" si="2165"/>
        <v/>
      </c>
      <c r="CO714" s="539" t="str">
        <f t="shared" si="2165"/>
        <v/>
      </c>
      <c r="CP714" s="539" t="str">
        <f t="shared" si="2165"/>
        <v/>
      </c>
      <c r="CQ714" s="539">
        <f t="shared" si="2165"/>
        <v>0</v>
      </c>
      <c r="CR714" s="539">
        <f t="shared" si="2165"/>
        <v>0</v>
      </c>
      <c r="CS714" s="539">
        <f t="shared" si="2165"/>
        <v>0</v>
      </c>
      <c r="CT714" s="540">
        <f t="shared" si="2165"/>
        <v>0</v>
      </c>
      <c r="CU714" s="540">
        <f t="shared" si="2165"/>
        <v>0</v>
      </c>
      <c r="CV714" s="540">
        <f t="shared" si="2165"/>
        <v>0</v>
      </c>
      <c r="CW714" s="539">
        <f t="shared" si="2166"/>
        <v>0</v>
      </c>
      <c r="CX714" s="539">
        <f t="shared" si="2166"/>
        <v>0</v>
      </c>
      <c r="CY714" s="539">
        <f t="shared" si="2166"/>
        <v>0</v>
      </c>
      <c r="CZ714" s="539">
        <f t="shared" si="2166"/>
        <v>0</v>
      </c>
      <c r="DA714" s="539" t="str">
        <f t="shared" si="2166"/>
        <v/>
      </c>
      <c r="DB714" s="538" t="str">
        <f t="shared" si="2166"/>
        <v/>
      </c>
      <c r="DC714" s="537" t="str">
        <f t="shared" si="2166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317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54"/>
        <v/>
      </c>
      <c r="CA715" s="578" t="str">
        <f t="shared" si="2155"/>
        <v/>
      </c>
      <c r="CB715" s="578" t="str">
        <f t="shared" si="2156"/>
        <v/>
      </c>
      <c r="CC715" s="675" t="str">
        <f t="shared" si="2157"/>
        <v/>
      </c>
      <c r="CD715" s="1322"/>
      <c r="CE715" s="1322"/>
      <c r="CF715" s="1322"/>
      <c r="CG715" s="1322"/>
      <c r="CH715" s="1322"/>
      <c r="CI715" s="1322"/>
      <c r="CJ715" s="1322"/>
      <c r="CK715" s="1322"/>
      <c r="CL715" s="1322"/>
      <c r="CM715" s="1322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297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54"/>
        <v/>
      </c>
      <c r="CA716" s="586" t="str">
        <f t="shared" si="2155"/>
        <v/>
      </c>
      <c r="CB716" s="586" t="str">
        <f t="shared" si="2156"/>
        <v/>
      </c>
      <c r="CC716" s="676" t="str">
        <f t="shared" si="2157"/>
        <v/>
      </c>
      <c r="CD716" s="1316" t="str">
        <f t="shared" ref="CD716:CD719" si="21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7" t="str">
        <f t="shared" ref="CE716:CE719" si="21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7" t="str">
        <f t="shared" ref="CF716:CF719" si="21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7" t="str">
        <f t="shared" ref="CG716:CG719" si="21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8" t="str">
        <f t="shared" ref="CH716:CH719" si="21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8" t="str">
        <f t="shared" ref="CI716:CI719" si="21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7" t="str">
        <f t="shared" ref="CJ716:CJ719" si="21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7" t="str">
        <f t="shared" ref="CK716:CK719" si="21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7" t="str">
        <f t="shared" ref="CL716:CL719" si="21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6" t="str">
        <f t="shared" ref="CM716:CM719" si="21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94">COUNT(B716:R716)</f>
        <v>0</v>
      </c>
      <c r="DE716" s="95">
        <f t="shared" ref="DE716:DE727" si="2195">COUNT(T716:AJ716)</f>
        <v>0</v>
      </c>
      <c r="DF716" s="95">
        <f t="shared" ref="DF716:DF727" si="2196">COUNT(AL716:BB716)</f>
        <v>0</v>
      </c>
      <c r="DG716" s="95">
        <f t="shared" ref="DG716:DG727" si="2197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298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54"/>
        <v/>
      </c>
      <c r="CA717" s="586" t="str">
        <f t="shared" si="2155"/>
        <v/>
      </c>
      <c r="CB717" s="586" t="str">
        <f t="shared" si="2156"/>
        <v/>
      </c>
      <c r="CC717" s="676" t="str">
        <f t="shared" si="2157"/>
        <v/>
      </c>
      <c r="CD717" s="1316" t="str">
        <f t="shared" si="2168"/>
        <v/>
      </c>
      <c r="CE717" s="1317" t="str">
        <f t="shared" si="2169"/>
        <v/>
      </c>
      <c r="CF717" s="1317" t="str">
        <f t="shared" si="2170"/>
        <v/>
      </c>
      <c r="CG717" s="1317" t="str">
        <f t="shared" si="2171"/>
        <v/>
      </c>
      <c r="CH717" s="1318" t="str">
        <f t="shared" si="2172"/>
        <v/>
      </c>
      <c r="CI717" s="1318" t="str">
        <f t="shared" si="2173"/>
        <v/>
      </c>
      <c r="CJ717" s="1317" t="str">
        <f t="shared" si="2174"/>
        <v/>
      </c>
      <c r="CK717" s="1317" t="str">
        <f t="shared" si="2175"/>
        <v/>
      </c>
      <c r="CL717" s="1317" t="str">
        <f t="shared" si="2176"/>
        <v/>
      </c>
      <c r="CM717" s="1316" t="str">
        <f t="shared" si="2177"/>
        <v/>
      </c>
      <c r="CN717" s="538" t="str">
        <f t="shared" si="2178"/>
        <v/>
      </c>
      <c r="CO717" s="539" t="str">
        <f t="shared" si="2179"/>
        <v/>
      </c>
      <c r="CP717" s="539" t="str">
        <f t="shared" si="2180"/>
        <v/>
      </c>
      <c r="CQ717" s="539" t="str">
        <f t="shared" si="2181"/>
        <v/>
      </c>
      <c r="CR717" s="539" t="str">
        <f t="shared" si="2182"/>
        <v/>
      </c>
      <c r="CS717" s="539" t="str">
        <f t="shared" si="2183"/>
        <v/>
      </c>
      <c r="CT717" s="540" t="str">
        <f t="shared" si="2184"/>
        <v/>
      </c>
      <c r="CU717" s="540" t="str">
        <f t="shared" si="2185"/>
        <v/>
      </c>
      <c r="CV717" s="540" t="str">
        <f t="shared" si="2186"/>
        <v/>
      </c>
      <c r="CW717" s="539" t="str">
        <f t="shared" si="2187"/>
        <v/>
      </c>
      <c r="CX717" s="539" t="str">
        <f t="shared" si="2188"/>
        <v/>
      </c>
      <c r="CY717" s="539" t="str">
        <f t="shared" si="2189"/>
        <v/>
      </c>
      <c r="CZ717" s="539" t="str">
        <f t="shared" si="2190"/>
        <v/>
      </c>
      <c r="DA717" s="539" t="str">
        <f t="shared" si="2191"/>
        <v/>
      </c>
      <c r="DB717" s="538" t="str">
        <f t="shared" si="2192"/>
        <v/>
      </c>
      <c r="DC717" s="537" t="str">
        <f t="shared" si="2193"/>
        <v/>
      </c>
      <c r="DD717" s="641">
        <f t="shared" si="2194"/>
        <v>0</v>
      </c>
      <c r="DE717" s="95">
        <f t="shared" si="2195"/>
        <v>0</v>
      </c>
      <c r="DF717" s="95">
        <f t="shared" si="2196"/>
        <v>0</v>
      </c>
      <c r="DG717" s="95">
        <f t="shared" si="2197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54"/>
        <v/>
      </c>
      <c r="CA718" s="586" t="str">
        <f t="shared" si="2155"/>
        <v/>
      </c>
      <c r="CB718" s="586" t="str">
        <f t="shared" si="2156"/>
        <v/>
      </c>
      <c r="CC718" s="676" t="str">
        <f t="shared" si="2157"/>
        <v/>
      </c>
      <c r="CD718" s="1316" t="str">
        <f t="shared" si="2168"/>
        <v/>
      </c>
      <c r="CE718" s="1317" t="str">
        <f t="shared" si="2169"/>
        <v/>
      </c>
      <c r="CF718" s="1317" t="str">
        <f t="shared" si="2170"/>
        <v/>
      </c>
      <c r="CG718" s="1317" t="str">
        <f t="shared" si="2171"/>
        <v/>
      </c>
      <c r="CH718" s="1318" t="str">
        <f t="shared" si="2172"/>
        <v/>
      </c>
      <c r="CI718" s="1318" t="str">
        <f t="shared" si="2173"/>
        <v/>
      </c>
      <c r="CJ718" s="1317" t="str">
        <f t="shared" si="2174"/>
        <v/>
      </c>
      <c r="CK718" s="1317" t="str">
        <f t="shared" si="2175"/>
        <v/>
      </c>
      <c r="CL718" s="1317" t="str">
        <f t="shared" si="2176"/>
        <v/>
      </c>
      <c r="CM718" s="1316" t="str">
        <f t="shared" si="2177"/>
        <v/>
      </c>
      <c r="CN718" s="538" t="str">
        <f t="shared" si="2178"/>
        <v/>
      </c>
      <c r="CO718" s="539" t="str">
        <f t="shared" si="2179"/>
        <v/>
      </c>
      <c r="CP718" s="539" t="str">
        <f t="shared" si="2180"/>
        <v/>
      </c>
      <c r="CQ718" s="539" t="str">
        <f t="shared" si="2181"/>
        <v/>
      </c>
      <c r="CR718" s="539" t="str">
        <f t="shared" si="2182"/>
        <v/>
      </c>
      <c r="CS718" s="539" t="str">
        <f t="shared" si="2183"/>
        <v/>
      </c>
      <c r="CT718" s="540" t="str">
        <f t="shared" si="2184"/>
        <v/>
      </c>
      <c r="CU718" s="540" t="str">
        <f t="shared" si="2185"/>
        <v/>
      </c>
      <c r="CV718" s="540" t="str">
        <f t="shared" si="2186"/>
        <v/>
      </c>
      <c r="CW718" s="539" t="str">
        <f t="shared" si="2187"/>
        <v/>
      </c>
      <c r="CX718" s="539" t="str">
        <f t="shared" si="2188"/>
        <v/>
      </c>
      <c r="CY718" s="539" t="str">
        <f t="shared" si="2189"/>
        <v/>
      </c>
      <c r="CZ718" s="539" t="str">
        <f t="shared" si="2190"/>
        <v/>
      </c>
      <c r="DA718" s="539" t="str">
        <f t="shared" si="2191"/>
        <v/>
      </c>
      <c r="DB718" s="538" t="str">
        <f t="shared" si="2192"/>
        <v/>
      </c>
      <c r="DC718" s="537" t="str">
        <f t="shared" si="2193"/>
        <v/>
      </c>
      <c r="DD718" s="641">
        <f t="shared" si="2194"/>
        <v>0</v>
      </c>
      <c r="DE718" s="95">
        <f t="shared" si="2195"/>
        <v>0</v>
      </c>
      <c r="DF718" s="95">
        <f t="shared" si="2196"/>
        <v>0</v>
      </c>
      <c r="DG718" s="95">
        <f t="shared" si="2197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54"/>
        <v/>
      </c>
      <c r="CA719" s="586" t="str">
        <f t="shared" si="2155"/>
        <v/>
      </c>
      <c r="CB719" s="586" t="str">
        <f t="shared" si="2156"/>
        <v/>
      </c>
      <c r="CC719" s="676" t="str">
        <f t="shared" si="2157"/>
        <v/>
      </c>
      <c r="CD719" s="1316" t="str">
        <f t="shared" si="2168"/>
        <v/>
      </c>
      <c r="CE719" s="1317" t="str">
        <f t="shared" si="2169"/>
        <v/>
      </c>
      <c r="CF719" s="1317" t="str">
        <f t="shared" si="2170"/>
        <v/>
      </c>
      <c r="CG719" s="1317" t="str">
        <f t="shared" si="2171"/>
        <v/>
      </c>
      <c r="CH719" s="1318" t="str">
        <f t="shared" si="2172"/>
        <v/>
      </c>
      <c r="CI719" s="1318" t="str">
        <f t="shared" si="2173"/>
        <v/>
      </c>
      <c r="CJ719" s="1317" t="str">
        <f t="shared" si="2174"/>
        <v/>
      </c>
      <c r="CK719" s="1317" t="str">
        <f t="shared" si="2175"/>
        <v/>
      </c>
      <c r="CL719" s="1317" t="str">
        <f t="shared" si="2176"/>
        <v/>
      </c>
      <c r="CM719" s="1316" t="str">
        <f t="shared" si="2177"/>
        <v/>
      </c>
      <c r="CN719" s="538" t="str">
        <f t="shared" si="2178"/>
        <v/>
      </c>
      <c r="CO719" s="539" t="str">
        <f t="shared" si="2179"/>
        <v/>
      </c>
      <c r="CP719" s="539" t="str">
        <f t="shared" si="2180"/>
        <v/>
      </c>
      <c r="CQ719" s="539" t="str">
        <f t="shared" si="2181"/>
        <v/>
      </c>
      <c r="CR719" s="539" t="str">
        <f t="shared" si="2182"/>
        <v/>
      </c>
      <c r="CS719" s="539" t="str">
        <f t="shared" si="2183"/>
        <v/>
      </c>
      <c r="CT719" s="540" t="str">
        <f t="shared" si="2184"/>
        <v/>
      </c>
      <c r="CU719" s="540" t="str">
        <f t="shared" si="2185"/>
        <v/>
      </c>
      <c r="CV719" s="540" t="str">
        <f t="shared" si="2186"/>
        <v/>
      </c>
      <c r="CW719" s="539" t="str">
        <f t="shared" si="2187"/>
        <v/>
      </c>
      <c r="CX719" s="539" t="str">
        <f t="shared" si="2188"/>
        <v/>
      </c>
      <c r="CY719" s="539" t="str">
        <f t="shared" si="2189"/>
        <v/>
      </c>
      <c r="CZ719" s="539" t="str">
        <f t="shared" si="2190"/>
        <v/>
      </c>
      <c r="DA719" s="539" t="str">
        <f t="shared" si="2191"/>
        <v/>
      </c>
      <c r="DB719" s="538" t="str">
        <f t="shared" si="2192"/>
        <v/>
      </c>
      <c r="DC719" s="537" t="str">
        <f t="shared" si="2193"/>
        <v/>
      </c>
      <c r="DD719" s="641">
        <f t="shared" si="2194"/>
        <v>0</v>
      </c>
      <c r="DE719" s="95">
        <f t="shared" si="2195"/>
        <v>0</v>
      </c>
      <c r="DF719" s="95">
        <f t="shared" si="2196"/>
        <v>0</v>
      </c>
      <c r="DG719" s="95">
        <f t="shared" si="2197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315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54"/>
        <v>0</v>
      </c>
      <c r="CA720" s="586">
        <f t="shared" si="2155"/>
        <v>0</v>
      </c>
      <c r="CB720" s="586">
        <f t="shared" si="2156"/>
        <v>0</v>
      </c>
      <c r="CC720" s="676">
        <f t="shared" si="2157"/>
        <v>0</v>
      </c>
      <c r="CD720" s="1316">
        <f t="shared" ref="CD720:CM720" si="21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7">
        <f t="shared" si="2198"/>
        <v>0</v>
      </c>
      <c r="CF720" s="1317">
        <f t="shared" si="2198"/>
        <v>0</v>
      </c>
      <c r="CG720" s="1317">
        <f t="shared" si="2198"/>
        <v>0</v>
      </c>
      <c r="CH720" s="1318">
        <f t="shared" si="2198"/>
        <v>0</v>
      </c>
      <c r="CI720" s="1318">
        <f t="shared" si="2198"/>
        <v>0</v>
      </c>
      <c r="CJ720" s="1317">
        <f t="shared" si="2198"/>
        <v>0</v>
      </c>
      <c r="CK720" s="1317">
        <f t="shared" si="2198"/>
        <v>0</v>
      </c>
      <c r="CL720" s="1317">
        <f t="shared" si="2198"/>
        <v>0</v>
      </c>
      <c r="CM720" s="1316">
        <f t="shared" si="2198"/>
        <v>6000</v>
      </c>
      <c r="CN720" s="538" t="str">
        <f t="shared" si="2178"/>
        <v/>
      </c>
      <c r="CO720" s="539" t="str">
        <f t="shared" si="2179"/>
        <v/>
      </c>
      <c r="CP720" s="539" t="str">
        <f t="shared" si="2180"/>
        <v/>
      </c>
      <c r="CQ720" s="539">
        <f t="shared" si="2181"/>
        <v>0</v>
      </c>
      <c r="CR720" s="539">
        <f t="shared" si="2182"/>
        <v>0</v>
      </c>
      <c r="CS720" s="539">
        <f t="shared" si="2183"/>
        <v>0</v>
      </c>
      <c r="CT720" s="540">
        <f t="shared" si="2184"/>
        <v>0</v>
      </c>
      <c r="CU720" s="540">
        <f t="shared" si="2185"/>
        <v>0</v>
      </c>
      <c r="CV720" s="540">
        <f t="shared" si="2186"/>
        <v>0</v>
      </c>
      <c r="CW720" s="539">
        <f t="shared" si="2187"/>
        <v>0</v>
      </c>
      <c r="CX720" s="539">
        <f t="shared" si="2188"/>
        <v>0</v>
      </c>
      <c r="CY720" s="539">
        <f t="shared" si="2189"/>
        <v>0</v>
      </c>
      <c r="CZ720" s="539">
        <f t="shared" si="2190"/>
        <v>0</v>
      </c>
      <c r="DA720" s="539" t="str">
        <f t="shared" si="2191"/>
        <v/>
      </c>
      <c r="DB720" s="538" t="str">
        <f t="shared" si="2192"/>
        <v/>
      </c>
      <c r="DC720" s="537" t="str">
        <f t="shared" si="2193"/>
        <v/>
      </c>
      <c r="DD720" s="641">
        <f t="shared" si="2194"/>
        <v>10</v>
      </c>
      <c r="DE720" s="95">
        <f t="shared" si="2195"/>
        <v>10</v>
      </c>
      <c r="DF720" s="95">
        <f t="shared" si="2196"/>
        <v>10</v>
      </c>
      <c r="DG720" s="95">
        <f t="shared" si="2197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318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54"/>
        <v/>
      </c>
      <c r="CA721" s="586" t="str">
        <f t="shared" si="2155"/>
        <v/>
      </c>
      <c r="CB721" s="586" t="str">
        <f t="shared" si="2156"/>
        <v/>
      </c>
      <c r="CC721" s="676">
        <f t="shared" si="2157"/>
        <v>2</v>
      </c>
      <c r="CD721" s="1316" t="str">
        <f t="shared" ref="CD721:CD733" si="219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7" t="str">
        <f t="shared" ref="CE721:CM733" si="220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7" t="str">
        <f t="shared" si="2200"/>
        <v/>
      </c>
      <c r="CG721" s="1317" t="str">
        <f t="shared" si="2200"/>
        <v/>
      </c>
      <c r="CH721" s="1318">
        <f t="shared" si="2200"/>
        <v>1</v>
      </c>
      <c r="CI721" s="1318" t="str">
        <f t="shared" si="2200"/>
        <v/>
      </c>
      <c r="CJ721" s="1317" t="str">
        <f t="shared" si="2200"/>
        <v/>
      </c>
      <c r="CK721" s="1317" t="str">
        <f t="shared" si="2200"/>
        <v/>
      </c>
      <c r="CL721" s="1317" t="str">
        <f t="shared" si="2200"/>
        <v/>
      </c>
      <c r="CM721" s="1316" t="str">
        <f t="shared" si="2200"/>
        <v/>
      </c>
      <c r="CN721" s="538" t="str">
        <f t="shared" si="2178"/>
        <v/>
      </c>
      <c r="CO721" s="539" t="str">
        <f t="shared" si="2179"/>
        <v/>
      </c>
      <c r="CP721" s="539" t="str">
        <f t="shared" si="2180"/>
        <v/>
      </c>
      <c r="CQ721" s="539" t="str">
        <f t="shared" si="2181"/>
        <v/>
      </c>
      <c r="CR721" s="539" t="str">
        <f t="shared" si="2182"/>
        <v/>
      </c>
      <c r="CS721" s="539">
        <f t="shared" si="2183"/>
        <v>0</v>
      </c>
      <c r="CT721" s="540">
        <f t="shared" si="2184"/>
        <v>1</v>
      </c>
      <c r="CU721" s="540">
        <f t="shared" si="2185"/>
        <v>2</v>
      </c>
      <c r="CV721" s="540">
        <f t="shared" si="2186"/>
        <v>2</v>
      </c>
      <c r="CW721" s="539">
        <f t="shared" si="2187"/>
        <v>3</v>
      </c>
      <c r="CX721" s="539">
        <f t="shared" si="2188"/>
        <v>3</v>
      </c>
      <c r="CY721" s="539" t="str">
        <f t="shared" si="2189"/>
        <v/>
      </c>
      <c r="CZ721" s="539" t="str">
        <f t="shared" si="2190"/>
        <v/>
      </c>
      <c r="DA721" s="539" t="str">
        <f t="shared" si="2191"/>
        <v/>
      </c>
      <c r="DB721" s="538" t="str">
        <f t="shared" si="2192"/>
        <v/>
      </c>
      <c r="DC721" s="537" t="str">
        <f t="shared" si="2193"/>
        <v/>
      </c>
      <c r="DD721" s="641">
        <f t="shared" si="2194"/>
        <v>0</v>
      </c>
      <c r="DE721" s="95">
        <f t="shared" si="2195"/>
        <v>0</v>
      </c>
      <c r="DF721" s="95">
        <f t="shared" si="2196"/>
        <v>1</v>
      </c>
      <c r="DG721" s="95">
        <f t="shared" si="2197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54"/>
        <v/>
      </c>
      <c r="CA722" s="586" t="str">
        <f t="shared" si="2155"/>
        <v/>
      </c>
      <c r="CB722" s="586" t="str">
        <f t="shared" si="2156"/>
        <v/>
      </c>
      <c r="CC722" s="676">
        <f t="shared" si="2157"/>
        <v>11.333333333333334</v>
      </c>
      <c r="CD722" s="1316" t="str">
        <f t="shared" si="2199"/>
        <v/>
      </c>
      <c r="CE722" s="1317" t="str">
        <f t="shared" si="2200"/>
        <v/>
      </c>
      <c r="CF722" s="1317" t="str">
        <f t="shared" si="2200"/>
        <v/>
      </c>
      <c r="CG722" s="1317" t="str">
        <f t="shared" si="2200"/>
        <v/>
      </c>
      <c r="CH722" s="1318">
        <f t="shared" si="2200"/>
        <v>12</v>
      </c>
      <c r="CI722" s="1318" t="str">
        <f t="shared" si="2200"/>
        <v/>
      </c>
      <c r="CJ722" s="1317" t="str">
        <f t="shared" si="2200"/>
        <v/>
      </c>
      <c r="CK722" s="1317" t="str">
        <f t="shared" si="2200"/>
        <v/>
      </c>
      <c r="CL722" s="1317" t="str">
        <f t="shared" si="2200"/>
        <v/>
      </c>
      <c r="CM722" s="1316" t="str">
        <f t="shared" si="2200"/>
        <v/>
      </c>
      <c r="CN722" s="538" t="str">
        <f t="shared" si="2178"/>
        <v/>
      </c>
      <c r="CO722" s="539" t="str">
        <f t="shared" si="2179"/>
        <v/>
      </c>
      <c r="CP722" s="539" t="str">
        <f t="shared" si="2180"/>
        <v/>
      </c>
      <c r="CQ722" s="539" t="str">
        <f t="shared" si="2181"/>
        <v/>
      </c>
      <c r="CR722" s="539" t="str">
        <f t="shared" si="2182"/>
        <v/>
      </c>
      <c r="CS722" s="539">
        <f t="shared" si="2183"/>
        <v>11</v>
      </c>
      <c r="CT722" s="540">
        <f t="shared" si="2184"/>
        <v>11</v>
      </c>
      <c r="CU722" s="540">
        <f t="shared" si="2185"/>
        <v>11</v>
      </c>
      <c r="CV722" s="540">
        <f t="shared" si="2186"/>
        <v>12</v>
      </c>
      <c r="CW722" s="539">
        <f t="shared" si="2187"/>
        <v>12</v>
      </c>
      <c r="CX722" s="539" t="str">
        <f t="shared" si="2188"/>
        <v/>
      </c>
      <c r="CY722" s="539" t="str">
        <f t="shared" si="2189"/>
        <v/>
      </c>
      <c r="CZ722" s="539" t="str">
        <f t="shared" si="2190"/>
        <v/>
      </c>
      <c r="DA722" s="539" t="str">
        <f t="shared" si="2191"/>
        <v/>
      </c>
      <c r="DB722" s="538" t="str">
        <f t="shared" si="2192"/>
        <v/>
      </c>
      <c r="DC722" s="537" t="str">
        <f t="shared" si="2193"/>
        <v/>
      </c>
      <c r="DD722" s="641">
        <f t="shared" si="2194"/>
        <v>0</v>
      </c>
      <c r="DE722" s="95">
        <f t="shared" si="2195"/>
        <v>0</v>
      </c>
      <c r="DF722" s="95">
        <f t="shared" si="2196"/>
        <v>1</v>
      </c>
      <c r="DG722" s="95">
        <f t="shared" si="2197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54"/>
        <v/>
      </c>
      <c r="CA723" s="586" t="str">
        <f t="shared" si="2155"/>
        <v/>
      </c>
      <c r="CB723" s="586" t="str">
        <f t="shared" si="2156"/>
        <v/>
      </c>
      <c r="CC723" s="676">
        <f t="shared" si="2157"/>
        <v>433.33333333333331</v>
      </c>
      <c r="CD723" s="1316" t="str">
        <f t="shared" si="2199"/>
        <v/>
      </c>
      <c r="CE723" s="1317" t="str">
        <f t="shared" si="2200"/>
        <v/>
      </c>
      <c r="CF723" s="1317" t="str">
        <f t="shared" si="2200"/>
        <v/>
      </c>
      <c r="CG723" s="1317" t="str">
        <f t="shared" si="2200"/>
        <v/>
      </c>
      <c r="CH723" s="1318">
        <f t="shared" si="2200"/>
        <v>233.33333333333334</v>
      </c>
      <c r="CI723" s="1318" t="str">
        <f t="shared" si="2200"/>
        <v/>
      </c>
      <c r="CJ723" s="1317" t="str">
        <f t="shared" si="2200"/>
        <v/>
      </c>
      <c r="CK723" s="1317" t="str">
        <f t="shared" si="2200"/>
        <v/>
      </c>
      <c r="CL723" s="1317" t="str">
        <f t="shared" si="2200"/>
        <v/>
      </c>
      <c r="CM723" s="1316" t="str">
        <f t="shared" si="2200"/>
        <v/>
      </c>
      <c r="CN723" s="538" t="str">
        <f t="shared" si="2178"/>
        <v/>
      </c>
      <c r="CO723" s="539" t="str">
        <f t="shared" si="2179"/>
        <v/>
      </c>
      <c r="CP723" s="539" t="str">
        <f t="shared" si="2180"/>
        <v/>
      </c>
      <c r="CQ723" s="539" t="str">
        <f t="shared" si="2181"/>
        <v/>
      </c>
      <c r="CR723" s="539" t="str">
        <f t="shared" si="2182"/>
        <v/>
      </c>
      <c r="CS723" s="539">
        <f t="shared" si="2183"/>
        <v>0</v>
      </c>
      <c r="CT723" s="540">
        <f t="shared" si="2184"/>
        <v>300</v>
      </c>
      <c r="CU723" s="540">
        <f t="shared" si="2185"/>
        <v>500</v>
      </c>
      <c r="CV723" s="540">
        <f t="shared" si="2186"/>
        <v>500</v>
      </c>
      <c r="CW723" s="539">
        <f t="shared" si="2187"/>
        <v>900</v>
      </c>
      <c r="CX723" s="539" t="str">
        <f t="shared" si="2188"/>
        <v/>
      </c>
      <c r="CY723" s="539" t="str">
        <f t="shared" si="2189"/>
        <v/>
      </c>
      <c r="CZ723" s="539" t="str">
        <f t="shared" si="2190"/>
        <v/>
      </c>
      <c r="DA723" s="539" t="str">
        <f t="shared" si="2191"/>
        <v/>
      </c>
      <c r="DB723" s="538" t="str">
        <f t="shared" si="2192"/>
        <v/>
      </c>
      <c r="DC723" s="537" t="str">
        <f t="shared" si="2193"/>
        <v/>
      </c>
      <c r="DD723" s="641">
        <f t="shared" si="2194"/>
        <v>0</v>
      </c>
      <c r="DE723" s="95">
        <f t="shared" si="2195"/>
        <v>0</v>
      </c>
      <c r="DF723" s="95">
        <f t="shared" si="2196"/>
        <v>1</v>
      </c>
      <c r="DG723" s="95">
        <f t="shared" si="2197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315</v>
      </c>
      <c r="B724" s="595" t="str">
        <f t="shared" ref="B724:K724" si="2201">IF(B721="","",B721*B722*B723)</f>
        <v/>
      </c>
      <c r="C724" s="595" t="str">
        <f t="shared" si="2201"/>
        <v/>
      </c>
      <c r="D724" s="595" t="str">
        <f t="shared" si="2201"/>
        <v/>
      </c>
      <c r="E724" s="595" t="str">
        <f t="shared" si="2201"/>
        <v/>
      </c>
      <c r="F724" s="595" t="str">
        <f t="shared" si="2201"/>
        <v/>
      </c>
      <c r="G724" s="595" t="str">
        <f t="shared" si="2201"/>
        <v/>
      </c>
      <c r="H724" s="595" t="str">
        <f t="shared" si="2201"/>
        <v/>
      </c>
      <c r="I724" s="595" t="str">
        <f t="shared" si="2201"/>
        <v/>
      </c>
      <c r="J724" s="595" t="str">
        <f t="shared" si="2201"/>
        <v/>
      </c>
      <c r="K724" s="595" t="str">
        <f t="shared" si="2201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202">IF(T721="","",T721*T722*T723)</f>
        <v/>
      </c>
      <c r="U724" s="595" t="str">
        <f t="shared" si="2202"/>
        <v/>
      </c>
      <c r="V724" s="595" t="str">
        <f t="shared" si="2202"/>
        <v/>
      </c>
      <c r="W724" s="595" t="str">
        <f t="shared" si="2202"/>
        <v/>
      </c>
      <c r="X724" s="595" t="str">
        <f t="shared" si="2202"/>
        <v/>
      </c>
      <c r="Y724" s="595" t="str">
        <f t="shared" si="2202"/>
        <v/>
      </c>
      <c r="Z724" s="595" t="str">
        <f t="shared" si="2202"/>
        <v/>
      </c>
      <c r="AA724" s="595" t="str">
        <f t="shared" si="2202"/>
        <v/>
      </c>
      <c r="AB724" s="595" t="str">
        <f t="shared" si="2202"/>
        <v/>
      </c>
      <c r="AC724" s="595" t="str">
        <f t="shared" si="2202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203">IF(AL721="","",AL721*AL722*AL723)</f>
        <v/>
      </c>
      <c r="AM724" s="595" t="str">
        <f t="shared" si="2203"/>
        <v/>
      </c>
      <c r="AN724" s="595" t="str">
        <f t="shared" si="2203"/>
        <v/>
      </c>
      <c r="AO724" s="595">
        <f t="shared" si="2203"/>
        <v>2800</v>
      </c>
      <c r="AP724" s="595" t="str">
        <f t="shared" si="2203"/>
        <v/>
      </c>
      <c r="AQ724" s="595" t="str">
        <f t="shared" si="2203"/>
        <v/>
      </c>
      <c r="AR724" s="595" t="str">
        <f t="shared" si="2203"/>
        <v/>
      </c>
      <c r="AS724" s="595" t="str">
        <f t="shared" si="2203"/>
        <v/>
      </c>
      <c r="AT724" s="595" t="str">
        <f t="shared" si="2203"/>
        <v/>
      </c>
      <c r="AU724" s="595" t="str">
        <f t="shared" si="2203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204">IF(BD721="","",BD721*BD722*BD723)</f>
        <v/>
      </c>
      <c r="BE724" s="595">
        <f t="shared" si="2204"/>
        <v>0</v>
      </c>
      <c r="BF724" s="595">
        <f t="shared" si="2204"/>
        <v>10800</v>
      </c>
      <c r="BG724" s="595" t="str">
        <f t="shared" si="2204"/>
        <v/>
      </c>
      <c r="BH724" s="595">
        <f t="shared" si="2204"/>
        <v>12000</v>
      </c>
      <c r="BI724" s="595" t="str">
        <f t="shared" si="2204"/>
        <v/>
      </c>
      <c r="BJ724" s="595">
        <f t="shared" si="2204"/>
        <v>16500</v>
      </c>
      <c r="BK724" s="595">
        <f t="shared" si="2204"/>
        <v>0</v>
      </c>
      <c r="BL724" s="595" t="str">
        <f t="shared" si="2204"/>
        <v/>
      </c>
      <c r="BM724" s="595">
        <f t="shared" si="2204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54"/>
        <v/>
      </c>
      <c r="CA724" s="586" t="str">
        <f t="shared" si="2155"/>
        <v/>
      </c>
      <c r="CB724" s="586" t="str">
        <f t="shared" si="2156"/>
        <v/>
      </c>
      <c r="CC724" s="676">
        <f t="shared" si="2157"/>
        <v>8175</v>
      </c>
      <c r="CD724" s="1316" t="str">
        <f t="shared" si="2199"/>
        <v/>
      </c>
      <c r="CE724" s="1317" t="str">
        <f t="shared" si="2200"/>
        <v/>
      </c>
      <c r="CF724" s="1317" t="str">
        <f t="shared" si="2200"/>
        <v/>
      </c>
      <c r="CG724" s="1317" t="str">
        <f t="shared" si="2200"/>
        <v/>
      </c>
      <c r="CH724" s="1318">
        <f t="shared" si="2200"/>
        <v>2800</v>
      </c>
      <c r="CI724" s="1318" t="str">
        <f t="shared" si="2200"/>
        <v/>
      </c>
      <c r="CJ724" s="1317" t="str">
        <f t="shared" si="2200"/>
        <v/>
      </c>
      <c r="CK724" s="1317" t="str">
        <f t="shared" si="2200"/>
        <v/>
      </c>
      <c r="CL724" s="1317" t="str">
        <f t="shared" si="2200"/>
        <v/>
      </c>
      <c r="CM724" s="1316" t="str">
        <f t="shared" si="2200"/>
        <v/>
      </c>
      <c r="CN724" s="538" t="str">
        <f t="shared" si="2178"/>
        <v/>
      </c>
      <c r="CO724" s="539" t="str">
        <f t="shared" si="2179"/>
        <v/>
      </c>
      <c r="CP724" s="539" t="str">
        <f t="shared" si="2180"/>
        <v/>
      </c>
      <c r="CQ724" s="539" t="str">
        <f t="shared" si="2181"/>
        <v/>
      </c>
      <c r="CR724" s="539" t="str">
        <f t="shared" si="2182"/>
        <v/>
      </c>
      <c r="CS724" s="539">
        <f t="shared" si="2183"/>
        <v>0</v>
      </c>
      <c r="CT724" s="540">
        <f t="shared" si="2184"/>
        <v>0</v>
      </c>
      <c r="CU724" s="540">
        <f t="shared" si="2185"/>
        <v>9900</v>
      </c>
      <c r="CV724" s="540">
        <f t="shared" si="2186"/>
        <v>10800</v>
      </c>
      <c r="CW724" s="539">
        <f t="shared" si="2187"/>
        <v>12000</v>
      </c>
      <c r="CX724" s="539">
        <f t="shared" si="2188"/>
        <v>16500</v>
      </c>
      <c r="CY724" s="539" t="str">
        <f t="shared" si="2189"/>
        <v/>
      </c>
      <c r="CZ724" s="539" t="str">
        <f t="shared" si="2190"/>
        <v/>
      </c>
      <c r="DA724" s="539" t="str">
        <f t="shared" si="2191"/>
        <v/>
      </c>
      <c r="DB724" s="538" t="str">
        <f t="shared" si="2192"/>
        <v/>
      </c>
      <c r="DC724" s="537" t="str">
        <f t="shared" si="2193"/>
        <v/>
      </c>
      <c r="DD724" s="641">
        <f t="shared" si="2194"/>
        <v>0</v>
      </c>
      <c r="DE724" s="95">
        <f t="shared" si="2195"/>
        <v>0</v>
      </c>
      <c r="DF724" s="95">
        <f t="shared" si="2196"/>
        <v>1</v>
      </c>
      <c r="DG724" s="95">
        <f t="shared" si="2197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54"/>
        <v/>
      </c>
      <c r="CA725" s="586" t="str">
        <f t="shared" si="2155"/>
        <v/>
      </c>
      <c r="CB725" s="586" t="str">
        <f t="shared" si="2156"/>
        <v/>
      </c>
      <c r="CC725" s="676" t="str">
        <f t="shared" si="2157"/>
        <v/>
      </c>
      <c r="CD725" s="1316" t="str">
        <f t="shared" si="2199"/>
        <v/>
      </c>
      <c r="CE725" s="1317" t="str">
        <f t="shared" si="2200"/>
        <v/>
      </c>
      <c r="CF725" s="1317" t="str">
        <f t="shared" si="2200"/>
        <v/>
      </c>
      <c r="CG725" s="1317" t="str">
        <f t="shared" si="2200"/>
        <v/>
      </c>
      <c r="CH725" s="1318" t="str">
        <f t="shared" si="2200"/>
        <v/>
      </c>
      <c r="CI725" s="1318" t="str">
        <f t="shared" si="2200"/>
        <v/>
      </c>
      <c r="CJ725" s="1317" t="str">
        <f t="shared" si="2200"/>
        <v/>
      </c>
      <c r="CK725" s="1317" t="str">
        <f t="shared" si="2200"/>
        <v/>
      </c>
      <c r="CL725" s="1317" t="str">
        <f t="shared" si="2200"/>
        <v/>
      </c>
      <c r="CM725" s="1316" t="str">
        <f t="shared" si="2200"/>
        <v/>
      </c>
      <c r="CN725" s="538" t="str">
        <f t="shared" si="2178"/>
        <v/>
      </c>
      <c r="CO725" s="539" t="str">
        <f t="shared" si="2179"/>
        <v/>
      </c>
      <c r="CP725" s="539" t="str">
        <f t="shared" si="2180"/>
        <v/>
      </c>
      <c r="CQ725" s="539" t="str">
        <f t="shared" si="2181"/>
        <v/>
      </c>
      <c r="CR725" s="539" t="str">
        <f t="shared" si="2182"/>
        <v/>
      </c>
      <c r="CS725" s="539" t="str">
        <f t="shared" si="2183"/>
        <v/>
      </c>
      <c r="CT725" s="540" t="str">
        <f t="shared" si="2184"/>
        <v/>
      </c>
      <c r="CU725" s="540" t="str">
        <f t="shared" si="2185"/>
        <v/>
      </c>
      <c r="CV725" s="540" t="str">
        <f t="shared" si="2186"/>
        <v/>
      </c>
      <c r="CW725" s="539" t="str">
        <f t="shared" si="2187"/>
        <v/>
      </c>
      <c r="CX725" s="539" t="str">
        <f t="shared" si="2188"/>
        <v/>
      </c>
      <c r="CY725" s="539" t="str">
        <f t="shared" si="2189"/>
        <v/>
      </c>
      <c r="CZ725" s="539" t="str">
        <f t="shared" si="2190"/>
        <v/>
      </c>
      <c r="DA725" s="539" t="str">
        <f t="shared" si="2191"/>
        <v/>
      </c>
      <c r="DB725" s="538" t="str">
        <f t="shared" si="2192"/>
        <v/>
      </c>
      <c r="DC725" s="537" t="str">
        <f t="shared" si="2193"/>
        <v/>
      </c>
      <c r="DD725" s="641">
        <f t="shared" si="2194"/>
        <v>0</v>
      </c>
      <c r="DE725" s="95">
        <f t="shared" si="2195"/>
        <v>0</v>
      </c>
      <c r="DF725" s="95">
        <f t="shared" si="2196"/>
        <v>0</v>
      </c>
      <c r="DG725" s="95">
        <f t="shared" si="2197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321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54"/>
        <v/>
      </c>
      <c r="CA726" s="586" t="str">
        <f t="shared" si="2155"/>
        <v/>
      </c>
      <c r="CB726" s="586" t="str">
        <f t="shared" si="2156"/>
        <v/>
      </c>
      <c r="CC726" s="676" t="str">
        <f t="shared" si="2157"/>
        <v/>
      </c>
      <c r="CD726" s="1316" t="str">
        <f t="shared" si="2199"/>
        <v/>
      </c>
      <c r="CE726" s="1317" t="str">
        <f t="shared" si="2200"/>
        <v/>
      </c>
      <c r="CF726" s="1317" t="str">
        <f t="shared" si="2200"/>
        <v/>
      </c>
      <c r="CG726" s="1317" t="str">
        <f t="shared" si="2200"/>
        <v/>
      </c>
      <c r="CH726" s="1318" t="str">
        <f t="shared" si="2200"/>
        <v/>
      </c>
      <c r="CI726" s="1318" t="str">
        <f t="shared" si="2200"/>
        <v/>
      </c>
      <c r="CJ726" s="1317" t="str">
        <f t="shared" si="2200"/>
        <v/>
      </c>
      <c r="CK726" s="1317" t="str">
        <f t="shared" si="2200"/>
        <v/>
      </c>
      <c r="CL726" s="1317" t="str">
        <f t="shared" si="2200"/>
        <v/>
      </c>
      <c r="CM726" s="1316" t="str">
        <f t="shared" si="2200"/>
        <v/>
      </c>
      <c r="CN726" s="538" t="str">
        <f t="shared" si="2178"/>
        <v/>
      </c>
      <c r="CO726" s="539" t="str">
        <f t="shared" si="2179"/>
        <v/>
      </c>
      <c r="CP726" s="539" t="str">
        <f t="shared" si="2180"/>
        <v/>
      </c>
      <c r="CQ726" s="539" t="str">
        <f t="shared" si="2181"/>
        <v/>
      </c>
      <c r="CR726" s="539" t="str">
        <f t="shared" si="2182"/>
        <v/>
      </c>
      <c r="CS726" s="539" t="str">
        <f t="shared" si="2183"/>
        <v/>
      </c>
      <c r="CT726" s="540" t="str">
        <f t="shared" si="2184"/>
        <v/>
      </c>
      <c r="CU726" s="540" t="str">
        <f t="shared" si="2185"/>
        <v/>
      </c>
      <c r="CV726" s="540" t="str">
        <f t="shared" si="2186"/>
        <v/>
      </c>
      <c r="CW726" s="539" t="str">
        <f t="shared" si="2187"/>
        <v/>
      </c>
      <c r="CX726" s="539" t="str">
        <f t="shared" si="2188"/>
        <v/>
      </c>
      <c r="CY726" s="539" t="str">
        <f t="shared" si="2189"/>
        <v/>
      </c>
      <c r="CZ726" s="539" t="str">
        <f t="shared" si="2190"/>
        <v/>
      </c>
      <c r="DA726" s="539" t="str">
        <f t="shared" si="2191"/>
        <v/>
      </c>
      <c r="DB726" s="538" t="str">
        <f t="shared" si="2192"/>
        <v/>
      </c>
      <c r="DC726" s="537" t="str">
        <f t="shared" si="2193"/>
        <v/>
      </c>
      <c r="DD726" s="641">
        <f t="shared" si="2194"/>
        <v>0</v>
      </c>
      <c r="DE726" s="95">
        <f t="shared" si="2195"/>
        <v>0</v>
      </c>
      <c r="DF726" s="95">
        <f t="shared" si="2196"/>
        <v>0</v>
      </c>
      <c r="DG726" s="95">
        <f t="shared" si="2197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315</v>
      </c>
      <c r="B727" s="596" t="str">
        <f t="shared" ref="B727:K727" si="2205">IF(B725="","",B725*B726)</f>
        <v/>
      </c>
      <c r="C727" s="596" t="str">
        <f t="shared" si="2205"/>
        <v/>
      </c>
      <c r="D727" s="596" t="str">
        <f t="shared" si="2205"/>
        <v/>
      </c>
      <c r="E727" s="596" t="str">
        <f t="shared" si="2205"/>
        <v/>
      </c>
      <c r="F727" s="596" t="str">
        <f t="shared" si="2205"/>
        <v/>
      </c>
      <c r="G727" s="596" t="str">
        <f t="shared" si="2205"/>
        <v/>
      </c>
      <c r="H727" s="596" t="str">
        <f t="shared" si="2205"/>
        <v/>
      </c>
      <c r="I727" s="596" t="str">
        <f t="shared" si="2205"/>
        <v/>
      </c>
      <c r="J727" s="596" t="str">
        <f t="shared" si="2205"/>
        <v/>
      </c>
      <c r="K727" s="596" t="str">
        <f t="shared" si="2205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206">IF(T725="","",T725*T726)</f>
        <v/>
      </c>
      <c r="U727" s="596" t="str">
        <f t="shared" si="2206"/>
        <v/>
      </c>
      <c r="V727" s="596" t="str">
        <f t="shared" si="2206"/>
        <v/>
      </c>
      <c r="W727" s="596" t="str">
        <f t="shared" si="2206"/>
        <v/>
      </c>
      <c r="X727" s="596" t="str">
        <f t="shared" si="2206"/>
        <v/>
      </c>
      <c r="Y727" s="596" t="str">
        <f t="shared" si="2206"/>
        <v/>
      </c>
      <c r="Z727" s="596" t="str">
        <f t="shared" si="2206"/>
        <v/>
      </c>
      <c r="AA727" s="596" t="str">
        <f t="shared" si="2206"/>
        <v/>
      </c>
      <c r="AB727" s="596" t="str">
        <f t="shared" si="2206"/>
        <v/>
      </c>
      <c r="AC727" s="596" t="str">
        <f t="shared" si="2206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207">IF(AL725="","",AL725*AL726)</f>
        <v/>
      </c>
      <c r="AM727" s="596" t="str">
        <f t="shared" si="2207"/>
        <v/>
      </c>
      <c r="AN727" s="596" t="str">
        <f t="shared" si="2207"/>
        <v/>
      </c>
      <c r="AO727" s="596" t="str">
        <f t="shared" si="2207"/>
        <v/>
      </c>
      <c r="AP727" s="596" t="str">
        <f t="shared" si="2207"/>
        <v/>
      </c>
      <c r="AQ727" s="596" t="str">
        <f t="shared" si="2207"/>
        <v/>
      </c>
      <c r="AR727" s="596" t="str">
        <f t="shared" si="2207"/>
        <v/>
      </c>
      <c r="AS727" s="596" t="str">
        <f t="shared" si="2207"/>
        <v/>
      </c>
      <c r="AT727" s="596" t="str">
        <f t="shared" si="2207"/>
        <v/>
      </c>
      <c r="AU727" s="596" t="str">
        <f t="shared" si="2207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208">IF(BD725="","",BD725*BD726)</f>
        <v/>
      </c>
      <c r="BE727" s="596" t="str">
        <f t="shared" si="2208"/>
        <v/>
      </c>
      <c r="BF727" s="596" t="str">
        <f t="shared" si="2208"/>
        <v/>
      </c>
      <c r="BG727" s="596" t="str">
        <f t="shared" si="2208"/>
        <v/>
      </c>
      <c r="BH727" s="596" t="str">
        <f t="shared" si="2208"/>
        <v/>
      </c>
      <c r="BI727" s="596" t="str">
        <f t="shared" si="2208"/>
        <v/>
      </c>
      <c r="BJ727" s="596" t="str">
        <f t="shared" si="2208"/>
        <v/>
      </c>
      <c r="BK727" s="596" t="str">
        <f t="shared" si="2208"/>
        <v/>
      </c>
      <c r="BL727" s="596" t="str">
        <f t="shared" si="2208"/>
        <v/>
      </c>
      <c r="BM727" s="596" t="str">
        <f t="shared" si="2208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54"/>
        <v/>
      </c>
      <c r="CA727" s="586" t="str">
        <f t="shared" si="2155"/>
        <v/>
      </c>
      <c r="CB727" s="586" t="str">
        <f t="shared" si="2156"/>
        <v/>
      </c>
      <c r="CC727" s="676" t="str">
        <f t="shared" si="2157"/>
        <v/>
      </c>
      <c r="CD727" s="1316" t="str">
        <f t="shared" si="2199"/>
        <v/>
      </c>
      <c r="CE727" s="1317" t="str">
        <f t="shared" si="2200"/>
        <v/>
      </c>
      <c r="CF727" s="1317" t="str">
        <f t="shared" si="2200"/>
        <v/>
      </c>
      <c r="CG727" s="1317" t="str">
        <f t="shared" si="2200"/>
        <v/>
      </c>
      <c r="CH727" s="1318" t="str">
        <f t="shared" si="2200"/>
        <v/>
      </c>
      <c r="CI727" s="1318" t="str">
        <f t="shared" si="2200"/>
        <v/>
      </c>
      <c r="CJ727" s="1317" t="str">
        <f t="shared" si="2200"/>
        <v/>
      </c>
      <c r="CK727" s="1317" t="str">
        <f t="shared" si="2200"/>
        <v/>
      </c>
      <c r="CL727" s="1317" t="str">
        <f t="shared" si="2200"/>
        <v/>
      </c>
      <c r="CM727" s="1316" t="str">
        <f t="shared" si="2200"/>
        <v/>
      </c>
      <c r="CN727" s="538" t="str">
        <f t="shared" si="2178"/>
        <v/>
      </c>
      <c r="CO727" s="539" t="str">
        <f t="shared" si="2179"/>
        <v/>
      </c>
      <c r="CP727" s="539" t="str">
        <f t="shared" si="2180"/>
        <v/>
      </c>
      <c r="CQ727" s="539" t="str">
        <f t="shared" si="2181"/>
        <v/>
      </c>
      <c r="CR727" s="539" t="str">
        <f t="shared" si="2182"/>
        <v/>
      </c>
      <c r="CS727" s="539" t="str">
        <f t="shared" si="2183"/>
        <v/>
      </c>
      <c r="CT727" s="540" t="str">
        <f t="shared" si="2184"/>
        <v/>
      </c>
      <c r="CU727" s="540" t="str">
        <f t="shared" si="2185"/>
        <v/>
      </c>
      <c r="CV727" s="540" t="str">
        <f t="shared" si="2186"/>
        <v/>
      </c>
      <c r="CW727" s="539" t="str">
        <f t="shared" si="2187"/>
        <v/>
      </c>
      <c r="CX727" s="539" t="str">
        <f t="shared" si="2188"/>
        <v/>
      </c>
      <c r="CY727" s="539" t="str">
        <f t="shared" si="2189"/>
        <v/>
      </c>
      <c r="CZ727" s="539" t="str">
        <f t="shared" si="2190"/>
        <v/>
      </c>
      <c r="DA727" s="539" t="str">
        <f t="shared" si="2191"/>
        <v/>
      </c>
      <c r="DB727" s="538" t="str">
        <f t="shared" si="2192"/>
        <v/>
      </c>
      <c r="DC727" s="537" t="str">
        <f t="shared" si="2193"/>
        <v/>
      </c>
      <c r="DD727" s="641">
        <f t="shared" si="2194"/>
        <v>0</v>
      </c>
      <c r="DE727" s="95">
        <f t="shared" si="2195"/>
        <v>0</v>
      </c>
      <c r="DF727" s="95">
        <f t="shared" si="2196"/>
        <v>0</v>
      </c>
      <c r="DG727" s="95">
        <f t="shared" si="2197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209">IF(DD728&lt;3,"",(SUM(B728:R728)-MIN(B728:R728)-MAX(B728:R728))/(DD728-2))</f>
        <v/>
      </c>
      <c r="CA728" s="586" t="str">
        <f t="shared" ref="CA728:CA733" si="2210">IF(DE728&lt;3,"",(SUM(T728:AJ728)-MIN(T728:AJ728)-MAX(T728:AJ728))/(DE728-2))</f>
        <v/>
      </c>
      <c r="CB728" s="586" t="str">
        <f t="shared" ref="CB728:CB733" si="2211">IF(DF728&lt;3,"",(SUM(AL728:BB728)-MIN(AL728:BB728)-MAX(AL728:BB728))/(DF728-2))</f>
        <v/>
      </c>
      <c r="CC728" s="676" t="str">
        <f t="shared" ref="CC728:CC733" si="2212">IF(DG728&lt;3,"",(SUM(BD728:BT728)-MIN(BD728:BT728)-MAX(BD728:BT728))/(DG728-2))</f>
        <v/>
      </c>
      <c r="CD728" s="1316" t="str">
        <f t="shared" si="2199"/>
        <v/>
      </c>
      <c r="CE728" s="1317" t="str">
        <f t="shared" si="2200"/>
        <v/>
      </c>
      <c r="CF728" s="1317" t="str">
        <f t="shared" si="2200"/>
        <v/>
      </c>
      <c r="CG728" s="1317" t="str">
        <f t="shared" si="2200"/>
        <v/>
      </c>
      <c r="CH728" s="1318" t="str">
        <f t="shared" si="2200"/>
        <v/>
      </c>
      <c r="CI728" s="1318" t="str">
        <f t="shared" si="2200"/>
        <v/>
      </c>
      <c r="CJ728" s="1317" t="str">
        <f t="shared" si="2200"/>
        <v/>
      </c>
      <c r="CK728" s="1317" t="str">
        <f t="shared" si="2200"/>
        <v/>
      </c>
      <c r="CL728" s="1317" t="str">
        <f t="shared" si="2200"/>
        <v/>
      </c>
      <c r="CM728" s="1316" t="str">
        <f t="shared" si="2200"/>
        <v/>
      </c>
      <c r="CN728" s="538" t="str">
        <f t="shared" si="2178"/>
        <v/>
      </c>
      <c r="CO728" s="539" t="str">
        <f t="shared" si="2179"/>
        <v/>
      </c>
      <c r="CP728" s="539" t="str">
        <f t="shared" si="2180"/>
        <v/>
      </c>
      <c r="CQ728" s="539" t="str">
        <f t="shared" si="2181"/>
        <v/>
      </c>
      <c r="CR728" s="539" t="str">
        <f t="shared" si="2182"/>
        <v/>
      </c>
      <c r="CS728" s="539" t="str">
        <f t="shared" si="2183"/>
        <v/>
      </c>
      <c r="CT728" s="540" t="str">
        <f t="shared" si="2184"/>
        <v/>
      </c>
      <c r="CU728" s="540" t="str">
        <f t="shared" si="2185"/>
        <v/>
      </c>
      <c r="CV728" s="540" t="str">
        <f t="shared" si="2186"/>
        <v/>
      </c>
      <c r="CW728" s="539" t="str">
        <f t="shared" si="2187"/>
        <v/>
      </c>
      <c r="CX728" s="539" t="str">
        <f t="shared" si="2188"/>
        <v/>
      </c>
      <c r="CY728" s="539" t="str">
        <f t="shared" si="2189"/>
        <v/>
      </c>
      <c r="CZ728" s="539" t="str">
        <f t="shared" si="2190"/>
        <v/>
      </c>
      <c r="DA728" s="539" t="str">
        <f t="shared" si="2191"/>
        <v/>
      </c>
      <c r="DB728" s="538" t="str">
        <f t="shared" si="2192"/>
        <v/>
      </c>
      <c r="DC728" s="537" t="str">
        <f t="shared" si="2193"/>
        <v/>
      </c>
      <c r="DD728" s="641">
        <f t="shared" ref="DD728:DD733" si="2213">COUNT(B728:R728)</f>
        <v>0</v>
      </c>
      <c r="DE728" s="95">
        <f t="shared" ref="DE728:DE733" si="2214">COUNT(T728:AJ728)</f>
        <v>0</v>
      </c>
      <c r="DF728" s="95">
        <f t="shared" ref="DF728:DF733" si="2215">COUNT(AL728:BB728)</f>
        <v>0</v>
      </c>
      <c r="DG728" s="95">
        <f t="shared" ref="DG728:DG733" si="2216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298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209"/>
        <v/>
      </c>
      <c r="CA729" s="586" t="str">
        <f t="shared" si="2210"/>
        <v/>
      </c>
      <c r="CB729" s="586" t="str">
        <f t="shared" si="2211"/>
        <v/>
      </c>
      <c r="CC729" s="676" t="str">
        <f t="shared" si="2212"/>
        <v/>
      </c>
      <c r="CD729" s="1316" t="str">
        <f t="shared" si="2199"/>
        <v/>
      </c>
      <c r="CE729" s="1317" t="str">
        <f t="shared" si="2200"/>
        <v/>
      </c>
      <c r="CF729" s="1317" t="str">
        <f t="shared" si="2200"/>
        <v/>
      </c>
      <c r="CG729" s="1317" t="str">
        <f t="shared" si="2200"/>
        <v/>
      </c>
      <c r="CH729" s="1318" t="str">
        <f t="shared" si="2200"/>
        <v/>
      </c>
      <c r="CI729" s="1318" t="str">
        <f t="shared" si="2200"/>
        <v/>
      </c>
      <c r="CJ729" s="1317" t="str">
        <f t="shared" si="2200"/>
        <v/>
      </c>
      <c r="CK729" s="1317" t="str">
        <f t="shared" si="2200"/>
        <v/>
      </c>
      <c r="CL729" s="1317" t="str">
        <f t="shared" si="2200"/>
        <v/>
      </c>
      <c r="CM729" s="1316" t="str">
        <f t="shared" si="2200"/>
        <v/>
      </c>
      <c r="CN729" s="538" t="str">
        <f t="shared" si="2178"/>
        <v/>
      </c>
      <c r="CO729" s="539" t="str">
        <f t="shared" si="2179"/>
        <v/>
      </c>
      <c r="CP729" s="539" t="str">
        <f t="shared" si="2180"/>
        <v/>
      </c>
      <c r="CQ729" s="539" t="str">
        <f t="shared" si="2181"/>
        <v/>
      </c>
      <c r="CR729" s="539" t="str">
        <f t="shared" si="2182"/>
        <v/>
      </c>
      <c r="CS729" s="539" t="str">
        <f t="shared" si="2183"/>
        <v/>
      </c>
      <c r="CT729" s="540" t="str">
        <f t="shared" si="2184"/>
        <v/>
      </c>
      <c r="CU729" s="540" t="str">
        <f t="shared" si="2185"/>
        <v/>
      </c>
      <c r="CV729" s="540" t="str">
        <f t="shared" si="2186"/>
        <v/>
      </c>
      <c r="CW729" s="539" t="str">
        <f t="shared" si="2187"/>
        <v/>
      </c>
      <c r="CX729" s="539" t="str">
        <f t="shared" si="2188"/>
        <v/>
      </c>
      <c r="CY729" s="539" t="str">
        <f t="shared" si="2189"/>
        <v/>
      </c>
      <c r="CZ729" s="539" t="str">
        <f t="shared" si="2190"/>
        <v/>
      </c>
      <c r="DA729" s="539" t="str">
        <f t="shared" si="2191"/>
        <v/>
      </c>
      <c r="DB729" s="538" t="str">
        <f t="shared" si="2192"/>
        <v/>
      </c>
      <c r="DC729" s="537" t="str">
        <f t="shared" si="2193"/>
        <v/>
      </c>
      <c r="DD729" s="641">
        <f t="shared" si="2213"/>
        <v>0</v>
      </c>
      <c r="DE729" s="95">
        <f t="shared" si="2214"/>
        <v>0</v>
      </c>
      <c r="DF729" s="95">
        <f t="shared" si="2215"/>
        <v>0</v>
      </c>
      <c r="DG729" s="95">
        <f t="shared" si="2216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209"/>
        <v/>
      </c>
      <c r="CA730" s="586" t="str">
        <f t="shared" si="2210"/>
        <v/>
      </c>
      <c r="CB730" s="586" t="str">
        <f t="shared" si="2211"/>
        <v/>
      </c>
      <c r="CC730" s="676" t="str">
        <f t="shared" si="2212"/>
        <v/>
      </c>
      <c r="CD730" s="1316" t="str">
        <f t="shared" si="2199"/>
        <v/>
      </c>
      <c r="CE730" s="1317" t="str">
        <f t="shared" si="2200"/>
        <v/>
      </c>
      <c r="CF730" s="1317" t="str">
        <f t="shared" si="2200"/>
        <v/>
      </c>
      <c r="CG730" s="1317" t="str">
        <f t="shared" si="2200"/>
        <v/>
      </c>
      <c r="CH730" s="1318" t="str">
        <f t="shared" si="2200"/>
        <v/>
      </c>
      <c r="CI730" s="1318" t="str">
        <f t="shared" si="2200"/>
        <v/>
      </c>
      <c r="CJ730" s="1317" t="str">
        <f t="shared" si="2200"/>
        <v/>
      </c>
      <c r="CK730" s="1317" t="str">
        <f t="shared" si="2200"/>
        <v/>
      </c>
      <c r="CL730" s="1317" t="str">
        <f t="shared" si="2200"/>
        <v/>
      </c>
      <c r="CM730" s="1316" t="str">
        <f t="shared" si="2200"/>
        <v/>
      </c>
      <c r="CN730" s="538" t="str">
        <f t="shared" si="2178"/>
        <v/>
      </c>
      <c r="CO730" s="539" t="str">
        <f t="shared" si="2179"/>
        <v/>
      </c>
      <c r="CP730" s="539" t="str">
        <f t="shared" si="2180"/>
        <v/>
      </c>
      <c r="CQ730" s="539" t="str">
        <f t="shared" si="2181"/>
        <v/>
      </c>
      <c r="CR730" s="539" t="str">
        <f t="shared" si="2182"/>
        <v/>
      </c>
      <c r="CS730" s="539" t="str">
        <f t="shared" si="2183"/>
        <v/>
      </c>
      <c r="CT730" s="540" t="str">
        <f t="shared" si="2184"/>
        <v/>
      </c>
      <c r="CU730" s="540" t="str">
        <f t="shared" si="2185"/>
        <v/>
      </c>
      <c r="CV730" s="540" t="str">
        <f t="shared" si="2186"/>
        <v/>
      </c>
      <c r="CW730" s="539" t="str">
        <f t="shared" si="2187"/>
        <v/>
      </c>
      <c r="CX730" s="539" t="str">
        <f t="shared" si="2188"/>
        <v/>
      </c>
      <c r="CY730" s="539" t="str">
        <f t="shared" si="2189"/>
        <v/>
      </c>
      <c r="CZ730" s="539" t="str">
        <f t="shared" si="2190"/>
        <v/>
      </c>
      <c r="DA730" s="539" t="str">
        <f t="shared" si="2191"/>
        <v/>
      </c>
      <c r="DB730" s="538" t="str">
        <f t="shared" si="2192"/>
        <v/>
      </c>
      <c r="DC730" s="537" t="str">
        <f t="shared" si="2193"/>
        <v/>
      </c>
      <c r="DD730" s="641">
        <f t="shared" si="2213"/>
        <v>0</v>
      </c>
      <c r="DE730" s="95">
        <f t="shared" si="2214"/>
        <v>0</v>
      </c>
      <c r="DF730" s="95">
        <f t="shared" si="2215"/>
        <v>0</v>
      </c>
      <c r="DG730" s="95">
        <f t="shared" si="2216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209"/>
        <v/>
      </c>
      <c r="CA731" s="586" t="str">
        <f t="shared" si="2210"/>
        <v/>
      </c>
      <c r="CB731" s="586" t="str">
        <f t="shared" si="2211"/>
        <v/>
      </c>
      <c r="CC731" s="676" t="str">
        <f t="shared" si="2212"/>
        <v/>
      </c>
      <c r="CD731" s="1316" t="str">
        <f t="shared" si="2199"/>
        <v/>
      </c>
      <c r="CE731" s="1317" t="str">
        <f t="shared" si="2200"/>
        <v/>
      </c>
      <c r="CF731" s="1317" t="str">
        <f t="shared" si="2200"/>
        <v/>
      </c>
      <c r="CG731" s="1317" t="str">
        <f t="shared" si="2200"/>
        <v/>
      </c>
      <c r="CH731" s="1318" t="str">
        <f t="shared" si="2200"/>
        <v/>
      </c>
      <c r="CI731" s="1318" t="str">
        <f t="shared" si="2200"/>
        <v/>
      </c>
      <c r="CJ731" s="1317" t="str">
        <f t="shared" si="2200"/>
        <v/>
      </c>
      <c r="CK731" s="1317" t="str">
        <f t="shared" si="2200"/>
        <v/>
      </c>
      <c r="CL731" s="1317" t="str">
        <f t="shared" si="2200"/>
        <v/>
      </c>
      <c r="CM731" s="1316" t="str">
        <f t="shared" si="2200"/>
        <v/>
      </c>
      <c r="CN731" s="538" t="str">
        <f t="shared" si="2178"/>
        <v/>
      </c>
      <c r="CO731" s="539" t="str">
        <f t="shared" si="2179"/>
        <v/>
      </c>
      <c r="CP731" s="539" t="str">
        <f t="shared" si="2180"/>
        <v/>
      </c>
      <c r="CQ731" s="539" t="str">
        <f t="shared" si="2181"/>
        <v/>
      </c>
      <c r="CR731" s="539" t="str">
        <f t="shared" si="2182"/>
        <v/>
      </c>
      <c r="CS731" s="539" t="str">
        <f t="shared" si="2183"/>
        <v/>
      </c>
      <c r="CT731" s="540" t="str">
        <f t="shared" si="2184"/>
        <v/>
      </c>
      <c r="CU731" s="540" t="str">
        <f t="shared" si="2185"/>
        <v/>
      </c>
      <c r="CV731" s="540" t="str">
        <f t="shared" si="2186"/>
        <v/>
      </c>
      <c r="CW731" s="539" t="str">
        <f t="shared" si="2187"/>
        <v/>
      </c>
      <c r="CX731" s="539" t="str">
        <f t="shared" si="2188"/>
        <v/>
      </c>
      <c r="CY731" s="539" t="str">
        <f t="shared" si="2189"/>
        <v/>
      </c>
      <c r="CZ731" s="539" t="str">
        <f t="shared" si="2190"/>
        <v/>
      </c>
      <c r="DA731" s="539" t="str">
        <f t="shared" si="2191"/>
        <v/>
      </c>
      <c r="DB731" s="538" t="str">
        <f t="shared" si="2192"/>
        <v/>
      </c>
      <c r="DC731" s="537" t="str">
        <f t="shared" si="2193"/>
        <v/>
      </c>
      <c r="DD731" s="641">
        <f t="shared" si="2213"/>
        <v>0</v>
      </c>
      <c r="DE731" s="95">
        <f t="shared" si="2214"/>
        <v>0</v>
      </c>
      <c r="DF731" s="95">
        <f t="shared" si="2215"/>
        <v>0</v>
      </c>
      <c r="DG731" s="95">
        <f t="shared" si="2216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315</v>
      </c>
      <c r="B732" s="595" t="str">
        <f t="shared" ref="B732:K732" si="2217">IF(B729="","",B728*B729*B730*B731)</f>
        <v/>
      </c>
      <c r="C732" s="595" t="str">
        <f t="shared" si="2217"/>
        <v/>
      </c>
      <c r="D732" s="595" t="str">
        <f t="shared" si="2217"/>
        <v/>
      </c>
      <c r="E732" s="595" t="str">
        <f t="shared" si="2217"/>
        <v/>
      </c>
      <c r="F732" s="595" t="str">
        <f t="shared" si="2217"/>
        <v/>
      </c>
      <c r="G732" s="595" t="str">
        <f t="shared" si="2217"/>
        <v/>
      </c>
      <c r="H732" s="595" t="str">
        <f t="shared" si="2217"/>
        <v/>
      </c>
      <c r="I732" s="595" t="str">
        <f t="shared" si="2217"/>
        <v/>
      </c>
      <c r="J732" s="595" t="str">
        <f t="shared" si="2217"/>
        <v/>
      </c>
      <c r="K732" s="595" t="str">
        <f t="shared" si="221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218">IF(T729="","",T728*T729*T730*T731)</f>
        <v/>
      </c>
      <c r="U732" s="595" t="str">
        <f t="shared" si="2218"/>
        <v/>
      </c>
      <c r="V732" s="595" t="str">
        <f t="shared" si="2218"/>
        <v/>
      </c>
      <c r="W732" s="595" t="str">
        <f t="shared" si="2218"/>
        <v/>
      </c>
      <c r="X732" s="595" t="str">
        <f t="shared" si="2218"/>
        <v/>
      </c>
      <c r="Y732" s="595" t="str">
        <f t="shared" si="2218"/>
        <v/>
      </c>
      <c r="Z732" s="595" t="str">
        <f t="shared" si="2218"/>
        <v/>
      </c>
      <c r="AA732" s="595" t="str">
        <f t="shared" si="2218"/>
        <v/>
      </c>
      <c r="AB732" s="595" t="str">
        <f t="shared" si="2218"/>
        <v/>
      </c>
      <c r="AC732" s="595" t="str">
        <f t="shared" si="221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219">IF(AL729="","",AL728*AL729*AL730*AL731)</f>
        <v/>
      </c>
      <c r="AM732" s="595" t="str">
        <f t="shared" si="2219"/>
        <v/>
      </c>
      <c r="AN732" s="595" t="str">
        <f t="shared" si="2219"/>
        <v/>
      </c>
      <c r="AO732" s="595" t="str">
        <f t="shared" si="2219"/>
        <v/>
      </c>
      <c r="AP732" s="595" t="str">
        <f t="shared" si="2219"/>
        <v/>
      </c>
      <c r="AQ732" s="595" t="str">
        <f t="shared" si="2219"/>
        <v/>
      </c>
      <c r="AR732" s="595" t="str">
        <f t="shared" si="2219"/>
        <v/>
      </c>
      <c r="AS732" s="595" t="str">
        <f t="shared" si="2219"/>
        <v/>
      </c>
      <c r="AT732" s="595" t="str">
        <f t="shared" si="2219"/>
        <v/>
      </c>
      <c r="AU732" s="595" t="str">
        <f t="shared" si="221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220">IF(BD729="","",BD728*BD729*BD730*BD731)</f>
        <v/>
      </c>
      <c r="BE732" s="595" t="str">
        <f t="shared" si="2220"/>
        <v/>
      </c>
      <c r="BF732" s="595" t="str">
        <f t="shared" si="2220"/>
        <v/>
      </c>
      <c r="BG732" s="595" t="str">
        <f t="shared" si="2220"/>
        <v/>
      </c>
      <c r="BH732" s="595" t="str">
        <f t="shared" si="2220"/>
        <v/>
      </c>
      <c r="BI732" s="595" t="str">
        <f t="shared" si="2220"/>
        <v/>
      </c>
      <c r="BJ732" s="595" t="str">
        <f t="shared" si="2220"/>
        <v/>
      </c>
      <c r="BK732" s="595" t="str">
        <f t="shared" si="2220"/>
        <v/>
      </c>
      <c r="BL732" s="595" t="str">
        <f t="shared" si="2220"/>
        <v/>
      </c>
      <c r="BM732" s="595" t="str">
        <f t="shared" si="222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209"/>
        <v/>
      </c>
      <c r="CA732" s="586" t="str">
        <f t="shared" si="2210"/>
        <v/>
      </c>
      <c r="CB732" s="586" t="str">
        <f t="shared" si="2211"/>
        <v/>
      </c>
      <c r="CC732" s="676" t="str">
        <f t="shared" si="2212"/>
        <v/>
      </c>
      <c r="CD732" s="1316" t="str">
        <f t="shared" si="2199"/>
        <v/>
      </c>
      <c r="CE732" s="1317" t="str">
        <f t="shared" si="2200"/>
        <v/>
      </c>
      <c r="CF732" s="1317" t="str">
        <f t="shared" si="2200"/>
        <v/>
      </c>
      <c r="CG732" s="1317" t="str">
        <f t="shared" si="2200"/>
        <v/>
      </c>
      <c r="CH732" s="1318" t="str">
        <f t="shared" si="2200"/>
        <v/>
      </c>
      <c r="CI732" s="1318" t="str">
        <f t="shared" si="2200"/>
        <v/>
      </c>
      <c r="CJ732" s="1317" t="str">
        <f t="shared" si="2200"/>
        <v/>
      </c>
      <c r="CK732" s="1317" t="str">
        <f t="shared" si="2200"/>
        <v/>
      </c>
      <c r="CL732" s="1317" t="str">
        <f t="shared" si="2200"/>
        <v/>
      </c>
      <c r="CM732" s="1316" t="str">
        <f t="shared" si="2200"/>
        <v/>
      </c>
      <c r="CN732" s="538" t="str">
        <f t="shared" si="2178"/>
        <v/>
      </c>
      <c r="CO732" s="539" t="str">
        <f t="shared" si="2179"/>
        <v/>
      </c>
      <c r="CP732" s="539" t="str">
        <f t="shared" si="2180"/>
        <v/>
      </c>
      <c r="CQ732" s="539" t="str">
        <f t="shared" si="2181"/>
        <v/>
      </c>
      <c r="CR732" s="539" t="str">
        <f t="shared" si="2182"/>
        <v/>
      </c>
      <c r="CS732" s="539" t="str">
        <f t="shared" si="2183"/>
        <v/>
      </c>
      <c r="CT732" s="540" t="str">
        <f t="shared" si="2184"/>
        <v/>
      </c>
      <c r="CU732" s="540" t="str">
        <f t="shared" si="2185"/>
        <v/>
      </c>
      <c r="CV732" s="540" t="str">
        <f t="shared" si="2186"/>
        <v/>
      </c>
      <c r="CW732" s="539" t="str">
        <f t="shared" si="2187"/>
        <v/>
      </c>
      <c r="CX732" s="539" t="str">
        <f t="shared" si="2188"/>
        <v/>
      </c>
      <c r="CY732" s="539" t="str">
        <f t="shared" si="2189"/>
        <v/>
      </c>
      <c r="CZ732" s="539" t="str">
        <f t="shared" si="2190"/>
        <v/>
      </c>
      <c r="DA732" s="539" t="str">
        <f t="shared" si="2191"/>
        <v/>
      </c>
      <c r="DB732" s="538" t="str">
        <f t="shared" si="2192"/>
        <v/>
      </c>
      <c r="DC732" s="537" t="str">
        <f t="shared" si="2193"/>
        <v/>
      </c>
      <c r="DD732" s="641">
        <f t="shared" si="2213"/>
        <v>0</v>
      </c>
      <c r="DE732" s="95">
        <f t="shared" si="2214"/>
        <v>0</v>
      </c>
      <c r="DF732" s="95">
        <f t="shared" si="2215"/>
        <v>0</v>
      </c>
      <c r="DG732" s="95">
        <f t="shared" si="2216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323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209"/>
        <v/>
      </c>
      <c r="CA733" s="586" t="str">
        <f t="shared" si="2210"/>
        <v/>
      </c>
      <c r="CB733" s="586" t="str">
        <f t="shared" si="2211"/>
        <v/>
      </c>
      <c r="CC733" s="676">
        <f t="shared" si="2212"/>
        <v>1.5</v>
      </c>
      <c r="CD733" s="1316" t="str">
        <f t="shared" si="2199"/>
        <v/>
      </c>
      <c r="CE733" s="1317" t="str">
        <f t="shared" si="2200"/>
        <v/>
      </c>
      <c r="CF733" s="1317" t="str">
        <f t="shared" si="2200"/>
        <v/>
      </c>
      <c r="CG733" s="1317" t="str">
        <f t="shared" si="2200"/>
        <v/>
      </c>
      <c r="CH733" s="1318" t="str">
        <f t="shared" si="2200"/>
        <v/>
      </c>
      <c r="CI733" s="1318" t="str">
        <f t="shared" si="2200"/>
        <v/>
      </c>
      <c r="CJ733" s="1317" t="str">
        <f t="shared" si="2200"/>
        <v/>
      </c>
      <c r="CK733" s="1317" t="str">
        <f t="shared" si="2200"/>
        <v/>
      </c>
      <c r="CL733" s="1317" t="str">
        <f t="shared" si="2200"/>
        <v/>
      </c>
      <c r="CM733" s="1316" t="str">
        <f t="shared" si="2200"/>
        <v/>
      </c>
      <c r="CN733" s="538" t="str">
        <f t="shared" si="2178"/>
        <v/>
      </c>
      <c r="CO733" s="539" t="str">
        <f t="shared" si="2179"/>
        <v/>
      </c>
      <c r="CP733" s="539" t="str">
        <f t="shared" si="2180"/>
        <v/>
      </c>
      <c r="CQ733" s="539" t="str">
        <f t="shared" si="2181"/>
        <v/>
      </c>
      <c r="CR733" s="539" t="str">
        <f t="shared" si="2182"/>
        <v/>
      </c>
      <c r="CS733" s="539" t="str">
        <f t="shared" si="2183"/>
        <v/>
      </c>
      <c r="CT733" s="540">
        <f t="shared" si="2184"/>
        <v>1</v>
      </c>
      <c r="CU733" s="540">
        <f t="shared" si="2185"/>
        <v>1</v>
      </c>
      <c r="CV733" s="540">
        <f t="shared" si="2186"/>
        <v>2</v>
      </c>
      <c r="CW733" s="539">
        <f t="shared" si="2187"/>
        <v>2</v>
      </c>
      <c r="CX733" s="539" t="str">
        <f t="shared" si="2188"/>
        <v/>
      </c>
      <c r="CY733" s="539" t="str">
        <f t="shared" si="2189"/>
        <v/>
      </c>
      <c r="CZ733" s="539" t="str">
        <f t="shared" si="2190"/>
        <v/>
      </c>
      <c r="DA733" s="539" t="str">
        <f t="shared" si="2191"/>
        <v/>
      </c>
      <c r="DB733" s="538" t="str">
        <f t="shared" si="2192"/>
        <v/>
      </c>
      <c r="DC733" s="537" t="str">
        <f t="shared" si="2193"/>
        <v/>
      </c>
      <c r="DD733" s="641">
        <f t="shared" si="2213"/>
        <v>0</v>
      </c>
      <c r="DE733" s="95">
        <f t="shared" si="2214"/>
        <v>1</v>
      </c>
      <c r="DF733" s="95">
        <f t="shared" si="2215"/>
        <v>0</v>
      </c>
      <c r="DG733" s="95">
        <f t="shared" si="2216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298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221">IF(DD734&lt;3,"",(SUM(B734:R734)-MIN(B734:R734)-MAX(B734:R734))/(DD734-2))</f>
        <v/>
      </c>
      <c r="CA734" s="586" t="str">
        <f t="shared" ref="CA734:CA743" si="2222">IF(DE734&lt;3,"",(SUM(T734:AJ734)-MIN(T734:AJ734)-MAX(T734:AJ734))/(DE734-2))</f>
        <v/>
      </c>
      <c r="CB734" s="586" t="str">
        <f t="shared" ref="CB734:CB743" si="2223">IF(DF734&lt;3,"",(SUM(AL734:BB734)-MIN(AL734:BB734)-MAX(AL734:BB734))/(DF734-2))</f>
        <v/>
      </c>
      <c r="CC734" s="676">
        <f t="shared" ref="CC734:CC743" si="2224">IF(DG734&lt;3,"",(SUM(BD734:BT734)-MIN(BD734:BT734)-MAX(BD734:BT734))/(DG734-2))</f>
        <v>1</v>
      </c>
      <c r="CD734" s="1316" t="str">
        <f t="shared" ref="CD734:CM734" si="222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7" t="str">
        <f t="shared" si="2225"/>
        <v/>
      </c>
      <c r="CF734" s="1317" t="str">
        <f t="shared" si="2225"/>
        <v/>
      </c>
      <c r="CG734" s="1317" t="str">
        <f t="shared" si="2225"/>
        <v/>
      </c>
      <c r="CH734" s="1318">
        <f t="shared" si="2225"/>
        <v>1</v>
      </c>
      <c r="CI734" s="1318">
        <f t="shared" si="2225"/>
        <v>1</v>
      </c>
      <c r="CJ734" s="1317" t="str">
        <f t="shared" si="2225"/>
        <v/>
      </c>
      <c r="CK734" s="1317" t="str">
        <f t="shared" si="2225"/>
        <v/>
      </c>
      <c r="CL734" s="1317" t="str">
        <f t="shared" si="2225"/>
        <v/>
      </c>
      <c r="CM734" s="1316" t="str">
        <f t="shared" si="2225"/>
        <v/>
      </c>
      <c r="CN734" s="538" t="str">
        <f t="shared" ref="CN734:CV737" si="222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226"/>
        <v/>
      </c>
      <c r="CP734" s="539" t="str">
        <f t="shared" si="2226"/>
        <v/>
      </c>
      <c r="CQ734" s="539" t="str">
        <f t="shared" si="2226"/>
        <v/>
      </c>
      <c r="CR734" s="539" t="str">
        <f t="shared" si="2226"/>
        <v/>
      </c>
      <c r="CS734" s="539" t="str">
        <f t="shared" si="2226"/>
        <v/>
      </c>
      <c r="CT734" s="540">
        <f t="shared" si="2226"/>
        <v>1</v>
      </c>
      <c r="CU734" s="540">
        <f t="shared" si="2226"/>
        <v>1</v>
      </c>
      <c r="CV734" s="540">
        <f t="shared" si="2226"/>
        <v>1</v>
      </c>
      <c r="CW734" s="539">
        <f t="shared" ref="CW734:DC737" si="222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227"/>
        <v/>
      </c>
      <c r="CY734" s="539" t="str">
        <f t="shared" si="2227"/>
        <v/>
      </c>
      <c r="CZ734" s="539" t="str">
        <f t="shared" si="2227"/>
        <v/>
      </c>
      <c r="DA734" s="539" t="str">
        <f t="shared" si="2227"/>
        <v/>
      </c>
      <c r="DB734" s="538" t="str">
        <f t="shared" si="2227"/>
        <v/>
      </c>
      <c r="DC734" s="537" t="str">
        <f t="shared" si="222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221"/>
        <v/>
      </c>
      <c r="CA735" s="586" t="str">
        <f t="shared" si="2222"/>
        <v/>
      </c>
      <c r="CB735" s="586" t="str">
        <f t="shared" si="2223"/>
        <v/>
      </c>
      <c r="CC735" s="676">
        <f t="shared" si="2224"/>
        <v>11</v>
      </c>
      <c r="CD735" s="131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7" t="str">
        <f t="shared" ref="CE735:CM737" si="222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7" t="str">
        <f t="shared" si="2228"/>
        <v/>
      </c>
      <c r="CG735" s="1317" t="str">
        <f t="shared" si="2228"/>
        <v/>
      </c>
      <c r="CH735" s="1318">
        <f t="shared" si="2228"/>
        <v>12</v>
      </c>
      <c r="CI735" s="1318">
        <f t="shared" si="2228"/>
        <v>12</v>
      </c>
      <c r="CJ735" s="1317" t="str">
        <f t="shared" si="2228"/>
        <v/>
      </c>
      <c r="CK735" s="1317" t="str">
        <f t="shared" si="2228"/>
        <v/>
      </c>
      <c r="CL735" s="1317" t="str">
        <f t="shared" si="2228"/>
        <v/>
      </c>
      <c r="CM735" s="1316" t="str">
        <f t="shared" si="2228"/>
        <v/>
      </c>
      <c r="CN735" s="538" t="str">
        <f t="shared" si="2226"/>
        <v/>
      </c>
      <c r="CO735" s="539" t="str">
        <f t="shared" si="2226"/>
        <v/>
      </c>
      <c r="CP735" s="539" t="str">
        <f t="shared" si="2226"/>
        <v/>
      </c>
      <c r="CQ735" s="539" t="str">
        <f t="shared" si="2226"/>
        <v/>
      </c>
      <c r="CR735" s="539" t="str">
        <f t="shared" si="2226"/>
        <v/>
      </c>
      <c r="CS735" s="539" t="str">
        <f t="shared" si="2226"/>
        <v/>
      </c>
      <c r="CT735" s="540">
        <f t="shared" si="2226"/>
        <v>6</v>
      </c>
      <c r="CU735" s="540">
        <f t="shared" si="2226"/>
        <v>11</v>
      </c>
      <c r="CV735" s="540">
        <f t="shared" si="2226"/>
        <v>11</v>
      </c>
      <c r="CW735" s="539">
        <f t="shared" si="2227"/>
        <v>12</v>
      </c>
      <c r="CX735" s="539" t="str">
        <f t="shared" si="2227"/>
        <v/>
      </c>
      <c r="CY735" s="539" t="str">
        <f t="shared" si="2227"/>
        <v/>
      </c>
      <c r="CZ735" s="539" t="str">
        <f t="shared" si="2227"/>
        <v/>
      </c>
      <c r="DA735" s="539" t="str">
        <f t="shared" si="2227"/>
        <v/>
      </c>
      <c r="DB735" s="538" t="str">
        <f t="shared" si="2227"/>
        <v/>
      </c>
      <c r="DC735" s="537" t="str">
        <f t="shared" si="222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221"/>
        <v/>
      </c>
      <c r="CA736" s="586" t="str">
        <f t="shared" si="2222"/>
        <v/>
      </c>
      <c r="CB736" s="586" t="str">
        <f t="shared" si="2223"/>
        <v/>
      </c>
      <c r="CC736" s="676">
        <f t="shared" si="2224"/>
        <v>650</v>
      </c>
      <c r="CD736" s="131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7" t="str">
        <f t="shared" si="2228"/>
        <v/>
      </c>
      <c r="CF736" s="1317" t="str">
        <f t="shared" si="2228"/>
        <v/>
      </c>
      <c r="CG736" s="1317" t="str">
        <f t="shared" si="2228"/>
        <v/>
      </c>
      <c r="CH736" s="1318">
        <f t="shared" si="2228"/>
        <v>1500</v>
      </c>
      <c r="CI736" s="1318">
        <f t="shared" si="2228"/>
        <v>1500</v>
      </c>
      <c r="CJ736" s="1317" t="str">
        <f t="shared" si="2228"/>
        <v/>
      </c>
      <c r="CK736" s="1317" t="str">
        <f t="shared" si="2228"/>
        <v/>
      </c>
      <c r="CL736" s="1317" t="str">
        <f t="shared" si="2228"/>
        <v/>
      </c>
      <c r="CM736" s="1316" t="str">
        <f t="shared" si="2228"/>
        <v/>
      </c>
      <c r="CN736" s="538" t="str">
        <f t="shared" si="2226"/>
        <v/>
      </c>
      <c r="CO736" s="539" t="str">
        <f t="shared" si="2226"/>
        <v/>
      </c>
      <c r="CP736" s="539" t="str">
        <f t="shared" si="2226"/>
        <v/>
      </c>
      <c r="CQ736" s="539" t="str">
        <f t="shared" si="2226"/>
        <v/>
      </c>
      <c r="CR736" s="539" t="str">
        <f t="shared" si="2226"/>
        <v/>
      </c>
      <c r="CS736" s="539" t="str">
        <f t="shared" si="2226"/>
        <v/>
      </c>
      <c r="CT736" s="540">
        <f t="shared" si="2226"/>
        <v>185</v>
      </c>
      <c r="CU736" s="540">
        <f t="shared" si="2226"/>
        <v>300</v>
      </c>
      <c r="CV736" s="540">
        <f t="shared" si="2226"/>
        <v>1000</v>
      </c>
      <c r="CW736" s="539">
        <f t="shared" si="2227"/>
        <v>1500</v>
      </c>
      <c r="CX736" s="539" t="str">
        <f t="shared" si="2227"/>
        <v/>
      </c>
      <c r="CY736" s="539" t="str">
        <f t="shared" si="2227"/>
        <v/>
      </c>
      <c r="CZ736" s="539" t="str">
        <f t="shared" si="2227"/>
        <v/>
      </c>
      <c r="DA736" s="539" t="str">
        <f t="shared" si="2227"/>
        <v/>
      </c>
      <c r="DB736" s="538" t="str">
        <f t="shared" si="2227"/>
        <v/>
      </c>
      <c r="DC736" s="537" t="str">
        <f t="shared" si="222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315</v>
      </c>
      <c r="B737" s="596" t="str">
        <f t="shared" ref="B737:K737" si="2229">IF(B734="","",B733*B734*B735*B736)</f>
        <v/>
      </c>
      <c r="C737" s="596" t="str">
        <f t="shared" si="2229"/>
        <v/>
      </c>
      <c r="D737" s="596" t="str">
        <f t="shared" si="2229"/>
        <v/>
      </c>
      <c r="E737" s="596" t="str">
        <f t="shared" si="2229"/>
        <v/>
      </c>
      <c r="F737" s="596" t="str">
        <f t="shared" si="2229"/>
        <v/>
      </c>
      <c r="G737" s="596" t="str">
        <f t="shared" si="2229"/>
        <v/>
      </c>
      <c r="H737" s="596" t="str">
        <f t="shared" si="2229"/>
        <v/>
      </c>
      <c r="I737" s="596" t="str">
        <f t="shared" si="2229"/>
        <v/>
      </c>
      <c r="J737" s="596" t="str">
        <f t="shared" si="2229"/>
        <v/>
      </c>
      <c r="K737" s="596" t="str">
        <f t="shared" si="222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30">IF(T734="","",T733*T734*T735*T736)</f>
        <v>14400</v>
      </c>
      <c r="U737" s="596" t="str">
        <f t="shared" si="2230"/>
        <v/>
      </c>
      <c r="V737" s="596" t="str">
        <f t="shared" si="2230"/>
        <v/>
      </c>
      <c r="W737" s="596" t="str">
        <f t="shared" si="2230"/>
        <v/>
      </c>
      <c r="X737" s="596" t="str">
        <f t="shared" si="2230"/>
        <v/>
      </c>
      <c r="Y737" s="596" t="str">
        <f t="shared" si="2230"/>
        <v/>
      </c>
      <c r="Z737" s="596" t="str">
        <f t="shared" si="2230"/>
        <v/>
      </c>
      <c r="AA737" s="596" t="str">
        <f t="shared" si="2230"/>
        <v/>
      </c>
      <c r="AB737" s="596" t="str">
        <f t="shared" si="2230"/>
        <v/>
      </c>
      <c r="AC737" s="596" t="str">
        <f t="shared" si="223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31">IF(AL734="","",AL733*AL734*AL735*AL736)</f>
        <v/>
      </c>
      <c r="AM737" s="596" t="str">
        <f t="shared" si="2231"/>
        <v/>
      </c>
      <c r="AN737" s="596" t="str">
        <f t="shared" si="2231"/>
        <v/>
      </c>
      <c r="AO737" s="596" t="str">
        <f t="shared" si="2231"/>
        <v/>
      </c>
      <c r="AP737" s="596" t="str">
        <f t="shared" si="2231"/>
        <v/>
      </c>
      <c r="AQ737" s="596" t="str">
        <f t="shared" si="2231"/>
        <v/>
      </c>
      <c r="AR737" s="596">
        <f t="shared" si="2231"/>
        <v>0</v>
      </c>
      <c r="AS737" s="596" t="str">
        <f t="shared" si="2231"/>
        <v/>
      </c>
      <c r="AT737" s="596">
        <f t="shared" si="2231"/>
        <v>0</v>
      </c>
      <c r="AU737" s="596" t="str">
        <f t="shared" si="223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32">IF(BD734="","",BD733*BD734*BD735*BD736)</f>
        <v>33000</v>
      </c>
      <c r="BE737" s="596">
        <f t="shared" si="2232"/>
        <v>3600</v>
      </c>
      <c r="BF737" s="596" t="str">
        <f t="shared" si="2232"/>
        <v/>
      </c>
      <c r="BG737" s="596" t="str">
        <f t="shared" si="2232"/>
        <v/>
      </c>
      <c r="BH737" s="596" t="str">
        <f t="shared" si="2232"/>
        <v/>
      </c>
      <c r="BI737" s="596" t="str">
        <f t="shared" si="2232"/>
        <v/>
      </c>
      <c r="BJ737" s="596">
        <f t="shared" si="2232"/>
        <v>22000</v>
      </c>
      <c r="BK737" s="596" t="str">
        <f t="shared" si="2232"/>
        <v/>
      </c>
      <c r="BL737" s="596" t="str">
        <f t="shared" si="2232"/>
        <v/>
      </c>
      <c r="BM737" s="596">
        <f t="shared" si="223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33">IF(BV734="","",BV733*BV734*BV735*BV736)</f>
        <v/>
      </c>
      <c r="BW737" s="596" t="str">
        <f t="shared" si="2233"/>
        <v/>
      </c>
      <c r="BX737" s="596" t="str">
        <f t="shared" si="2233"/>
        <v/>
      </c>
      <c r="BY737" s="596">
        <f t="shared" si="2233"/>
        <v>23760</v>
      </c>
      <c r="BZ737" s="586" t="str">
        <f t="shared" si="2221"/>
        <v/>
      </c>
      <c r="CA737" s="586" t="str">
        <f t="shared" si="2222"/>
        <v/>
      </c>
      <c r="CB737" s="586" t="str">
        <f t="shared" si="2223"/>
        <v/>
      </c>
      <c r="CC737" s="676">
        <f t="shared" si="2224"/>
        <v>23210</v>
      </c>
      <c r="CD737" s="131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7" t="str">
        <f t="shared" si="2228"/>
        <v/>
      </c>
      <c r="CF737" s="1317" t="str">
        <f t="shared" si="2228"/>
        <v/>
      </c>
      <c r="CG737" s="1317" t="str">
        <f t="shared" si="2228"/>
        <v/>
      </c>
      <c r="CH737" s="1318">
        <f t="shared" si="2228"/>
        <v>0</v>
      </c>
      <c r="CI737" s="1318">
        <f t="shared" si="2228"/>
        <v>0</v>
      </c>
      <c r="CJ737" s="1317" t="str">
        <f t="shared" si="2228"/>
        <v/>
      </c>
      <c r="CK737" s="1317" t="str">
        <f t="shared" si="2228"/>
        <v/>
      </c>
      <c r="CL737" s="1317" t="str">
        <f t="shared" si="2228"/>
        <v/>
      </c>
      <c r="CM737" s="1316" t="str">
        <f t="shared" si="2228"/>
        <v/>
      </c>
      <c r="CN737" s="538" t="str">
        <f t="shared" si="2226"/>
        <v/>
      </c>
      <c r="CO737" s="539" t="str">
        <f t="shared" si="2226"/>
        <v/>
      </c>
      <c r="CP737" s="539" t="str">
        <f t="shared" si="2226"/>
        <v/>
      </c>
      <c r="CQ737" s="539" t="str">
        <f t="shared" si="2226"/>
        <v/>
      </c>
      <c r="CR737" s="539" t="str">
        <f t="shared" si="2226"/>
        <v/>
      </c>
      <c r="CS737" s="539" t="str">
        <f t="shared" si="2226"/>
        <v/>
      </c>
      <c r="CT737" s="540">
        <f t="shared" si="2226"/>
        <v>3600</v>
      </c>
      <c r="CU737" s="540">
        <f t="shared" si="2226"/>
        <v>22000</v>
      </c>
      <c r="CV737" s="540">
        <f t="shared" si="2226"/>
        <v>24420</v>
      </c>
      <c r="CW737" s="539">
        <f t="shared" si="2227"/>
        <v>33000</v>
      </c>
      <c r="CX737" s="539" t="str">
        <f t="shared" si="2227"/>
        <v/>
      </c>
      <c r="CY737" s="539" t="str">
        <f t="shared" si="2227"/>
        <v/>
      </c>
      <c r="CZ737" s="539" t="str">
        <f t="shared" si="2227"/>
        <v/>
      </c>
      <c r="DA737" s="539" t="str">
        <f t="shared" si="2227"/>
        <v/>
      </c>
      <c r="DB737" s="538" t="str">
        <f t="shared" si="2227"/>
        <v/>
      </c>
      <c r="DC737" s="537" t="str">
        <f t="shared" si="222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681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221"/>
        <v/>
      </c>
      <c r="CA738" s="578" t="str">
        <f t="shared" si="2222"/>
        <v/>
      </c>
      <c r="CB738" s="578" t="str">
        <f t="shared" si="2223"/>
        <v/>
      </c>
      <c r="CC738" s="675" t="str">
        <f t="shared" si="2224"/>
        <v/>
      </c>
      <c r="CD738" s="1322"/>
      <c r="CE738" s="1322"/>
      <c r="CF738" s="1322"/>
      <c r="CG738" s="1322"/>
      <c r="CH738" s="1322"/>
      <c r="CI738" s="1322"/>
      <c r="CJ738" s="1322"/>
      <c r="CK738" s="1322"/>
      <c r="CL738" s="1322"/>
      <c r="CM738" s="1322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297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221"/>
        <v/>
      </c>
      <c r="CA739" s="586" t="str">
        <f t="shared" si="2222"/>
        <v/>
      </c>
      <c r="CB739" s="586" t="str">
        <f t="shared" si="2223"/>
        <v/>
      </c>
      <c r="CC739" s="676" t="str">
        <f t="shared" si="2224"/>
        <v/>
      </c>
      <c r="CD739" s="1316" t="str">
        <f t="shared" ref="CD739:CI742" si="223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7" t="str">
        <f t="shared" si="2234"/>
        <v/>
      </c>
      <c r="CF739" s="1317" t="str">
        <f t="shared" si="2234"/>
        <v/>
      </c>
      <c r="CG739" s="1317" t="str">
        <f t="shared" si="2234"/>
        <v/>
      </c>
      <c r="CH739" s="1318" t="str">
        <f t="shared" si="2234"/>
        <v/>
      </c>
      <c r="CI739" s="1318" t="str">
        <f t="shared" si="2234"/>
        <v/>
      </c>
      <c r="CJ739" s="1317" t="str">
        <f t="shared" ref="CJ739:CM742" si="223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17" t="str">
        <f t="shared" si="2235"/>
        <v/>
      </c>
      <c r="CL739" s="1317" t="str">
        <f t="shared" si="2235"/>
        <v/>
      </c>
      <c r="CM739" s="1316" t="str">
        <f t="shared" si="2235"/>
        <v/>
      </c>
      <c r="CN739" s="538" t="str">
        <f t="shared" ref="CN739:CV743" si="223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36"/>
        <v/>
      </c>
      <c r="CP739" s="539" t="str">
        <f t="shared" si="2236"/>
        <v/>
      </c>
      <c r="CQ739" s="539" t="str">
        <f t="shared" si="2236"/>
        <v/>
      </c>
      <c r="CR739" s="539" t="str">
        <f t="shared" si="2236"/>
        <v/>
      </c>
      <c r="CS739" s="539" t="str">
        <f t="shared" si="2236"/>
        <v/>
      </c>
      <c r="CT739" s="540" t="str">
        <f t="shared" si="2236"/>
        <v/>
      </c>
      <c r="CU739" s="540" t="str">
        <f t="shared" si="2236"/>
        <v/>
      </c>
      <c r="CV739" s="540" t="str">
        <f t="shared" si="2236"/>
        <v/>
      </c>
      <c r="CW739" s="539" t="str">
        <f t="shared" ref="CW739:DC743" si="2237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37"/>
        <v/>
      </c>
      <c r="CY739" s="539" t="str">
        <f t="shared" si="2237"/>
        <v/>
      </c>
      <c r="CZ739" s="539" t="str">
        <f t="shared" si="2237"/>
        <v/>
      </c>
      <c r="DA739" s="539" t="str">
        <f t="shared" si="2237"/>
        <v/>
      </c>
      <c r="DB739" s="538" t="str">
        <f t="shared" si="2237"/>
        <v/>
      </c>
      <c r="DC739" s="537" t="str">
        <f t="shared" si="2237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298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221"/>
        <v/>
      </c>
      <c r="CA740" s="586" t="str">
        <f t="shared" si="2222"/>
        <v/>
      </c>
      <c r="CB740" s="586" t="str">
        <f t="shared" si="2223"/>
        <v/>
      </c>
      <c r="CC740" s="676" t="str">
        <f t="shared" si="2224"/>
        <v/>
      </c>
      <c r="CD740" s="1316" t="str">
        <f t="shared" si="2234"/>
        <v/>
      </c>
      <c r="CE740" s="1317" t="str">
        <f t="shared" si="2234"/>
        <v/>
      </c>
      <c r="CF740" s="1317" t="str">
        <f t="shared" si="2234"/>
        <v/>
      </c>
      <c r="CG740" s="1317" t="str">
        <f t="shared" si="2234"/>
        <v/>
      </c>
      <c r="CH740" s="1318" t="str">
        <f t="shared" si="2234"/>
        <v/>
      </c>
      <c r="CI740" s="1318" t="str">
        <f t="shared" si="2234"/>
        <v/>
      </c>
      <c r="CJ740" s="1317" t="str">
        <f t="shared" si="2235"/>
        <v/>
      </c>
      <c r="CK740" s="1317" t="str">
        <f t="shared" si="2235"/>
        <v/>
      </c>
      <c r="CL740" s="1317" t="str">
        <f t="shared" si="2235"/>
        <v/>
      </c>
      <c r="CM740" s="1316" t="str">
        <f t="shared" si="2235"/>
        <v/>
      </c>
      <c r="CN740" s="538" t="str">
        <f t="shared" si="2236"/>
        <v/>
      </c>
      <c r="CO740" s="539" t="str">
        <f t="shared" si="2236"/>
        <v/>
      </c>
      <c r="CP740" s="539" t="str">
        <f t="shared" si="2236"/>
        <v/>
      </c>
      <c r="CQ740" s="539" t="str">
        <f t="shared" si="2236"/>
        <v/>
      </c>
      <c r="CR740" s="539" t="str">
        <f t="shared" si="2236"/>
        <v/>
      </c>
      <c r="CS740" s="539" t="str">
        <f t="shared" si="2236"/>
        <v/>
      </c>
      <c r="CT740" s="540" t="str">
        <f t="shared" si="2236"/>
        <v/>
      </c>
      <c r="CU740" s="540" t="str">
        <f t="shared" si="2236"/>
        <v/>
      </c>
      <c r="CV740" s="540" t="str">
        <f t="shared" si="2236"/>
        <v/>
      </c>
      <c r="CW740" s="539" t="str">
        <f t="shared" si="2237"/>
        <v/>
      </c>
      <c r="CX740" s="539" t="str">
        <f t="shared" si="2237"/>
        <v/>
      </c>
      <c r="CY740" s="539" t="str">
        <f t="shared" si="2237"/>
        <v/>
      </c>
      <c r="CZ740" s="539" t="str">
        <f t="shared" si="2237"/>
        <v/>
      </c>
      <c r="DA740" s="539" t="str">
        <f t="shared" si="2237"/>
        <v/>
      </c>
      <c r="DB740" s="538" t="str">
        <f t="shared" si="2237"/>
        <v/>
      </c>
      <c r="DC740" s="537" t="str">
        <f t="shared" si="2237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221"/>
        <v/>
      </c>
      <c r="CA741" s="586" t="str">
        <f t="shared" si="2222"/>
        <v/>
      </c>
      <c r="CB741" s="586" t="str">
        <f t="shared" si="2223"/>
        <v/>
      </c>
      <c r="CC741" s="676" t="str">
        <f t="shared" si="2224"/>
        <v/>
      </c>
      <c r="CD741" s="1316" t="str">
        <f t="shared" si="2234"/>
        <v/>
      </c>
      <c r="CE741" s="1317" t="str">
        <f t="shared" si="2234"/>
        <v/>
      </c>
      <c r="CF741" s="1317" t="str">
        <f t="shared" si="2234"/>
        <v/>
      </c>
      <c r="CG741" s="1317" t="str">
        <f t="shared" si="2234"/>
        <v/>
      </c>
      <c r="CH741" s="1318" t="str">
        <f t="shared" si="2234"/>
        <v/>
      </c>
      <c r="CI741" s="1318" t="str">
        <f t="shared" si="2234"/>
        <v/>
      </c>
      <c r="CJ741" s="1317" t="str">
        <f t="shared" si="2235"/>
        <v/>
      </c>
      <c r="CK741" s="1317" t="str">
        <f t="shared" si="2235"/>
        <v/>
      </c>
      <c r="CL741" s="1317" t="str">
        <f t="shared" si="2235"/>
        <v/>
      </c>
      <c r="CM741" s="1316" t="str">
        <f t="shared" si="2235"/>
        <v/>
      </c>
      <c r="CN741" s="538" t="str">
        <f t="shared" si="2236"/>
        <v/>
      </c>
      <c r="CO741" s="539" t="str">
        <f t="shared" si="2236"/>
        <v/>
      </c>
      <c r="CP741" s="539" t="str">
        <f t="shared" si="2236"/>
        <v/>
      </c>
      <c r="CQ741" s="539" t="str">
        <f t="shared" si="2236"/>
        <v/>
      </c>
      <c r="CR741" s="539" t="str">
        <f t="shared" si="2236"/>
        <v/>
      </c>
      <c r="CS741" s="539" t="str">
        <f t="shared" si="2236"/>
        <v/>
      </c>
      <c r="CT741" s="540" t="str">
        <f t="shared" si="2236"/>
        <v/>
      </c>
      <c r="CU741" s="540" t="str">
        <f t="shared" si="2236"/>
        <v/>
      </c>
      <c r="CV741" s="540" t="str">
        <f t="shared" si="2236"/>
        <v/>
      </c>
      <c r="CW741" s="539" t="str">
        <f t="shared" si="2237"/>
        <v/>
      </c>
      <c r="CX741" s="539" t="str">
        <f t="shared" si="2237"/>
        <v/>
      </c>
      <c r="CY741" s="539" t="str">
        <f t="shared" si="2237"/>
        <v/>
      </c>
      <c r="CZ741" s="539" t="str">
        <f t="shared" si="2237"/>
        <v/>
      </c>
      <c r="DA741" s="539" t="str">
        <f t="shared" si="2237"/>
        <v/>
      </c>
      <c r="DB741" s="538" t="str">
        <f t="shared" si="2237"/>
        <v/>
      </c>
      <c r="DC741" s="537" t="str">
        <f t="shared" si="2237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221"/>
        <v/>
      </c>
      <c r="CA742" s="586" t="str">
        <f t="shared" si="2222"/>
        <v/>
      </c>
      <c r="CB742" s="586" t="str">
        <f t="shared" si="2223"/>
        <v/>
      </c>
      <c r="CC742" s="676" t="str">
        <f t="shared" si="2224"/>
        <v/>
      </c>
      <c r="CD742" s="1316" t="str">
        <f t="shared" si="2234"/>
        <v/>
      </c>
      <c r="CE742" s="1317" t="str">
        <f t="shared" si="2234"/>
        <v/>
      </c>
      <c r="CF742" s="1317" t="str">
        <f t="shared" si="2234"/>
        <v/>
      </c>
      <c r="CG742" s="1317" t="str">
        <f t="shared" si="2234"/>
        <v/>
      </c>
      <c r="CH742" s="1318" t="str">
        <f t="shared" si="2234"/>
        <v/>
      </c>
      <c r="CI742" s="1318" t="str">
        <f t="shared" si="2234"/>
        <v/>
      </c>
      <c r="CJ742" s="1317" t="str">
        <f t="shared" si="2235"/>
        <v/>
      </c>
      <c r="CK742" s="1317" t="str">
        <f t="shared" si="2235"/>
        <v/>
      </c>
      <c r="CL742" s="1317" t="str">
        <f t="shared" si="2235"/>
        <v/>
      </c>
      <c r="CM742" s="1316" t="str">
        <f t="shared" si="2235"/>
        <v/>
      </c>
      <c r="CN742" s="538" t="str">
        <f t="shared" si="2236"/>
        <v/>
      </c>
      <c r="CO742" s="539" t="str">
        <f t="shared" si="2236"/>
        <v/>
      </c>
      <c r="CP742" s="539" t="str">
        <f t="shared" si="2236"/>
        <v/>
      </c>
      <c r="CQ742" s="539" t="str">
        <f t="shared" si="2236"/>
        <v/>
      </c>
      <c r="CR742" s="539" t="str">
        <f t="shared" si="2236"/>
        <v/>
      </c>
      <c r="CS742" s="539" t="str">
        <f t="shared" si="2236"/>
        <v/>
      </c>
      <c r="CT742" s="540" t="str">
        <f t="shared" si="2236"/>
        <v/>
      </c>
      <c r="CU742" s="540" t="str">
        <f t="shared" si="2236"/>
        <v/>
      </c>
      <c r="CV742" s="540" t="str">
        <f t="shared" si="2236"/>
        <v/>
      </c>
      <c r="CW742" s="539" t="str">
        <f t="shared" si="2237"/>
        <v/>
      </c>
      <c r="CX742" s="539" t="str">
        <f t="shared" si="2237"/>
        <v/>
      </c>
      <c r="CY742" s="539" t="str">
        <f t="shared" si="2237"/>
        <v/>
      </c>
      <c r="CZ742" s="539" t="str">
        <f t="shared" si="2237"/>
        <v/>
      </c>
      <c r="DA742" s="539" t="str">
        <f t="shared" si="2237"/>
        <v/>
      </c>
      <c r="DB742" s="538" t="str">
        <f t="shared" si="2237"/>
        <v/>
      </c>
      <c r="DC742" s="537" t="str">
        <f t="shared" si="2237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315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221"/>
        <v>30345</v>
      </c>
      <c r="CA743" s="586">
        <f t="shared" si="2222"/>
        <v>24466.5</v>
      </c>
      <c r="CB743" s="586">
        <f t="shared" si="2223"/>
        <v>31080</v>
      </c>
      <c r="CC743" s="676">
        <f t="shared" si="2224"/>
        <v>28158</v>
      </c>
      <c r="CD743" s="131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317">
        <f t="shared" ref="CE743:CM743" si="223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317">
        <f t="shared" si="2238"/>
        <v>26640</v>
      </c>
      <c r="CG743" s="1317">
        <f t="shared" si="2238"/>
        <v>28680</v>
      </c>
      <c r="CH743" s="1318">
        <f t="shared" si="2238"/>
        <v>29760</v>
      </c>
      <c r="CI743" s="1318">
        <f t="shared" si="2238"/>
        <v>32520</v>
      </c>
      <c r="CJ743" s="1317">
        <f t="shared" si="2238"/>
        <v>35040</v>
      </c>
      <c r="CK743" s="1317">
        <f t="shared" si="2238"/>
        <v>35880</v>
      </c>
      <c r="CL743" s="1317">
        <f t="shared" si="2238"/>
        <v>36720</v>
      </c>
      <c r="CM743" s="1316">
        <f t="shared" si="2238"/>
        <v>36840</v>
      </c>
      <c r="CN743" s="538" t="str">
        <f t="shared" si="2236"/>
        <v/>
      </c>
      <c r="CO743" s="539" t="str">
        <f t="shared" si="2236"/>
        <v/>
      </c>
      <c r="CP743" s="539" t="str">
        <f t="shared" si="2236"/>
        <v/>
      </c>
      <c r="CQ743" s="539">
        <f t="shared" si="2236"/>
        <v>17520</v>
      </c>
      <c r="CR743" s="539">
        <f t="shared" si="2236"/>
        <v>19200</v>
      </c>
      <c r="CS743" s="539">
        <f t="shared" si="2236"/>
        <v>20160</v>
      </c>
      <c r="CT743" s="540">
        <f t="shared" si="2236"/>
        <v>20160</v>
      </c>
      <c r="CU743" s="540">
        <f t="shared" si="2236"/>
        <v>29760</v>
      </c>
      <c r="CV743" s="540">
        <f t="shared" si="2236"/>
        <v>32400</v>
      </c>
      <c r="CW743" s="539">
        <f t="shared" si="2237"/>
        <v>33624</v>
      </c>
      <c r="CX743" s="539">
        <f t="shared" si="2237"/>
        <v>34920</v>
      </c>
      <c r="CY743" s="539">
        <f t="shared" si="2237"/>
        <v>35040</v>
      </c>
      <c r="CZ743" s="539">
        <f t="shared" si="2237"/>
        <v>44640</v>
      </c>
      <c r="DA743" s="539" t="str">
        <f t="shared" si="2237"/>
        <v/>
      </c>
      <c r="DB743" s="538" t="str">
        <f t="shared" si="2237"/>
        <v/>
      </c>
      <c r="DC743" s="537" t="str">
        <f t="shared" si="2237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325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2"/>
      <c r="CE744" s="1322"/>
      <c r="CF744" s="1322"/>
      <c r="CG744" s="1322"/>
      <c r="CH744" s="1322"/>
      <c r="CI744" s="1322"/>
      <c r="CJ744" s="1322"/>
      <c r="CK744" s="1322"/>
      <c r="CL744" s="1322"/>
      <c r="CM744" s="1322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297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39">IF(DD745&lt;3,"",(SUM(B745:R745)-MIN(B745:R745)-MAX(B745:R745))/(DD745-2))</f>
        <v/>
      </c>
      <c r="CA745" s="586" t="str">
        <f t="shared" ref="CA745:CA760" si="2240">IF(DE745&lt;3,"",(SUM(T745:AJ745)-MIN(T745:AJ745)-MAX(T745:AJ745))/(DE745-2))</f>
        <v/>
      </c>
      <c r="CB745" s="586" t="str">
        <f t="shared" ref="CB745:CB760" si="2241">IF(DF745&lt;3,"",(SUM(AL745:BB745)-MIN(AL745:BB745)-MAX(AL745:BB745))/(DF745-2))</f>
        <v/>
      </c>
      <c r="CC745" s="676" t="str">
        <f t="shared" ref="CC745:CC760" si="2242">IF(DG745&lt;3,"",(SUM(BD745:BT745)-MIN(BD745:BT745)-MAX(BD745:BT745))/(DG745-2))</f>
        <v/>
      </c>
      <c r="CD745" s="1316" t="str">
        <f t="shared" ref="CD745:CI748" si="224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7" t="str">
        <f t="shared" si="2243"/>
        <v/>
      </c>
      <c r="CF745" s="1317" t="str">
        <f t="shared" si="2243"/>
        <v/>
      </c>
      <c r="CG745" s="1317" t="str">
        <f t="shared" si="2243"/>
        <v/>
      </c>
      <c r="CH745" s="1318" t="str">
        <f t="shared" si="2243"/>
        <v/>
      </c>
      <c r="CI745" s="1318" t="str">
        <f t="shared" si="2243"/>
        <v/>
      </c>
      <c r="CJ745" s="1317" t="str">
        <f t="shared" ref="CJ745:CM748" si="224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17" t="str">
        <f t="shared" si="2244"/>
        <v/>
      </c>
      <c r="CL745" s="1317" t="str">
        <f t="shared" si="2244"/>
        <v/>
      </c>
      <c r="CM745" s="1316" t="str">
        <f t="shared" si="2244"/>
        <v/>
      </c>
      <c r="CN745" s="538" t="str">
        <f t="shared" ref="CN745:CV749" si="224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45"/>
        <v/>
      </c>
      <c r="CP745" s="539" t="str">
        <f t="shared" si="2245"/>
        <v/>
      </c>
      <c r="CQ745" s="539" t="str">
        <f t="shared" si="2245"/>
        <v/>
      </c>
      <c r="CR745" s="539" t="str">
        <f t="shared" si="2245"/>
        <v/>
      </c>
      <c r="CS745" s="539" t="str">
        <f t="shared" si="2245"/>
        <v/>
      </c>
      <c r="CT745" s="540" t="str">
        <f t="shared" si="2245"/>
        <v/>
      </c>
      <c r="CU745" s="540" t="str">
        <f t="shared" si="2245"/>
        <v/>
      </c>
      <c r="CV745" s="540" t="str">
        <f t="shared" si="2245"/>
        <v/>
      </c>
      <c r="CW745" s="539" t="str">
        <f t="shared" ref="CW745:DC749" si="2246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46"/>
        <v/>
      </c>
      <c r="CY745" s="539" t="str">
        <f t="shared" si="2246"/>
        <v/>
      </c>
      <c r="CZ745" s="539" t="str">
        <f t="shared" si="2246"/>
        <v/>
      </c>
      <c r="DA745" s="539" t="str">
        <f t="shared" si="2246"/>
        <v/>
      </c>
      <c r="DB745" s="538" t="str">
        <f t="shared" si="2246"/>
        <v/>
      </c>
      <c r="DC745" s="537" t="str">
        <f t="shared" si="2246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298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39"/>
        <v/>
      </c>
      <c r="CA746" s="586" t="str">
        <f t="shared" si="2240"/>
        <v/>
      </c>
      <c r="CB746" s="586" t="str">
        <f t="shared" si="2241"/>
        <v/>
      </c>
      <c r="CC746" s="676" t="str">
        <f t="shared" si="2242"/>
        <v/>
      </c>
      <c r="CD746" s="1316" t="str">
        <f t="shared" si="2243"/>
        <v/>
      </c>
      <c r="CE746" s="1317" t="str">
        <f t="shared" si="2243"/>
        <v/>
      </c>
      <c r="CF746" s="1317" t="str">
        <f t="shared" si="2243"/>
        <v/>
      </c>
      <c r="CG746" s="1317" t="str">
        <f t="shared" si="2243"/>
        <v/>
      </c>
      <c r="CH746" s="1318" t="str">
        <f t="shared" si="2243"/>
        <v/>
      </c>
      <c r="CI746" s="1318" t="str">
        <f t="shared" si="2243"/>
        <v/>
      </c>
      <c r="CJ746" s="1317" t="str">
        <f t="shared" si="2244"/>
        <v/>
      </c>
      <c r="CK746" s="1317" t="str">
        <f t="shared" si="2244"/>
        <v/>
      </c>
      <c r="CL746" s="1317" t="str">
        <f t="shared" si="2244"/>
        <v/>
      </c>
      <c r="CM746" s="1316" t="str">
        <f t="shared" si="2244"/>
        <v/>
      </c>
      <c r="CN746" s="538" t="str">
        <f t="shared" si="2245"/>
        <v/>
      </c>
      <c r="CO746" s="539" t="str">
        <f t="shared" si="2245"/>
        <v/>
      </c>
      <c r="CP746" s="539" t="str">
        <f t="shared" si="2245"/>
        <v/>
      </c>
      <c r="CQ746" s="539" t="str">
        <f t="shared" si="2245"/>
        <v/>
      </c>
      <c r="CR746" s="539" t="str">
        <f t="shared" si="2245"/>
        <v/>
      </c>
      <c r="CS746" s="539" t="str">
        <f t="shared" si="2245"/>
        <v/>
      </c>
      <c r="CT746" s="540" t="str">
        <f t="shared" si="2245"/>
        <v/>
      </c>
      <c r="CU746" s="540" t="str">
        <f t="shared" si="2245"/>
        <v/>
      </c>
      <c r="CV746" s="540" t="str">
        <f t="shared" si="2245"/>
        <v/>
      </c>
      <c r="CW746" s="539" t="str">
        <f t="shared" si="2246"/>
        <v/>
      </c>
      <c r="CX746" s="539" t="str">
        <f t="shared" si="2246"/>
        <v/>
      </c>
      <c r="CY746" s="539" t="str">
        <f t="shared" si="2246"/>
        <v/>
      </c>
      <c r="CZ746" s="539" t="str">
        <f t="shared" si="2246"/>
        <v/>
      </c>
      <c r="DA746" s="539" t="str">
        <f t="shared" si="2246"/>
        <v/>
      </c>
      <c r="DB746" s="538" t="str">
        <f t="shared" si="2246"/>
        <v/>
      </c>
      <c r="DC746" s="537" t="str">
        <f t="shared" si="2246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39"/>
        <v/>
      </c>
      <c r="CA747" s="586" t="str">
        <f t="shared" si="2240"/>
        <v/>
      </c>
      <c r="CB747" s="586" t="str">
        <f t="shared" si="2241"/>
        <v/>
      </c>
      <c r="CC747" s="676" t="str">
        <f t="shared" si="2242"/>
        <v/>
      </c>
      <c r="CD747" s="1316" t="str">
        <f t="shared" si="2243"/>
        <v/>
      </c>
      <c r="CE747" s="1317" t="str">
        <f t="shared" si="2243"/>
        <v/>
      </c>
      <c r="CF747" s="1317" t="str">
        <f t="shared" si="2243"/>
        <v/>
      </c>
      <c r="CG747" s="1317" t="str">
        <f t="shared" si="2243"/>
        <v/>
      </c>
      <c r="CH747" s="1318" t="str">
        <f t="shared" si="2243"/>
        <v/>
      </c>
      <c r="CI747" s="1318" t="str">
        <f t="shared" si="2243"/>
        <v/>
      </c>
      <c r="CJ747" s="1317" t="str">
        <f t="shared" si="2244"/>
        <v/>
      </c>
      <c r="CK747" s="1317" t="str">
        <f t="shared" si="2244"/>
        <v/>
      </c>
      <c r="CL747" s="1317" t="str">
        <f t="shared" si="2244"/>
        <v/>
      </c>
      <c r="CM747" s="1316" t="str">
        <f t="shared" si="2244"/>
        <v/>
      </c>
      <c r="CN747" s="538" t="str">
        <f t="shared" si="2245"/>
        <v/>
      </c>
      <c r="CO747" s="539" t="str">
        <f t="shared" si="2245"/>
        <v/>
      </c>
      <c r="CP747" s="539" t="str">
        <f t="shared" si="2245"/>
        <v/>
      </c>
      <c r="CQ747" s="539" t="str">
        <f t="shared" si="2245"/>
        <v/>
      </c>
      <c r="CR747" s="539" t="str">
        <f t="shared" si="2245"/>
        <v/>
      </c>
      <c r="CS747" s="539" t="str">
        <f t="shared" si="2245"/>
        <v/>
      </c>
      <c r="CT747" s="540" t="str">
        <f t="shared" si="2245"/>
        <v/>
      </c>
      <c r="CU747" s="540" t="str">
        <f t="shared" si="2245"/>
        <v/>
      </c>
      <c r="CV747" s="540" t="str">
        <f t="shared" si="2245"/>
        <v/>
      </c>
      <c r="CW747" s="539" t="str">
        <f t="shared" si="2246"/>
        <v/>
      </c>
      <c r="CX747" s="539" t="str">
        <f t="shared" si="2246"/>
        <v/>
      </c>
      <c r="CY747" s="539" t="str">
        <f t="shared" si="2246"/>
        <v/>
      </c>
      <c r="CZ747" s="539" t="str">
        <f t="shared" si="2246"/>
        <v/>
      </c>
      <c r="DA747" s="539" t="str">
        <f t="shared" si="2246"/>
        <v/>
      </c>
      <c r="DB747" s="538" t="str">
        <f t="shared" si="2246"/>
        <v/>
      </c>
      <c r="DC747" s="537" t="str">
        <f t="shared" si="2246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39"/>
        <v/>
      </c>
      <c r="CA748" s="586" t="str">
        <f t="shared" si="2240"/>
        <v/>
      </c>
      <c r="CB748" s="586" t="str">
        <f t="shared" si="2241"/>
        <v/>
      </c>
      <c r="CC748" s="676" t="str">
        <f t="shared" si="2242"/>
        <v/>
      </c>
      <c r="CD748" s="1316" t="str">
        <f t="shared" si="2243"/>
        <v/>
      </c>
      <c r="CE748" s="1317" t="str">
        <f t="shared" si="2243"/>
        <v/>
      </c>
      <c r="CF748" s="1317" t="str">
        <f t="shared" si="2243"/>
        <v/>
      </c>
      <c r="CG748" s="1317" t="str">
        <f t="shared" si="2243"/>
        <v/>
      </c>
      <c r="CH748" s="1318" t="str">
        <f t="shared" si="2243"/>
        <v/>
      </c>
      <c r="CI748" s="1318" t="str">
        <f t="shared" si="2243"/>
        <v/>
      </c>
      <c r="CJ748" s="1317" t="str">
        <f t="shared" si="2244"/>
        <v/>
      </c>
      <c r="CK748" s="1317" t="str">
        <f t="shared" si="2244"/>
        <v/>
      </c>
      <c r="CL748" s="1317" t="str">
        <f t="shared" si="2244"/>
        <v/>
      </c>
      <c r="CM748" s="1316" t="str">
        <f t="shared" si="2244"/>
        <v/>
      </c>
      <c r="CN748" s="538" t="str">
        <f t="shared" si="2245"/>
        <v/>
      </c>
      <c r="CO748" s="539" t="str">
        <f t="shared" si="2245"/>
        <v/>
      </c>
      <c r="CP748" s="539" t="str">
        <f t="shared" si="2245"/>
        <v/>
      </c>
      <c r="CQ748" s="539" t="str">
        <f t="shared" si="2245"/>
        <v/>
      </c>
      <c r="CR748" s="539" t="str">
        <f t="shared" si="2245"/>
        <v/>
      </c>
      <c r="CS748" s="539" t="str">
        <f t="shared" si="2245"/>
        <v/>
      </c>
      <c r="CT748" s="540" t="str">
        <f t="shared" si="2245"/>
        <v/>
      </c>
      <c r="CU748" s="540" t="str">
        <f t="shared" si="2245"/>
        <v/>
      </c>
      <c r="CV748" s="540" t="str">
        <f t="shared" si="2245"/>
        <v/>
      </c>
      <c r="CW748" s="539" t="str">
        <f t="shared" si="2246"/>
        <v/>
      </c>
      <c r="CX748" s="539" t="str">
        <f t="shared" si="2246"/>
        <v/>
      </c>
      <c r="CY748" s="539" t="str">
        <f t="shared" si="2246"/>
        <v/>
      </c>
      <c r="CZ748" s="539" t="str">
        <f t="shared" si="2246"/>
        <v/>
      </c>
      <c r="DA748" s="539" t="str">
        <f t="shared" si="2246"/>
        <v/>
      </c>
      <c r="DB748" s="538" t="str">
        <f t="shared" si="2246"/>
        <v/>
      </c>
      <c r="DC748" s="537" t="str">
        <f t="shared" si="2246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315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39"/>
        <v>0</v>
      </c>
      <c r="CA749" s="586">
        <f t="shared" si="2240"/>
        <v>0</v>
      </c>
      <c r="CB749" s="586">
        <f t="shared" si="2241"/>
        <v>371.40000000000009</v>
      </c>
      <c r="CC749" s="676">
        <f t="shared" si="2242"/>
        <v>0</v>
      </c>
      <c r="CD749" s="131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7">
        <f t="shared" ref="CE749:CM749" si="224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7">
        <f t="shared" si="2247"/>
        <v>0</v>
      </c>
      <c r="CG749" s="1317">
        <f t="shared" si="2247"/>
        <v>0</v>
      </c>
      <c r="CH749" s="1318">
        <f t="shared" si="2247"/>
        <v>0</v>
      </c>
      <c r="CI749" s="1318">
        <f t="shared" si="2247"/>
        <v>0</v>
      </c>
      <c r="CJ749" s="1317">
        <f t="shared" si="2247"/>
        <v>0</v>
      </c>
      <c r="CK749" s="1317">
        <f t="shared" si="2247"/>
        <v>0</v>
      </c>
      <c r="CL749" s="1317">
        <f t="shared" si="2247"/>
        <v>2971.2</v>
      </c>
      <c r="CM749" s="1316">
        <f t="shared" si="2247"/>
        <v>6000</v>
      </c>
      <c r="CN749" s="538" t="str">
        <f t="shared" si="2245"/>
        <v/>
      </c>
      <c r="CO749" s="539" t="str">
        <f t="shared" si="2245"/>
        <v/>
      </c>
      <c r="CP749" s="539" t="str">
        <f t="shared" si="2245"/>
        <v/>
      </c>
      <c r="CQ749" s="539">
        <f t="shared" si="2245"/>
        <v>0</v>
      </c>
      <c r="CR749" s="539">
        <f t="shared" si="2245"/>
        <v>0</v>
      </c>
      <c r="CS749" s="539">
        <f t="shared" si="2245"/>
        <v>0</v>
      </c>
      <c r="CT749" s="540">
        <f t="shared" si="2245"/>
        <v>0</v>
      </c>
      <c r="CU749" s="540">
        <f t="shared" si="2245"/>
        <v>0</v>
      </c>
      <c r="CV749" s="540">
        <f t="shared" si="2245"/>
        <v>0</v>
      </c>
      <c r="CW749" s="539">
        <f t="shared" si="2246"/>
        <v>0</v>
      </c>
      <c r="CX749" s="539">
        <f t="shared" si="2246"/>
        <v>0</v>
      </c>
      <c r="CY749" s="539">
        <f t="shared" si="2246"/>
        <v>0</v>
      </c>
      <c r="CZ749" s="539">
        <f t="shared" si="2246"/>
        <v>0</v>
      </c>
      <c r="DA749" s="539" t="str">
        <f t="shared" si="2246"/>
        <v/>
      </c>
      <c r="DB749" s="538" t="str">
        <f t="shared" si="2246"/>
        <v/>
      </c>
      <c r="DC749" s="537" t="str">
        <f t="shared" si="2246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326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39"/>
        <v/>
      </c>
      <c r="CA750" s="578" t="str">
        <f t="shared" si="2240"/>
        <v/>
      </c>
      <c r="CB750" s="578" t="str">
        <f t="shared" si="2241"/>
        <v/>
      </c>
      <c r="CC750" s="675" t="str">
        <f t="shared" si="2242"/>
        <v/>
      </c>
      <c r="CD750" s="1322"/>
      <c r="CE750" s="1322"/>
      <c r="CF750" s="1322"/>
      <c r="CG750" s="1322"/>
      <c r="CH750" s="1322"/>
      <c r="CI750" s="1322"/>
      <c r="CJ750" s="1322"/>
      <c r="CK750" s="1322"/>
      <c r="CL750" s="1322"/>
      <c r="CM750" s="1322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297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39"/>
        <v/>
      </c>
      <c r="CA751" s="586" t="str">
        <f t="shared" si="2240"/>
        <v/>
      </c>
      <c r="CB751" s="586" t="str">
        <f t="shared" si="2241"/>
        <v/>
      </c>
      <c r="CC751" s="676" t="str">
        <f t="shared" si="2242"/>
        <v/>
      </c>
      <c r="CD751" s="1316" t="str">
        <f t="shared" ref="CD751:CI754" si="224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7" t="str">
        <f t="shared" si="2248"/>
        <v/>
      </c>
      <c r="CF751" s="1317" t="str">
        <f t="shared" si="2248"/>
        <v/>
      </c>
      <c r="CG751" s="1317" t="str">
        <f t="shared" si="2248"/>
        <v/>
      </c>
      <c r="CH751" s="1318" t="str">
        <f t="shared" si="2248"/>
        <v/>
      </c>
      <c r="CI751" s="1318" t="str">
        <f t="shared" si="2248"/>
        <v/>
      </c>
      <c r="CJ751" s="1317" t="str">
        <f t="shared" ref="CJ751:CM754" si="224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17" t="str">
        <f t="shared" si="2249"/>
        <v/>
      </c>
      <c r="CL751" s="1317" t="str">
        <f t="shared" si="2249"/>
        <v/>
      </c>
      <c r="CM751" s="1316" t="str">
        <f t="shared" si="2249"/>
        <v/>
      </c>
      <c r="CN751" s="538" t="str">
        <f t="shared" ref="CN751:CV755" si="225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50"/>
        <v/>
      </c>
      <c r="CP751" s="539" t="str">
        <f t="shared" si="2250"/>
        <v/>
      </c>
      <c r="CQ751" s="539" t="str">
        <f t="shared" si="2250"/>
        <v/>
      </c>
      <c r="CR751" s="539" t="str">
        <f t="shared" si="2250"/>
        <v/>
      </c>
      <c r="CS751" s="539" t="str">
        <f t="shared" si="2250"/>
        <v/>
      </c>
      <c r="CT751" s="540" t="str">
        <f t="shared" si="2250"/>
        <v/>
      </c>
      <c r="CU751" s="540" t="str">
        <f t="shared" si="2250"/>
        <v/>
      </c>
      <c r="CV751" s="540" t="str">
        <f t="shared" si="2250"/>
        <v/>
      </c>
      <c r="CW751" s="539" t="str">
        <f t="shared" ref="CW751:DC755" si="2251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51"/>
        <v/>
      </c>
      <c r="CY751" s="539" t="str">
        <f t="shared" si="2251"/>
        <v/>
      </c>
      <c r="CZ751" s="539" t="str">
        <f t="shared" si="2251"/>
        <v/>
      </c>
      <c r="DA751" s="539" t="str">
        <f t="shared" si="2251"/>
        <v/>
      </c>
      <c r="DB751" s="538" t="str">
        <f t="shared" si="2251"/>
        <v/>
      </c>
      <c r="DC751" s="537" t="str">
        <f t="shared" si="2251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298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39"/>
        <v/>
      </c>
      <c r="CA752" s="586" t="str">
        <f t="shared" si="2240"/>
        <v/>
      </c>
      <c r="CB752" s="586" t="str">
        <f t="shared" si="2241"/>
        <v/>
      </c>
      <c r="CC752" s="676" t="str">
        <f t="shared" si="2242"/>
        <v/>
      </c>
      <c r="CD752" s="1316" t="str">
        <f t="shared" si="2248"/>
        <v/>
      </c>
      <c r="CE752" s="1317" t="str">
        <f t="shared" si="2248"/>
        <v/>
      </c>
      <c r="CF752" s="1317" t="str">
        <f t="shared" si="2248"/>
        <v/>
      </c>
      <c r="CG752" s="1317" t="str">
        <f t="shared" si="2248"/>
        <v/>
      </c>
      <c r="CH752" s="1318" t="str">
        <f t="shared" si="2248"/>
        <v/>
      </c>
      <c r="CI752" s="1318" t="str">
        <f t="shared" si="2248"/>
        <v/>
      </c>
      <c r="CJ752" s="1317" t="str">
        <f t="shared" si="2249"/>
        <v/>
      </c>
      <c r="CK752" s="1317" t="str">
        <f t="shared" si="2249"/>
        <v/>
      </c>
      <c r="CL752" s="1317" t="str">
        <f t="shared" si="2249"/>
        <v/>
      </c>
      <c r="CM752" s="1316" t="str">
        <f t="shared" si="2249"/>
        <v/>
      </c>
      <c r="CN752" s="538" t="str">
        <f t="shared" si="2250"/>
        <v/>
      </c>
      <c r="CO752" s="539" t="str">
        <f t="shared" si="2250"/>
        <v/>
      </c>
      <c r="CP752" s="539" t="str">
        <f t="shared" si="2250"/>
        <v/>
      </c>
      <c r="CQ752" s="539" t="str">
        <f t="shared" si="2250"/>
        <v/>
      </c>
      <c r="CR752" s="539" t="str">
        <f t="shared" si="2250"/>
        <v/>
      </c>
      <c r="CS752" s="539" t="str">
        <f t="shared" si="2250"/>
        <v/>
      </c>
      <c r="CT752" s="540" t="str">
        <f t="shared" si="2250"/>
        <v/>
      </c>
      <c r="CU752" s="540" t="str">
        <f t="shared" si="2250"/>
        <v/>
      </c>
      <c r="CV752" s="540" t="str">
        <f t="shared" si="2250"/>
        <v/>
      </c>
      <c r="CW752" s="539" t="str">
        <f t="shared" si="2251"/>
        <v/>
      </c>
      <c r="CX752" s="539" t="str">
        <f t="shared" si="2251"/>
        <v/>
      </c>
      <c r="CY752" s="539" t="str">
        <f t="shared" si="2251"/>
        <v/>
      </c>
      <c r="CZ752" s="539" t="str">
        <f t="shared" si="2251"/>
        <v/>
      </c>
      <c r="DA752" s="539" t="str">
        <f t="shared" si="2251"/>
        <v/>
      </c>
      <c r="DB752" s="538" t="str">
        <f t="shared" si="2251"/>
        <v/>
      </c>
      <c r="DC752" s="537" t="str">
        <f t="shared" si="2251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39"/>
        <v/>
      </c>
      <c r="CA753" s="586" t="str">
        <f t="shared" si="2240"/>
        <v/>
      </c>
      <c r="CB753" s="586" t="str">
        <f t="shared" si="2241"/>
        <v/>
      </c>
      <c r="CC753" s="676" t="str">
        <f t="shared" si="2242"/>
        <v/>
      </c>
      <c r="CD753" s="1316" t="str">
        <f t="shared" si="2248"/>
        <v/>
      </c>
      <c r="CE753" s="1317" t="str">
        <f t="shared" si="2248"/>
        <v/>
      </c>
      <c r="CF753" s="1317" t="str">
        <f t="shared" si="2248"/>
        <v/>
      </c>
      <c r="CG753" s="1317" t="str">
        <f t="shared" si="2248"/>
        <v/>
      </c>
      <c r="CH753" s="1318" t="str">
        <f t="shared" si="2248"/>
        <v/>
      </c>
      <c r="CI753" s="1318" t="str">
        <f t="shared" si="2248"/>
        <v/>
      </c>
      <c r="CJ753" s="1317" t="str">
        <f t="shared" si="2249"/>
        <v/>
      </c>
      <c r="CK753" s="1317" t="str">
        <f t="shared" si="2249"/>
        <v/>
      </c>
      <c r="CL753" s="1317" t="str">
        <f t="shared" si="2249"/>
        <v/>
      </c>
      <c r="CM753" s="1316" t="str">
        <f t="shared" si="2249"/>
        <v/>
      </c>
      <c r="CN753" s="538" t="str">
        <f t="shared" si="2250"/>
        <v/>
      </c>
      <c r="CO753" s="539" t="str">
        <f t="shared" si="2250"/>
        <v/>
      </c>
      <c r="CP753" s="539" t="str">
        <f t="shared" si="2250"/>
        <v/>
      </c>
      <c r="CQ753" s="539" t="str">
        <f t="shared" si="2250"/>
        <v/>
      </c>
      <c r="CR753" s="539" t="str">
        <f t="shared" si="2250"/>
        <v/>
      </c>
      <c r="CS753" s="539" t="str">
        <f t="shared" si="2250"/>
        <v/>
      </c>
      <c r="CT753" s="540" t="str">
        <f t="shared" si="2250"/>
        <v/>
      </c>
      <c r="CU753" s="540" t="str">
        <f t="shared" si="2250"/>
        <v/>
      </c>
      <c r="CV753" s="540" t="str">
        <f t="shared" si="2250"/>
        <v/>
      </c>
      <c r="CW753" s="539" t="str">
        <f t="shared" si="2251"/>
        <v/>
      </c>
      <c r="CX753" s="539" t="str">
        <f t="shared" si="2251"/>
        <v/>
      </c>
      <c r="CY753" s="539" t="str">
        <f t="shared" si="2251"/>
        <v/>
      </c>
      <c r="CZ753" s="539" t="str">
        <f t="shared" si="2251"/>
        <v/>
      </c>
      <c r="DA753" s="539" t="str">
        <f t="shared" si="2251"/>
        <v/>
      </c>
      <c r="DB753" s="538" t="str">
        <f t="shared" si="2251"/>
        <v/>
      </c>
      <c r="DC753" s="537" t="str">
        <f t="shared" si="2251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39"/>
        <v/>
      </c>
      <c r="CA754" s="586" t="str">
        <f t="shared" si="2240"/>
        <v/>
      </c>
      <c r="CB754" s="586" t="str">
        <f t="shared" si="2241"/>
        <v/>
      </c>
      <c r="CC754" s="676" t="str">
        <f t="shared" si="2242"/>
        <v/>
      </c>
      <c r="CD754" s="1316" t="str">
        <f t="shared" si="2248"/>
        <v/>
      </c>
      <c r="CE754" s="1317" t="str">
        <f t="shared" si="2248"/>
        <v/>
      </c>
      <c r="CF754" s="1317" t="str">
        <f t="shared" si="2248"/>
        <v/>
      </c>
      <c r="CG754" s="1317" t="str">
        <f t="shared" si="2248"/>
        <v/>
      </c>
      <c r="CH754" s="1318" t="str">
        <f t="shared" si="2248"/>
        <v/>
      </c>
      <c r="CI754" s="1318" t="str">
        <f t="shared" si="2248"/>
        <v/>
      </c>
      <c r="CJ754" s="1317" t="str">
        <f t="shared" si="2249"/>
        <v/>
      </c>
      <c r="CK754" s="1317" t="str">
        <f t="shared" si="2249"/>
        <v/>
      </c>
      <c r="CL754" s="1317" t="str">
        <f t="shared" si="2249"/>
        <v/>
      </c>
      <c r="CM754" s="1316" t="str">
        <f t="shared" si="2249"/>
        <v/>
      </c>
      <c r="CN754" s="538" t="str">
        <f t="shared" si="2250"/>
        <v/>
      </c>
      <c r="CO754" s="539" t="str">
        <f t="shared" si="2250"/>
        <v/>
      </c>
      <c r="CP754" s="539" t="str">
        <f t="shared" si="2250"/>
        <v/>
      </c>
      <c r="CQ754" s="539" t="str">
        <f t="shared" si="2250"/>
        <v/>
      </c>
      <c r="CR754" s="539" t="str">
        <f t="shared" si="2250"/>
        <v/>
      </c>
      <c r="CS754" s="539" t="str">
        <f t="shared" si="2250"/>
        <v/>
      </c>
      <c r="CT754" s="540" t="str">
        <f t="shared" si="2250"/>
        <v/>
      </c>
      <c r="CU754" s="540" t="str">
        <f t="shared" si="2250"/>
        <v/>
      </c>
      <c r="CV754" s="540" t="str">
        <f t="shared" si="2250"/>
        <v/>
      </c>
      <c r="CW754" s="539" t="str">
        <f t="shared" si="2251"/>
        <v/>
      </c>
      <c r="CX754" s="539" t="str">
        <f t="shared" si="2251"/>
        <v/>
      </c>
      <c r="CY754" s="539" t="str">
        <f t="shared" si="2251"/>
        <v/>
      </c>
      <c r="CZ754" s="539" t="str">
        <f t="shared" si="2251"/>
        <v/>
      </c>
      <c r="DA754" s="539" t="str">
        <f t="shared" si="2251"/>
        <v/>
      </c>
      <c r="DB754" s="538" t="str">
        <f t="shared" si="2251"/>
        <v/>
      </c>
      <c r="DC754" s="537" t="str">
        <f t="shared" si="2251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315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39"/>
        <v>0</v>
      </c>
      <c r="CA755" s="586">
        <f t="shared" si="2240"/>
        <v>0</v>
      </c>
      <c r="CB755" s="586">
        <f t="shared" si="2241"/>
        <v>428.75</v>
      </c>
      <c r="CC755" s="676">
        <f t="shared" si="2242"/>
        <v>0</v>
      </c>
      <c r="CD755" s="131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7">
        <f t="shared" ref="CE755:CM755" si="225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7">
        <f t="shared" si="2252"/>
        <v>0</v>
      </c>
      <c r="CG755" s="1317">
        <f t="shared" si="2252"/>
        <v>0</v>
      </c>
      <c r="CH755" s="1318">
        <f t="shared" si="2252"/>
        <v>0</v>
      </c>
      <c r="CI755" s="1318">
        <f t="shared" si="2252"/>
        <v>0</v>
      </c>
      <c r="CJ755" s="1317">
        <f t="shared" si="2252"/>
        <v>270</v>
      </c>
      <c r="CK755" s="1317">
        <f t="shared" si="2252"/>
        <v>1000</v>
      </c>
      <c r="CL755" s="1317">
        <f t="shared" si="2252"/>
        <v>2160</v>
      </c>
      <c r="CM755" s="1316">
        <f t="shared" si="2252"/>
        <v>12000</v>
      </c>
      <c r="CN755" s="538" t="str">
        <f t="shared" si="2250"/>
        <v/>
      </c>
      <c r="CO755" s="539" t="str">
        <f t="shared" si="2250"/>
        <v/>
      </c>
      <c r="CP755" s="539" t="str">
        <f t="shared" si="2250"/>
        <v/>
      </c>
      <c r="CQ755" s="539">
        <f t="shared" si="2250"/>
        <v>0</v>
      </c>
      <c r="CR755" s="539">
        <f t="shared" si="2250"/>
        <v>0</v>
      </c>
      <c r="CS755" s="539">
        <f t="shared" si="2250"/>
        <v>0</v>
      </c>
      <c r="CT755" s="540">
        <f t="shared" si="2250"/>
        <v>0</v>
      </c>
      <c r="CU755" s="540">
        <f t="shared" si="2250"/>
        <v>0</v>
      </c>
      <c r="CV755" s="540">
        <f t="shared" si="2250"/>
        <v>0</v>
      </c>
      <c r="CW755" s="539">
        <f t="shared" si="2251"/>
        <v>0</v>
      </c>
      <c r="CX755" s="539">
        <f t="shared" si="2251"/>
        <v>0</v>
      </c>
      <c r="CY755" s="539">
        <f t="shared" si="2251"/>
        <v>0</v>
      </c>
      <c r="CZ755" s="539">
        <f t="shared" si="2251"/>
        <v>0</v>
      </c>
      <c r="DA755" s="539" t="str">
        <f t="shared" si="2251"/>
        <v/>
      </c>
      <c r="DB755" s="538" t="str">
        <f t="shared" si="2251"/>
        <v/>
      </c>
      <c r="DC755" s="537" t="str">
        <f t="shared" si="2251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327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39"/>
        <v/>
      </c>
      <c r="CA756" s="578" t="str">
        <f t="shared" si="2240"/>
        <v/>
      </c>
      <c r="CB756" s="578" t="str">
        <f t="shared" si="2241"/>
        <v/>
      </c>
      <c r="CC756" s="675" t="str">
        <f t="shared" si="2242"/>
        <v/>
      </c>
      <c r="CD756" s="1322"/>
      <c r="CE756" s="1322"/>
      <c r="CF756" s="1322"/>
      <c r="CG756" s="1322"/>
      <c r="CH756" s="1322"/>
      <c r="CI756" s="1322"/>
      <c r="CJ756" s="1322"/>
      <c r="CK756" s="1322"/>
      <c r="CL756" s="1322"/>
      <c r="CM756" s="1322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298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39"/>
        <v/>
      </c>
      <c r="CA757" s="586" t="str">
        <f t="shared" si="2240"/>
        <v/>
      </c>
      <c r="CB757" s="586" t="str">
        <f t="shared" si="2241"/>
        <v/>
      </c>
      <c r="CC757" s="676" t="str">
        <f t="shared" si="2242"/>
        <v/>
      </c>
      <c r="CD757" s="1316" t="str">
        <f t="shared" ref="CD757:CI759" si="225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7" t="str">
        <f t="shared" si="2253"/>
        <v/>
      </c>
      <c r="CF757" s="1317" t="str">
        <f t="shared" si="2253"/>
        <v/>
      </c>
      <c r="CG757" s="1317" t="str">
        <f t="shared" si="2253"/>
        <v/>
      </c>
      <c r="CH757" s="1318" t="str">
        <f t="shared" si="2253"/>
        <v/>
      </c>
      <c r="CI757" s="1318" t="str">
        <f t="shared" si="2253"/>
        <v/>
      </c>
      <c r="CJ757" s="1317" t="str">
        <f t="shared" ref="CJ757:CM759" si="225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17" t="str">
        <f t="shared" si="2254"/>
        <v/>
      </c>
      <c r="CL757" s="1317" t="str">
        <f t="shared" si="2254"/>
        <v/>
      </c>
      <c r="CM757" s="1316" t="str">
        <f t="shared" si="2254"/>
        <v/>
      </c>
      <c r="CN757" s="538" t="str">
        <f t="shared" ref="CN757:CV760" si="225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55"/>
        <v/>
      </c>
      <c r="CP757" s="539" t="str">
        <f t="shared" si="2255"/>
        <v/>
      </c>
      <c r="CQ757" s="539" t="str">
        <f t="shared" si="2255"/>
        <v/>
      </c>
      <c r="CR757" s="539" t="str">
        <f t="shared" si="2255"/>
        <v/>
      </c>
      <c r="CS757" s="539" t="str">
        <f t="shared" si="2255"/>
        <v/>
      </c>
      <c r="CT757" s="540" t="str">
        <f t="shared" si="2255"/>
        <v/>
      </c>
      <c r="CU757" s="540" t="str">
        <f t="shared" si="2255"/>
        <v/>
      </c>
      <c r="CV757" s="540" t="str">
        <f t="shared" si="2255"/>
        <v/>
      </c>
      <c r="CW757" s="539" t="str">
        <f t="shared" ref="CW757:DC760" si="2256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56"/>
        <v/>
      </c>
      <c r="CY757" s="539" t="str">
        <f t="shared" si="2256"/>
        <v/>
      </c>
      <c r="CZ757" s="539" t="str">
        <f t="shared" si="2256"/>
        <v/>
      </c>
      <c r="DA757" s="539" t="str">
        <f t="shared" si="2256"/>
        <v/>
      </c>
      <c r="DB757" s="538" t="str">
        <f t="shared" si="2256"/>
        <v/>
      </c>
      <c r="DC757" s="537" t="str">
        <f t="shared" si="2256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39"/>
        <v/>
      </c>
      <c r="CA758" s="586" t="str">
        <f t="shared" si="2240"/>
        <v/>
      </c>
      <c r="CB758" s="586" t="str">
        <f t="shared" si="2241"/>
        <v/>
      </c>
      <c r="CC758" s="676" t="str">
        <f t="shared" si="2242"/>
        <v/>
      </c>
      <c r="CD758" s="1316" t="str">
        <f t="shared" si="2253"/>
        <v/>
      </c>
      <c r="CE758" s="1317" t="str">
        <f t="shared" si="2253"/>
        <v/>
      </c>
      <c r="CF758" s="1317" t="str">
        <f t="shared" si="2253"/>
        <v/>
      </c>
      <c r="CG758" s="1317" t="str">
        <f t="shared" si="2253"/>
        <v/>
      </c>
      <c r="CH758" s="1318" t="str">
        <f t="shared" si="2253"/>
        <v/>
      </c>
      <c r="CI758" s="1318" t="str">
        <f t="shared" si="2253"/>
        <v/>
      </c>
      <c r="CJ758" s="1317" t="str">
        <f t="shared" si="2254"/>
        <v/>
      </c>
      <c r="CK758" s="1317" t="str">
        <f t="shared" si="2254"/>
        <v/>
      </c>
      <c r="CL758" s="1317" t="str">
        <f t="shared" si="2254"/>
        <v/>
      </c>
      <c r="CM758" s="1316" t="str">
        <f t="shared" si="2254"/>
        <v/>
      </c>
      <c r="CN758" s="538" t="str">
        <f t="shared" si="2255"/>
        <v/>
      </c>
      <c r="CO758" s="539" t="str">
        <f t="shared" si="2255"/>
        <v/>
      </c>
      <c r="CP758" s="539" t="str">
        <f t="shared" si="2255"/>
        <v/>
      </c>
      <c r="CQ758" s="539" t="str">
        <f t="shared" si="2255"/>
        <v/>
      </c>
      <c r="CR758" s="539" t="str">
        <f t="shared" si="2255"/>
        <v/>
      </c>
      <c r="CS758" s="539" t="str">
        <f t="shared" si="2255"/>
        <v/>
      </c>
      <c r="CT758" s="540" t="str">
        <f t="shared" si="2255"/>
        <v/>
      </c>
      <c r="CU758" s="540" t="str">
        <f t="shared" si="2255"/>
        <v/>
      </c>
      <c r="CV758" s="540" t="str">
        <f t="shared" si="2255"/>
        <v/>
      </c>
      <c r="CW758" s="539" t="str">
        <f t="shared" si="2256"/>
        <v/>
      </c>
      <c r="CX758" s="539" t="str">
        <f t="shared" si="2256"/>
        <v/>
      </c>
      <c r="CY758" s="539" t="str">
        <f t="shared" si="2256"/>
        <v/>
      </c>
      <c r="CZ758" s="539" t="str">
        <f t="shared" si="2256"/>
        <v/>
      </c>
      <c r="DA758" s="539" t="str">
        <f t="shared" si="2256"/>
        <v/>
      </c>
      <c r="DB758" s="538" t="str">
        <f t="shared" si="2256"/>
        <v/>
      </c>
      <c r="DC758" s="537" t="str">
        <f t="shared" si="2256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328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39"/>
        <v/>
      </c>
      <c r="CA759" s="586" t="str">
        <f t="shared" si="2240"/>
        <v/>
      </c>
      <c r="CB759" s="586" t="str">
        <f t="shared" si="2241"/>
        <v/>
      </c>
      <c r="CC759" s="676" t="str">
        <f t="shared" si="2242"/>
        <v/>
      </c>
      <c r="CD759" s="1316" t="str">
        <f t="shared" si="2253"/>
        <v/>
      </c>
      <c r="CE759" s="1317" t="str">
        <f t="shared" si="2253"/>
        <v/>
      </c>
      <c r="CF759" s="1317" t="str">
        <f t="shared" si="2253"/>
        <v/>
      </c>
      <c r="CG759" s="1317" t="str">
        <f t="shared" si="2253"/>
        <v/>
      </c>
      <c r="CH759" s="1318" t="str">
        <f t="shared" si="2253"/>
        <v/>
      </c>
      <c r="CI759" s="1318" t="str">
        <f t="shared" si="2253"/>
        <v/>
      </c>
      <c r="CJ759" s="1317" t="str">
        <f t="shared" si="2254"/>
        <v/>
      </c>
      <c r="CK759" s="1317" t="str">
        <f t="shared" si="2254"/>
        <v/>
      </c>
      <c r="CL759" s="1317" t="str">
        <f t="shared" si="2254"/>
        <v/>
      </c>
      <c r="CM759" s="1316" t="str">
        <f t="shared" si="2254"/>
        <v/>
      </c>
      <c r="CN759" s="538" t="str">
        <f t="shared" si="2255"/>
        <v/>
      </c>
      <c r="CO759" s="539" t="str">
        <f t="shared" si="2255"/>
        <v/>
      </c>
      <c r="CP759" s="539" t="str">
        <f t="shared" si="2255"/>
        <v/>
      </c>
      <c r="CQ759" s="539" t="str">
        <f t="shared" si="2255"/>
        <v/>
      </c>
      <c r="CR759" s="539" t="str">
        <f t="shared" si="2255"/>
        <v/>
      </c>
      <c r="CS759" s="539" t="str">
        <f t="shared" si="2255"/>
        <v/>
      </c>
      <c r="CT759" s="540" t="str">
        <f t="shared" si="2255"/>
        <v/>
      </c>
      <c r="CU759" s="540" t="str">
        <f t="shared" si="2255"/>
        <v/>
      </c>
      <c r="CV759" s="540" t="str">
        <f t="shared" si="2255"/>
        <v/>
      </c>
      <c r="CW759" s="539" t="str">
        <f t="shared" si="2256"/>
        <v/>
      </c>
      <c r="CX759" s="539" t="str">
        <f t="shared" si="2256"/>
        <v/>
      </c>
      <c r="CY759" s="539" t="str">
        <f t="shared" si="2256"/>
        <v/>
      </c>
      <c r="CZ759" s="539" t="str">
        <f t="shared" si="2256"/>
        <v/>
      </c>
      <c r="DA759" s="539" t="str">
        <f t="shared" si="2256"/>
        <v/>
      </c>
      <c r="DB759" s="538" t="str">
        <f t="shared" si="2256"/>
        <v/>
      </c>
      <c r="DC759" s="537" t="str">
        <f t="shared" si="2256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315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39"/>
        <v>0</v>
      </c>
      <c r="CA760" s="586">
        <f t="shared" si="2240"/>
        <v>0</v>
      </c>
      <c r="CB760" s="586">
        <f t="shared" si="2241"/>
        <v>527.5</v>
      </c>
      <c r="CC760" s="676">
        <f t="shared" si="2242"/>
        <v>1245</v>
      </c>
      <c r="CD760" s="131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7">
        <f t="shared" ref="CE760:CM760" si="225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7">
        <f t="shared" si="2257"/>
        <v>0</v>
      </c>
      <c r="CG760" s="1317">
        <f t="shared" si="2257"/>
        <v>0</v>
      </c>
      <c r="CH760" s="1318">
        <f t="shared" si="2257"/>
        <v>0</v>
      </c>
      <c r="CI760" s="1318">
        <f t="shared" si="2257"/>
        <v>0</v>
      </c>
      <c r="CJ760" s="1317">
        <f t="shared" si="2257"/>
        <v>500</v>
      </c>
      <c r="CK760" s="1317">
        <f t="shared" si="2257"/>
        <v>1800</v>
      </c>
      <c r="CL760" s="1317">
        <f t="shared" si="2257"/>
        <v>1920</v>
      </c>
      <c r="CM760" s="1316">
        <f t="shared" si="2257"/>
        <v>2160</v>
      </c>
      <c r="CN760" s="538" t="str">
        <f t="shared" si="2255"/>
        <v/>
      </c>
      <c r="CO760" s="539" t="str">
        <f t="shared" si="2255"/>
        <v/>
      </c>
      <c r="CP760" s="539" t="str">
        <f t="shared" si="2255"/>
        <v/>
      </c>
      <c r="CQ760" s="539">
        <f t="shared" si="2255"/>
        <v>0</v>
      </c>
      <c r="CR760" s="539">
        <f t="shared" si="2255"/>
        <v>0</v>
      </c>
      <c r="CS760" s="539">
        <f t="shared" si="2255"/>
        <v>0</v>
      </c>
      <c r="CT760" s="540">
        <f t="shared" si="2255"/>
        <v>0</v>
      </c>
      <c r="CU760" s="540">
        <f t="shared" si="2255"/>
        <v>0</v>
      </c>
      <c r="CV760" s="540">
        <f t="shared" si="2255"/>
        <v>0</v>
      </c>
      <c r="CW760" s="539">
        <f t="shared" si="2256"/>
        <v>0</v>
      </c>
      <c r="CX760" s="539">
        <f t="shared" si="2256"/>
        <v>4200</v>
      </c>
      <c r="CY760" s="539">
        <f t="shared" si="2256"/>
        <v>5760</v>
      </c>
      <c r="CZ760" s="539">
        <f t="shared" si="2256"/>
        <v>16800</v>
      </c>
      <c r="DA760" s="539" t="str">
        <f t="shared" si="2256"/>
        <v/>
      </c>
      <c r="DB760" s="538" t="str">
        <f t="shared" si="2256"/>
        <v/>
      </c>
      <c r="DC760" s="537" t="str">
        <f t="shared" si="2256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329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28"/>
      <c r="CE761" s="1328"/>
      <c r="CF761" s="1328"/>
      <c r="CG761" s="1328"/>
      <c r="CH761" s="1328"/>
      <c r="CI761" s="1328"/>
      <c r="CJ761" s="1328"/>
      <c r="CK761" s="1328"/>
      <c r="CL761" s="1328"/>
      <c r="CM761" s="1328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58">IF(DD762&lt;3,"",(SUM(B762:R762)-MIN(B762:R762)-MAX(B762:R762))/(DD762-2))</f>
        <v/>
      </c>
      <c r="CA762" s="586" t="str">
        <f t="shared" ref="CA762:CA776" si="2259">IF(DE762&lt;3,"",(SUM(T762:AJ762)-MIN(T762:AJ762)-MAX(T762:AJ762))/(DE762-2))</f>
        <v/>
      </c>
      <c r="CB762" s="586" t="str">
        <f t="shared" ref="CB762:CB776" si="2260">IF(DF762&lt;3,"",(SUM(AL762:BB762)-MIN(AL762:BB762)-MAX(AL762:BB762))/(DF762-2))</f>
        <v/>
      </c>
      <c r="CC762" s="676" t="str">
        <f t="shared" ref="CC762:CC776" si="2261">IF(DG762&lt;3,"",(SUM(BD762:BT762)-MIN(BD762:BT762)-MAX(BD762:BT762))/(DG762-2))</f>
        <v/>
      </c>
      <c r="CD762" s="1316" t="str">
        <f t="shared" ref="CD762:CM762" si="226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7" t="str">
        <f t="shared" si="2262"/>
        <v/>
      </c>
      <c r="CF762" s="1317" t="str">
        <f t="shared" si="2262"/>
        <v/>
      </c>
      <c r="CG762" s="1317" t="str">
        <f t="shared" si="2262"/>
        <v/>
      </c>
      <c r="CH762" s="1318" t="str">
        <f t="shared" si="2262"/>
        <v/>
      </c>
      <c r="CI762" s="1318" t="str">
        <f t="shared" si="2262"/>
        <v/>
      </c>
      <c r="CJ762" s="1317" t="str">
        <f t="shared" si="2262"/>
        <v/>
      </c>
      <c r="CK762" s="1317" t="str">
        <f t="shared" si="2262"/>
        <v/>
      </c>
      <c r="CL762" s="1317" t="str">
        <f t="shared" si="2262"/>
        <v/>
      </c>
      <c r="CM762" s="1316" t="str">
        <f t="shared" si="2262"/>
        <v/>
      </c>
      <c r="CN762" s="538" t="str">
        <f t="shared" ref="CN762:CV765" si="226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63"/>
        <v/>
      </c>
      <c r="CP762" s="539" t="str">
        <f t="shared" si="2263"/>
        <v/>
      </c>
      <c r="CQ762" s="539" t="str">
        <f t="shared" si="2263"/>
        <v/>
      </c>
      <c r="CR762" s="539" t="str">
        <f t="shared" si="2263"/>
        <v/>
      </c>
      <c r="CS762" s="539" t="str">
        <f t="shared" si="2263"/>
        <v/>
      </c>
      <c r="CT762" s="540" t="str">
        <f t="shared" si="2263"/>
        <v/>
      </c>
      <c r="CU762" s="540" t="str">
        <f t="shared" si="2263"/>
        <v/>
      </c>
      <c r="CV762" s="540" t="str">
        <f t="shared" si="2263"/>
        <v/>
      </c>
      <c r="CW762" s="539" t="str">
        <f t="shared" ref="CW762:DC765" si="2264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64"/>
        <v/>
      </c>
      <c r="CY762" s="539" t="str">
        <f t="shared" si="2264"/>
        <v/>
      </c>
      <c r="CZ762" s="539" t="str">
        <f t="shared" si="2264"/>
        <v/>
      </c>
      <c r="DA762" s="539" t="str">
        <f t="shared" si="2264"/>
        <v/>
      </c>
      <c r="DB762" s="538" t="str">
        <f t="shared" si="2264"/>
        <v/>
      </c>
      <c r="DC762" s="537" t="str">
        <f t="shared" si="2264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58"/>
        <v/>
      </c>
      <c r="CA763" s="586" t="str">
        <f t="shared" si="2259"/>
        <v/>
      </c>
      <c r="CB763" s="586" t="str">
        <f t="shared" si="2260"/>
        <v/>
      </c>
      <c r="CC763" s="676" t="str">
        <f t="shared" si="2261"/>
        <v/>
      </c>
      <c r="CD763" s="131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7" t="str">
        <f t="shared" ref="CE763:CM765" si="226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7" t="str">
        <f t="shared" si="2265"/>
        <v/>
      </c>
      <c r="CG763" s="1317" t="str">
        <f t="shared" si="2265"/>
        <v/>
      </c>
      <c r="CH763" s="1318" t="str">
        <f t="shared" si="2265"/>
        <v/>
      </c>
      <c r="CI763" s="1318" t="str">
        <f t="shared" si="2265"/>
        <v/>
      </c>
      <c r="CJ763" s="1317" t="str">
        <f t="shared" si="2265"/>
        <v/>
      </c>
      <c r="CK763" s="1317" t="str">
        <f t="shared" si="2265"/>
        <v/>
      </c>
      <c r="CL763" s="1317" t="str">
        <f t="shared" si="2265"/>
        <v/>
      </c>
      <c r="CM763" s="1316" t="str">
        <f t="shared" si="2265"/>
        <v/>
      </c>
      <c r="CN763" s="538" t="str">
        <f t="shared" si="2263"/>
        <v/>
      </c>
      <c r="CO763" s="539" t="str">
        <f t="shared" si="2263"/>
        <v/>
      </c>
      <c r="CP763" s="539" t="str">
        <f t="shared" si="2263"/>
        <v/>
      </c>
      <c r="CQ763" s="539" t="str">
        <f t="shared" si="2263"/>
        <v/>
      </c>
      <c r="CR763" s="539" t="str">
        <f t="shared" si="2263"/>
        <v/>
      </c>
      <c r="CS763" s="539" t="str">
        <f t="shared" si="2263"/>
        <v/>
      </c>
      <c r="CT763" s="540" t="str">
        <f t="shared" si="2263"/>
        <v/>
      </c>
      <c r="CU763" s="540" t="str">
        <f t="shared" si="2263"/>
        <v/>
      </c>
      <c r="CV763" s="540" t="str">
        <f t="shared" si="2263"/>
        <v/>
      </c>
      <c r="CW763" s="539" t="str">
        <f t="shared" si="2264"/>
        <v/>
      </c>
      <c r="CX763" s="539" t="str">
        <f t="shared" si="2264"/>
        <v/>
      </c>
      <c r="CY763" s="539" t="str">
        <f t="shared" si="2264"/>
        <v/>
      </c>
      <c r="CZ763" s="539" t="str">
        <f t="shared" si="2264"/>
        <v/>
      </c>
      <c r="DA763" s="539" t="str">
        <f t="shared" si="2264"/>
        <v/>
      </c>
      <c r="DB763" s="538" t="str">
        <f t="shared" si="2264"/>
        <v/>
      </c>
      <c r="DC763" s="537" t="str">
        <f t="shared" si="2264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314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58"/>
        <v/>
      </c>
      <c r="CA764" s="586" t="str">
        <f t="shared" si="2259"/>
        <v/>
      </c>
      <c r="CB764" s="586" t="str">
        <f t="shared" si="2260"/>
        <v/>
      </c>
      <c r="CC764" s="676" t="str">
        <f t="shared" si="2261"/>
        <v/>
      </c>
      <c r="CD764" s="131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7" t="str">
        <f t="shared" si="2265"/>
        <v/>
      </c>
      <c r="CF764" s="1317" t="str">
        <f t="shared" si="2265"/>
        <v/>
      </c>
      <c r="CG764" s="1317" t="str">
        <f t="shared" si="2265"/>
        <v/>
      </c>
      <c r="CH764" s="1318" t="str">
        <f t="shared" si="2265"/>
        <v/>
      </c>
      <c r="CI764" s="1318" t="str">
        <f t="shared" si="2265"/>
        <v/>
      </c>
      <c r="CJ764" s="1317" t="str">
        <f t="shared" si="2265"/>
        <v/>
      </c>
      <c r="CK764" s="1317" t="str">
        <f t="shared" si="2265"/>
        <v/>
      </c>
      <c r="CL764" s="1317" t="str">
        <f t="shared" si="2265"/>
        <v/>
      </c>
      <c r="CM764" s="1316" t="str">
        <f t="shared" si="2265"/>
        <v/>
      </c>
      <c r="CN764" s="538" t="str">
        <f t="shared" si="2263"/>
        <v/>
      </c>
      <c r="CO764" s="539" t="str">
        <f t="shared" si="2263"/>
        <v/>
      </c>
      <c r="CP764" s="539" t="str">
        <f t="shared" si="2263"/>
        <v/>
      </c>
      <c r="CQ764" s="539" t="str">
        <f t="shared" si="2263"/>
        <v/>
      </c>
      <c r="CR764" s="539" t="str">
        <f t="shared" si="2263"/>
        <v/>
      </c>
      <c r="CS764" s="539" t="str">
        <f t="shared" si="2263"/>
        <v/>
      </c>
      <c r="CT764" s="540" t="str">
        <f t="shared" si="2263"/>
        <v/>
      </c>
      <c r="CU764" s="540" t="str">
        <f t="shared" si="2263"/>
        <v/>
      </c>
      <c r="CV764" s="540" t="str">
        <f t="shared" si="2263"/>
        <v/>
      </c>
      <c r="CW764" s="539" t="str">
        <f t="shared" si="2264"/>
        <v/>
      </c>
      <c r="CX764" s="539" t="str">
        <f t="shared" si="2264"/>
        <v/>
      </c>
      <c r="CY764" s="539" t="str">
        <f t="shared" si="2264"/>
        <v/>
      </c>
      <c r="CZ764" s="539" t="str">
        <f t="shared" si="2264"/>
        <v/>
      </c>
      <c r="DA764" s="539" t="str">
        <f t="shared" si="2264"/>
        <v/>
      </c>
      <c r="DB764" s="538" t="str">
        <f t="shared" si="2264"/>
        <v/>
      </c>
      <c r="DC764" s="537" t="str">
        <f t="shared" si="2264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315</v>
      </c>
      <c r="B765" s="596" t="str">
        <f t="shared" ref="B765:K765" si="2266">IF(B762="","",B762*B763*B764)</f>
        <v/>
      </c>
      <c r="C765" s="596" t="str">
        <f t="shared" si="2266"/>
        <v/>
      </c>
      <c r="D765" s="596" t="str">
        <f t="shared" si="2266"/>
        <v/>
      </c>
      <c r="E765" s="596" t="str">
        <f t="shared" si="2266"/>
        <v/>
      </c>
      <c r="F765" s="596" t="str">
        <f t="shared" si="2266"/>
        <v/>
      </c>
      <c r="G765" s="596" t="str">
        <f t="shared" si="2266"/>
        <v/>
      </c>
      <c r="H765" s="596" t="str">
        <f t="shared" si="2266"/>
        <v/>
      </c>
      <c r="I765" s="596" t="str">
        <f t="shared" si="2266"/>
        <v/>
      </c>
      <c r="J765" s="596" t="str">
        <f t="shared" si="2266"/>
        <v/>
      </c>
      <c r="K765" s="596" t="str">
        <f t="shared" si="2266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67">IF(T762="","",T762*T763*T764)</f>
        <v/>
      </c>
      <c r="U765" s="596" t="str">
        <f t="shared" si="2267"/>
        <v/>
      </c>
      <c r="V765" s="596" t="str">
        <f t="shared" si="2267"/>
        <v/>
      </c>
      <c r="W765" s="596" t="str">
        <f t="shared" si="2267"/>
        <v/>
      </c>
      <c r="X765" s="596" t="str">
        <f t="shared" si="2267"/>
        <v/>
      </c>
      <c r="Y765" s="596" t="str">
        <f t="shared" si="2267"/>
        <v/>
      </c>
      <c r="Z765" s="596" t="str">
        <f t="shared" si="2267"/>
        <v/>
      </c>
      <c r="AA765" s="596" t="str">
        <f t="shared" si="2267"/>
        <v/>
      </c>
      <c r="AB765" s="596" t="str">
        <f t="shared" si="2267"/>
        <v/>
      </c>
      <c r="AC765" s="596" t="str">
        <f t="shared" si="2267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68">IF(AL762="","",AL762*AL763*AL764)</f>
        <v/>
      </c>
      <c r="AM765" s="596" t="str">
        <f t="shared" si="2268"/>
        <v/>
      </c>
      <c r="AN765" s="596" t="str">
        <f t="shared" si="2268"/>
        <v/>
      </c>
      <c r="AO765" s="596" t="str">
        <f t="shared" si="2268"/>
        <v/>
      </c>
      <c r="AP765" s="596" t="str">
        <f t="shared" si="2268"/>
        <v/>
      </c>
      <c r="AQ765" s="596" t="str">
        <f t="shared" si="2268"/>
        <v/>
      </c>
      <c r="AR765" s="596" t="str">
        <f t="shared" si="2268"/>
        <v/>
      </c>
      <c r="AS765" s="596" t="str">
        <f t="shared" si="2268"/>
        <v/>
      </c>
      <c r="AT765" s="596" t="str">
        <f t="shared" si="2268"/>
        <v/>
      </c>
      <c r="AU765" s="596" t="str">
        <f t="shared" si="2268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69">IF(BD762="","",BD762*BD763*BD764)</f>
        <v/>
      </c>
      <c r="BE765" s="596" t="str">
        <f t="shared" si="2269"/>
        <v/>
      </c>
      <c r="BF765" s="596" t="str">
        <f t="shared" si="2269"/>
        <v/>
      </c>
      <c r="BG765" s="596" t="str">
        <f t="shared" si="2269"/>
        <v/>
      </c>
      <c r="BH765" s="596" t="str">
        <f t="shared" si="2269"/>
        <v/>
      </c>
      <c r="BI765" s="596" t="str">
        <f t="shared" si="2269"/>
        <v/>
      </c>
      <c r="BJ765" s="596" t="str">
        <f t="shared" si="2269"/>
        <v/>
      </c>
      <c r="BK765" s="596" t="str">
        <f t="shared" si="2269"/>
        <v/>
      </c>
      <c r="BL765" s="596" t="str">
        <f t="shared" si="2269"/>
        <v/>
      </c>
      <c r="BM765" s="596" t="str">
        <f t="shared" si="2269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58"/>
        <v/>
      </c>
      <c r="CA765" s="586" t="str">
        <f t="shared" si="2259"/>
        <v/>
      </c>
      <c r="CB765" s="586" t="str">
        <f t="shared" si="2260"/>
        <v/>
      </c>
      <c r="CC765" s="676" t="str">
        <f t="shared" si="2261"/>
        <v/>
      </c>
      <c r="CD765" s="131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7" t="str">
        <f t="shared" si="2265"/>
        <v/>
      </c>
      <c r="CF765" s="1317" t="str">
        <f t="shared" si="2265"/>
        <v/>
      </c>
      <c r="CG765" s="1317" t="str">
        <f t="shared" si="2265"/>
        <v/>
      </c>
      <c r="CH765" s="1318" t="str">
        <f t="shared" si="2265"/>
        <v/>
      </c>
      <c r="CI765" s="1318" t="str">
        <f t="shared" si="2265"/>
        <v/>
      </c>
      <c r="CJ765" s="1317" t="str">
        <f t="shared" si="2265"/>
        <v/>
      </c>
      <c r="CK765" s="1317" t="str">
        <f t="shared" si="2265"/>
        <v/>
      </c>
      <c r="CL765" s="1317" t="str">
        <f t="shared" si="2265"/>
        <v/>
      </c>
      <c r="CM765" s="1316" t="str">
        <f t="shared" si="2265"/>
        <v/>
      </c>
      <c r="CN765" s="538" t="str">
        <f t="shared" si="2263"/>
        <v/>
      </c>
      <c r="CO765" s="539" t="str">
        <f t="shared" si="2263"/>
        <v/>
      </c>
      <c r="CP765" s="539" t="str">
        <f t="shared" si="2263"/>
        <v/>
      </c>
      <c r="CQ765" s="539" t="str">
        <f t="shared" si="2263"/>
        <v/>
      </c>
      <c r="CR765" s="539" t="str">
        <f t="shared" si="2263"/>
        <v/>
      </c>
      <c r="CS765" s="539" t="str">
        <f t="shared" si="2263"/>
        <v/>
      </c>
      <c r="CT765" s="540" t="str">
        <f t="shared" si="2263"/>
        <v/>
      </c>
      <c r="CU765" s="540" t="str">
        <f t="shared" si="2263"/>
        <v/>
      </c>
      <c r="CV765" s="540" t="str">
        <f t="shared" si="2263"/>
        <v/>
      </c>
      <c r="CW765" s="539" t="str">
        <f t="shared" si="2264"/>
        <v/>
      </c>
      <c r="CX765" s="539" t="str">
        <f t="shared" si="2264"/>
        <v/>
      </c>
      <c r="CY765" s="539" t="str">
        <f t="shared" si="2264"/>
        <v/>
      </c>
      <c r="CZ765" s="539" t="str">
        <f t="shared" si="2264"/>
        <v/>
      </c>
      <c r="DA765" s="539" t="str">
        <f t="shared" si="2264"/>
        <v/>
      </c>
      <c r="DB765" s="538" t="str">
        <f t="shared" si="2264"/>
        <v/>
      </c>
      <c r="DC765" s="537" t="str">
        <f t="shared" si="2264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58"/>
        <v/>
      </c>
      <c r="CA766" s="578" t="str">
        <f t="shared" si="2259"/>
        <v/>
      </c>
      <c r="CB766" s="578" t="str">
        <f t="shared" si="2260"/>
        <v/>
      </c>
      <c r="CC766" s="675" t="str">
        <f t="shared" si="2261"/>
        <v/>
      </c>
      <c r="CD766" s="1322"/>
      <c r="CE766" s="1322"/>
      <c r="CF766" s="1322"/>
      <c r="CG766" s="1322"/>
      <c r="CH766" s="1322"/>
      <c r="CI766" s="1322"/>
      <c r="CJ766" s="1322"/>
      <c r="CK766" s="1322"/>
      <c r="CL766" s="1322"/>
      <c r="CM766" s="1322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298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58"/>
        <v/>
      </c>
      <c r="CA767" s="586" t="str">
        <f t="shared" si="2259"/>
        <v/>
      </c>
      <c r="CB767" s="586">
        <f t="shared" si="2260"/>
        <v>1</v>
      </c>
      <c r="CC767" s="676" t="str">
        <f t="shared" si="2261"/>
        <v/>
      </c>
      <c r="CD767" s="1316" t="str">
        <f t="shared" ref="CD767:CM767" si="227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7" t="str">
        <f t="shared" si="2270"/>
        <v/>
      </c>
      <c r="CF767" s="1317">
        <f t="shared" si="2270"/>
        <v>1</v>
      </c>
      <c r="CG767" s="1317">
        <f t="shared" si="2270"/>
        <v>1</v>
      </c>
      <c r="CH767" s="1318">
        <f t="shared" si="2270"/>
        <v>1</v>
      </c>
      <c r="CI767" s="1318">
        <f t="shared" si="2270"/>
        <v>1</v>
      </c>
      <c r="CJ767" s="1317">
        <f t="shared" si="2270"/>
        <v>1</v>
      </c>
      <c r="CK767" s="1317" t="str">
        <f t="shared" si="2270"/>
        <v/>
      </c>
      <c r="CL767" s="1317" t="str">
        <f t="shared" si="2270"/>
        <v/>
      </c>
      <c r="CM767" s="1316" t="str">
        <f t="shared" si="2270"/>
        <v/>
      </c>
      <c r="CN767" s="538" t="str">
        <f t="shared" ref="CN767:CV770" si="227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71"/>
        <v/>
      </c>
      <c r="CP767" s="539" t="str">
        <f t="shared" si="2271"/>
        <v/>
      </c>
      <c r="CQ767" s="539" t="str">
        <f t="shared" si="2271"/>
        <v/>
      </c>
      <c r="CR767" s="539" t="str">
        <f t="shared" si="2271"/>
        <v/>
      </c>
      <c r="CS767" s="539" t="str">
        <f t="shared" si="2271"/>
        <v/>
      </c>
      <c r="CT767" s="540" t="str">
        <f t="shared" si="2271"/>
        <v/>
      </c>
      <c r="CU767" s="540">
        <f t="shared" si="2271"/>
        <v>1</v>
      </c>
      <c r="CV767" s="540">
        <f t="shared" si="2271"/>
        <v>1</v>
      </c>
      <c r="CW767" s="539" t="str">
        <f t="shared" ref="CW767:DC770" si="2272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72"/>
        <v/>
      </c>
      <c r="CY767" s="539" t="str">
        <f t="shared" si="2272"/>
        <v/>
      </c>
      <c r="CZ767" s="539" t="str">
        <f t="shared" si="2272"/>
        <v/>
      </c>
      <c r="DA767" s="539" t="str">
        <f t="shared" si="2272"/>
        <v/>
      </c>
      <c r="DB767" s="538" t="str">
        <f t="shared" si="2272"/>
        <v/>
      </c>
      <c r="DC767" s="537" t="str">
        <f t="shared" si="2272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283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58"/>
        <v/>
      </c>
      <c r="CA768" s="586" t="str">
        <f t="shared" si="2259"/>
        <v/>
      </c>
      <c r="CB768" s="586">
        <f t="shared" si="2260"/>
        <v>1.6666666666666667</v>
      </c>
      <c r="CC768" s="676" t="str">
        <f t="shared" si="2261"/>
        <v/>
      </c>
      <c r="CD768" s="131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7" t="str">
        <f t="shared" ref="CE768:CM770" si="227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7">
        <f t="shared" si="2273"/>
        <v>1</v>
      </c>
      <c r="CG768" s="1317">
        <f t="shared" si="2273"/>
        <v>1</v>
      </c>
      <c r="CH768" s="1318">
        <f t="shared" si="2273"/>
        <v>2</v>
      </c>
      <c r="CI768" s="1318">
        <f t="shared" si="2273"/>
        <v>2</v>
      </c>
      <c r="CJ768" s="1317">
        <f t="shared" si="2273"/>
        <v>12</v>
      </c>
      <c r="CK768" s="1317" t="str">
        <f t="shared" si="2273"/>
        <v/>
      </c>
      <c r="CL768" s="1317" t="str">
        <f t="shared" si="2273"/>
        <v/>
      </c>
      <c r="CM768" s="1316" t="str">
        <f t="shared" si="2273"/>
        <v/>
      </c>
      <c r="CN768" s="538" t="str">
        <f t="shared" si="2271"/>
        <v/>
      </c>
      <c r="CO768" s="539" t="str">
        <f t="shared" si="2271"/>
        <v/>
      </c>
      <c r="CP768" s="539" t="str">
        <f t="shared" si="2271"/>
        <v/>
      </c>
      <c r="CQ768" s="539" t="str">
        <f t="shared" si="2271"/>
        <v/>
      </c>
      <c r="CR768" s="539" t="str">
        <f t="shared" si="2271"/>
        <v/>
      </c>
      <c r="CS768" s="539" t="str">
        <f t="shared" si="2271"/>
        <v/>
      </c>
      <c r="CT768" s="540" t="str">
        <f t="shared" si="2271"/>
        <v/>
      </c>
      <c r="CU768" s="540">
        <f t="shared" si="2271"/>
        <v>12</v>
      </c>
      <c r="CV768" s="540">
        <f t="shared" si="2271"/>
        <v>12</v>
      </c>
      <c r="CW768" s="539" t="str">
        <f t="shared" si="2272"/>
        <v/>
      </c>
      <c r="CX768" s="539" t="str">
        <f t="shared" si="2272"/>
        <v/>
      </c>
      <c r="CY768" s="539" t="str">
        <f t="shared" si="2272"/>
        <v/>
      </c>
      <c r="CZ768" s="539" t="str">
        <f t="shared" si="2272"/>
        <v/>
      </c>
      <c r="DA768" s="539" t="str">
        <f t="shared" si="2272"/>
        <v/>
      </c>
      <c r="DB768" s="538" t="str">
        <f t="shared" si="2272"/>
        <v/>
      </c>
      <c r="DC768" s="537" t="str">
        <f t="shared" si="2272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314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58"/>
        <v/>
      </c>
      <c r="CA769" s="586" t="str">
        <f t="shared" si="2259"/>
        <v/>
      </c>
      <c r="CB769" s="586">
        <f t="shared" si="2260"/>
        <v>766.66666666666663</v>
      </c>
      <c r="CC769" s="676" t="str">
        <f t="shared" si="2261"/>
        <v/>
      </c>
      <c r="CD769" s="131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7" t="str">
        <f t="shared" si="2273"/>
        <v/>
      </c>
      <c r="CF769" s="1317">
        <f t="shared" si="2273"/>
        <v>200</v>
      </c>
      <c r="CG769" s="1317">
        <f t="shared" si="2273"/>
        <v>500</v>
      </c>
      <c r="CH769" s="1318">
        <f t="shared" si="2273"/>
        <v>800</v>
      </c>
      <c r="CI769" s="1318">
        <f t="shared" si="2273"/>
        <v>1000</v>
      </c>
      <c r="CJ769" s="1317">
        <f t="shared" si="2273"/>
        <v>2400</v>
      </c>
      <c r="CK769" s="1317" t="str">
        <f t="shared" si="2273"/>
        <v/>
      </c>
      <c r="CL769" s="1317" t="str">
        <f t="shared" si="2273"/>
        <v/>
      </c>
      <c r="CM769" s="1316" t="str">
        <f t="shared" si="2273"/>
        <v/>
      </c>
      <c r="CN769" s="538" t="str">
        <f t="shared" si="2271"/>
        <v/>
      </c>
      <c r="CO769" s="539" t="str">
        <f t="shared" si="2271"/>
        <v/>
      </c>
      <c r="CP769" s="539" t="str">
        <f t="shared" si="2271"/>
        <v/>
      </c>
      <c r="CQ769" s="539" t="str">
        <f t="shared" si="2271"/>
        <v/>
      </c>
      <c r="CR769" s="539" t="str">
        <f t="shared" si="2271"/>
        <v/>
      </c>
      <c r="CS769" s="539" t="str">
        <f t="shared" si="2271"/>
        <v/>
      </c>
      <c r="CT769" s="540" t="str">
        <f t="shared" si="2271"/>
        <v/>
      </c>
      <c r="CU769" s="540">
        <f t="shared" si="2271"/>
        <v>100</v>
      </c>
      <c r="CV769" s="540">
        <f t="shared" si="2271"/>
        <v>150</v>
      </c>
      <c r="CW769" s="539" t="str">
        <f t="shared" si="2272"/>
        <v/>
      </c>
      <c r="CX769" s="539" t="str">
        <f t="shared" si="2272"/>
        <v/>
      </c>
      <c r="CY769" s="539" t="str">
        <f t="shared" si="2272"/>
        <v/>
      </c>
      <c r="CZ769" s="539" t="str">
        <f t="shared" si="2272"/>
        <v/>
      </c>
      <c r="DA769" s="539" t="str">
        <f t="shared" si="2272"/>
        <v/>
      </c>
      <c r="DB769" s="538" t="str">
        <f t="shared" si="2272"/>
        <v/>
      </c>
      <c r="DC769" s="537" t="str">
        <f t="shared" si="2272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315</v>
      </c>
      <c r="B770" s="596" t="str">
        <f t="shared" ref="B770:K770" si="2274">IF(B767="","",B767*B768*B769)</f>
        <v/>
      </c>
      <c r="C770" s="596" t="str">
        <f t="shared" si="2274"/>
        <v/>
      </c>
      <c r="D770" s="596" t="str">
        <f t="shared" si="2274"/>
        <v/>
      </c>
      <c r="E770" s="596" t="str">
        <f t="shared" si="2274"/>
        <v/>
      </c>
      <c r="F770" s="596" t="str">
        <f t="shared" si="2274"/>
        <v/>
      </c>
      <c r="G770" s="596" t="str">
        <f t="shared" si="2274"/>
        <v/>
      </c>
      <c r="H770" s="596" t="str">
        <f t="shared" si="2274"/>
        <v/>
      </c>
      <c r="I770" s="596">
        <f t="shared" si="2274"/>
        <v>4800</v>
      </c>
      <c r="J770" s="596" t="str">
        <f t="shared" si="2274"/>
        <v/>
      </c>
      <c r="K770" s="596" t="str">
        <f t="shared" si="2274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75">IF(T767="","",T767*T768*T769)</f>
        <v/>
      </c>
      <c r="U770" s="596" t="str">
        <f t="shared" si="2275"/>
        <v/>
      </c>
      <c r="V770" s="596" t="str">
        <f t="shared" si="2275"/>
        <v/>
      </c>
      <c r="W770" s="596" t="str">
        <f t="shared" si="2275"/>
        <v/>
      </c>
      <c r="X770" s="596" t="str">
        <f t="shared" si="2275"/>
        <v/>
      </c>
      <c r="Y770" s="596" t="str">
        <f t="shared" si="2275"/>
        <v/>
      </c>
      <c r="Z770" s="596" t="str">
        <f t="shared" si="2275"/>
        <v/>
      </c>
      <c r="AA770" s="596" t="str">
        <f t="shared" si="2275"/>
        <v/>
      </c>
      <c r="AB770" s="596" t="str">
        <f t="shared" si="2275"/>
        <v/>
      </c>
      <c r="AC770" s="596" t="str">
        <f t="shared" si="2275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76">IF(AL767="","",AL767*AL768*AL769)</f>
        <v/>
      </c>
      <c r="AM770" s="596">
        <f t="shared" si="2276"/>
        <v>2400</v>
      </c>
      <c r="AN770" s="596">
        <f t="shared" si="2276"/>
        <v>1000</v>
      </c>
      <c r="AO770" s="596" t="str">
        <f t="shared" si="2276"/>
        <v/>
      </c>
      <c r="AP770" s="596">
        <f t="shared" si="2276"/>
        <v>2400</v>
      </c>
      <c r="AQ770" s="596">
        <f t="shared" si="2276"/>
        <v>1600</v>
      </c>
      <c r="AR770" s="596" t="str">
        <f t="shared" si="2276"/>
        <v/>
      </c>
      <c r="AS770" s="596" t="str">
        <f t="shared" si="2276"/>
        <v/>
      </c>
      <c r="AT770" s="596" t="str">
        <f t="shared" si="2276"/>
        <v/>
      </c>
      <c r="AU770" s="596">
        <f t="shared" si="2276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77">IF(BD767="","",BD767*BD768*BD769)</f>
        <v/>
      </c>
      <c r="BE770" s="596" t="str">
        <f t="shared" si="2277"/>
        <v/>
      </c>
      <c r="BF770" s="596" t="str">
        <f t="shared" si="2277"/>
        <v/>
      </c>
      <c r="BG770" s="596" t="str">
        <f t="shared" si="2277"/>
        <v/>
      </c>
      <c r="BH770" s="596" t="str">
        <f t="shared" si="2277"/>
        <v/>
      </c>
      <c r="BI770" s="596" t="str">
        <f t="shared" si="2277"/>
        <v/>
      </c>
      <c r="BJ770" s="596" t="str">
        <f t="shared" si="2277"/>
        <v/>
      </c>
      <c r="BK770" s="596" t="str">
        <f t="shared" si="2277"/>
        <v/>
      </c>
      <c r="BL770" s="596">
        <f t="shared" si="2277"/>
        <v>1800</v>
      </c>
      <c r="BM770" s="596">
        <f t="shared" si="2277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58"/>
        <v/>
      </c>
      <c r="CA770" s="586" t="str">
        <f t="shared" si="2259"/>
        <v/>
      </c>
      <c r="CB770" s="586">
        <f t="shared" si="2260"/>
        <v>1666.6666666666667</v>
      </c>
      <c r="CC770" s="676" t="str">
        <f t="shared" si="2261"/>
        <v/>
      </c>
      <c r="CD770" s="131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7" t="str">
        <f t="shared" si="2273"/>
        <v/>
      </c>
      <c r="CF770" s="1317">
        <f t="shared" si="2273"/>
        <v>1000</v>
      </c>
      <c r="CG770" s="1317">
        <f t="shared" si="2273"/>
        <v>1000</v>
      </c>
      <c r="CH770" s="1318">
        <f t="shared" si="2273"/>
        <v>1600</v>
      </c>
      <c r="CI770" s="1318">
        <f t="shared" si="2273"/>
        <v>2400</v>
      </c>
      <c r="CJ770" s="1317">
        <f t="shared" si="2273"/>
        <v>2400</v>
      </c>
      <c r="CK770" s="1317" t="str">
        <f t="shared" si="2273"/>
        <v/>
      </c>
      <c r="CL770" s="1317" t="str">
        <f t="shared" si="2273"/>
        <v/>
      </c>
      <c r="CM770" s="1316" t="str">
        <f t="shared" si="2273"/>
        <v/>
      </c>
      <c r="CN770" s="538" t="str">
        <f t="shared" si="2271"/>
        <v/>
      </c>
      <c r="CO770" s="539" t="str">
        <f t="shared" si="2271"/>
        <v/>
      </c>
      <c r="CP770" s="539" t="str">
        <f t="shared" si="2271"/>
        <v/>
      </c>
      <c r="CQ770" s="539" t="str">
        <f t="shared" si="2271"/>
        <v/>
      </c>
      <c r="CR770" s="539" t="str">
        <f t="shared" si="2271"/>
        <v/>
      </c>
      <c r="CS770" s="539" t="str">
        <f t="shared" si="2271"/>
        <v/>
      </c>
      <c r="CT770" s="540" t="str">
        <f t="shared" si="2271"/>
        <v/>
      </c>
      <c r="CU770" s="540">
        <f t="shared" si="2271"/>
        <v>1200</v>
      </c>
      <c r="CV770" s="540">
        <f t="shared" si="2271"/>
        <v>1800</v>
      </c>
      <c r="CW770" s="539" t="str">
        <f t="shared" si="2272"/>
        <v/>
      </c>
      <c r="CX770" s="539" t="str">
        <f t="shared" si="2272"/>
        <v/>
      </c>
      <c r="CY770" s="539" t="str">
        <f t="shared" si="2272"/>
        <v/>
      </c>
      <c r="CZ770" s="539" t="str">
        <f t="shared" si="2272"/>
        <v/>
      </c>
      <c r="DA770" s="539" t="str">
        <f t="shared" si="2272"/>
        <v/>
      </c>
      <c r="DB770" s="538" t="str">
        <f t="shared" si="2272"/>
        <v/>
      </c>
      <c r="DC770" s="537" t="str">
        <f t="shared" si="2272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331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58"/>
        <v/>
      </c>
      <c r="CA771" s="578" t="str">
        <f t="shared" si="2259"/>
        <v/>
      </c>
      <c r="CB771" s="578" t="str">
        <f t="shared" si="2260"/>
        <v/>
      </c>
      <c r="CC771" s="675" t="str">
        <f t="shared" si="2261"/>
        <v/>
      </c>
      <c r="CD771" s="1330"/>
      <c r="CE771" s="1330"/>
      <c r="CF771" s="1330"/>
      <c r="CG771" s="1330"/>
      <c r="CH771" s="1330"/>
      <c r="CI771" s="1330"/>
      <c r="CJ771" s="1330"/>
      <c r="CK771" s="1330"/>
      <c r="CL771" s="1330"/>
      <c r="CM771" s="1330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332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58"/>
        <v>145.625</v>
      </c>
      <c r="CA772" s="586">
        <f t="shared" si="2259"/>
        <v>139.5</v>
      </c>
      <c r="CB772" s="586">
        <f t="shared" si="2260"/>
        <v>181.5</v>
      </c>
      <c r="CC772" s="676">
        <f t="shared" si="2261"/>
        <v>162</v>
      </c>
      <c r="CD772" s="1316">
        <f t="shared" ref="CD772:CM772" si="227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17">
        <f t="shared" si="2278"/>
        <v>156</v>
      </c>
      <c r="CF772" s="1317">
        <f t="shared" si="2278"/>
        <v>156</v>
      </c>
      <c r="CG772" s="1317">
        <f t="shared" si="2278"/>
        <v>180</v>
      </c>
      <c r="CH772" s="1318">
        <f t="shared" si="2278"/>
        <v>180</v>
      </c>
      <c r="CI772" s="1318">
        <f t="shared" si="2278"/>
        <v>180</v>
      </c>
      <c r="CJ772" s="1317">
        <f t="shared" si="2278"/>
        <v>180</v>
      </c>
      <c r="CK772" s="1317">
        <f t="shared" si="2278"/>
        <v>180</v>
      </c>
      <c r="CL772" s="1317">
        <f t="shared" si="2278"/>
        <v>240</v>
      </c>
      <c r="CM772" s="1316">
        <f t="shared" si="2278"/>
        <v>264</v>
      </c>
      <c r="CN772" s="538" t="str">
        <f t="shared" ref="CN772:CV776" si="227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79"/>
        <v/>
      </c>
      <c r="CP772" s="539" t="str">
        <f t="shared" si="2279"/>
        <v/>
      </c>
      <c r="CQ772" s="539">
        <f t="shared" si="2279"/>
        <v>84</v>
      </c>
      <c r="CR772" s="539">
        <f t="shared" si="2279"/>
        <v>132</v>
      </c>
      <c r="CS772" s="539">
        <f t="shared" si="2279"/>
        <v>132</v>
      </c>
      <c r="CT772" s="540">
        <f t="shared" si="2279"/>
        <v>132</v>
      </c>
      <c r="CU772" s="540">
        <f t="shared" si="2279"/>
        <v>144</v>
      </c>
      <c r="CV772" s="540">
        <f t="shared" si="2279"/>
        <v>180</v>
      </c>
      <c r="CW772" s="539">
        <f t="shared" ref="CW772:DC776" si="2280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80"/>
        <v>192</v>
      </c>
      <c r="CY772" s="539">
        <f t="shared" si="2280"/>
        <v>192</v>
      </c>
      <c r="CZ772" s="539">
        <f t="shared" si="2280"/>
        <v>192</v>
      </c>
      <c r="DA772" s="539" t="str">
        <f t="shared" si="2280"/>
        <v/>
      </c>
      <c r="DB772" s="538" t="str">
        <f t="shared" si="2280"/>
        <v/>
      </c>
      <c r="DC772" s="537" t="str">
        <f t="shared" si="2280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333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58"/>
        <v>74.25</v>
      </c>
      <c r="CA773" s="586">
        <f t="shared" si="2259"/>
        <v>53.75</v>
      </c>
      <c r="CB773" s="586">
        <f t="shared" si="2260"/>
        <v>66</v>
      </c>
      <c r="CC773" s="676">
        <f t="shared" si="2261"/>
        <v>44</v>
      </c>
      <c r="CD773" s="1316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317">
        <f t="shared" ref="CE773:CM776" si="228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17">
        <f t="shared" si="2281"/>
        <v>60</v>
      </c>
      <c r="CG773" s="1317">
        <f t="shared" si="2281"/>
        <v>60</v>
      </c>
      <c r="CH773" s="1318">
        <f t="shared" si="2281"/>
        <v>60</v>
      </c>
      <c r="CI773" s="1318">
        <f t="shared" si="2281"/>
        <v>60</v>
      </c>
      <c r="CJ773" s="1317">
        <f t="shared" si="2281"/>
        <v>60</v>
      </c>
      <c r="CK773" s="1317">
        <f t="shared" si="2281"/>
        <v>72</v>
      </c>
      <c r="CL773" s="1317">
        <f t="shared" si="2281"/>
        <v>96</v>
      </c>
      <c r="CM773" s="1316">
        <f t="shared" si="2281"/>
        <v>96</v>
      </c>
      <c r="CN773" s="538" t="str">
        <f t="shared" si="2279"/>
        <v/>
      </c>
      <c r="CO773" s="539" t="str">
        <f t="shared" si="2279"/>
        <v/>
      </c>
      <c r="CP773" s="539" t="str">
        <f t="shared" si="2279"/>
        <v/>
      </c>
      <c r="CQ773" s="539">
        <f t="shared" si="2279"/>
        <v>24</v>
      </c>
      <c r="CR773" s="539">
        <f t="shared" si="2279"/>
        <v>36</v>
      </c>
      <c r="CS773" s="539">
        <f t="shared" si="2279"/>
        <v>36</v>
      </c>
      <c r="CT773" s="540">
        <f t="shared" si="2279"/>
        <v>36</v>
      </c>
      <c r="CU773" s="540">
        <f t="shared" si="2279"/>
        <v>36</v>
      </c>
      <c r="CV773" s="540">
        <f t="shared" si="2279"/>
        <v>40</v>
      </c>
      <c r="CW773" s="539">
        <f t="shared" si="2280"/>
        <v>48</v>
      </c>
      <c r="CX773" s="539">
        <f t="shared" si="2280"/>
        <v>60</v>
      </c>
      <c r="CY773" s="539">
        <f t="shared" si="2280"/>
        <v>60</v>
      </c>
      <c r="CZ773" s="539">
        <f t="shared" si="2280"/>
        <v>60</v>
      </c>
      <c r="DA773" s="539" t="str">
        <f t="shared" si="2280"/>
        <v/>
      </c>
      <c r="DB773" s="538" t="str">
        <f t="shared" si="2280"/>
        <v/>
      </c>
      <c r="DC773" s="537" t="str">
        <f t="shared" si="2280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334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58"/>
        <v>318</v>
      </c>
      <c r="CA774" s="586">
        <f t="shared" si="2259"/>
        <v>340.5</v>
      </c>
      <c r="CB774" s="586">
        <f t="shared" si="2260"/>
        <v>516</v>
      </c>
      <c r="CC774" s="676">
        <f t="shared" si="2261"/>
        <v>462</v>
      </c>
      <c r="CD774" s="1316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317">
        <f t="shared" si="2281"/>
        <v>348</v>
      </c>
      <c r="CF774" s="1317">
        <f t="shared" si="2281"/>
        <v>384</v>
      </c>
      <c r="CG774" s="1317">
        <f t="shared" si="2281"/>
        <v>396</v>
      </c>
      <c r="CH774" s="1318">
        <f t="shared" si="2281"/>
        <v>540</v>
      </c>
      <c r="CI774" s="1318">
        <f t="shared" si="2281"/>
        <v>540</v>
      </c>
      <c r="CJ774" s="1317">
        <f t="shared" si="2281"/>
        <v>540</v>
      </c>
      <c r="CK774" s="1317">
        <f t="shared" si="2281"/>
        <v>540</v>
      </c>
      <c r="CL774" s="1317">
        <f t="shared" si="2281"/>
        <v>840</v>
      </c>
      <c r="CM774" s="1316">
        <f t="shared" si="2281"/>
        <v>1440</v>
      </c>
      <c r="CN774" s="538" t="str">
        <f t="shared" si="2279"/>
        <v/>
      </c>
      <c r="CO774" s="539" t="str">
        <f t="shared" si="2279"/>
        <v/>
      </c>
      <c r="CP774" s="539" t="str">
        <f t="shared" si="2279"/>
        <v/>
      </c>
      <c r="CQ774" s="539">
        <f t="shared" si="2279"/>
        <v>96</v>
      </c>
      <c r="CR774" s="539">
        <f t="shared" si="2279"/>
        <v>384</v>
      </c>
      <c r="CS774" s="539">
        <f t="shared" si="2279"/>
        <v>420</v>
      </c>
      <c r="CT774" s="540">
        <f t="shared" si="2279"/>
        <v>420</v>
      </c>
      <c r="CU774" s="540">
        <f t="shared" si="2279"/>
        <v>456</v>
      </c>
      <c r="CV774" s="540">
        <f t="shared" si="2279"/>
        <v>456</v>
      </c>
      <c r="CW774" s="539">
        <f t="shared" si="2280"/>
        <v>480</v>
      </c>
      <c r="CX774" s="539">
        <f t="shared" si="2280"/>
        <v>480</v>
      </c>
      <c r="CY774" s="539">
        <f t="shared" si="2280"/>
        <v>600</v>
      </c>
      <c r="CZ774" s="539">
        <f t="shared" si="2280"/>
        <v>1800</v>
      </c>
      <c r="DA774" s="539" t="str">
        <f t="shared" si="2280"/>
        <v/>
      </c>
      <c r="DB774" s="538" t="str">
        <f t="shared" si="2280"/>
        <v/>
      </c>
      <c r="DC774" s="537" t="str">
        <f t="shared" si="2280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335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920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58"/>
        <v>788.75</v>
      </c>
      <c r="CA775" s="586">
        <f t="shared" si="2259"/>
        <v>496</v>
      </c>
      <c r="CB775" s="586">
        <f t="shared" si="2260"/>
        <v>1316.25</v>
      </c>
      <c r="CC775" s="676">
        <f t="shared" si="2261"/>
        <v>1107</v>
      </c>
      <c r="CD775" s="1316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317">
        <f t="shared" si="2281"/>
        <v>240</v>
      </c>
      <c r="CF775" s="1317">
        <f t="shared" si="2281"/>
        <v>360</v>
      </c>
      <c r="CG775" s="1317">
        <f t="shared" si="2281"/>
        <v>480</v>
      </c>
      <c r="CH775" s="1318">
        <f t="shared" si="2281"/>
        <v>1200</v>
      </c>
      <c r="CI775" s="1318">
        <f t="shared" si="2281"/>
        <v>1950</v>
      </c>
      <c r="CJ775" s="1317">
        <f t="shared" si="2281"/>
        <v>2100</v>
      </c>
      <c r="CK775" s="1317">
        <f t="shared" si="2281"/>
        <v>2100</v>
      </c>
      <c r="CL775" s="1317">
        <f t="shared" si="2281"/>
        <v>2100</v>
      </c>
      <c r="CM775" s="1316">
        <f t="shared" si="2281"/>
        <v>2400</v>
      </c>
      <c r="CN775" s="538" t="str">
        <f t="shared" si="2279"/>
        <v/>
      </c>
      <c r="CO775" s="539" t="str">
        <f t="shared" si="2279"/>
        <v/>
      </c>
      <c r="CP775" s="539" t="str">
        <f t="shared" si="2279"/>
        <v/>
      </c>
      <c r="CQ775" s="539" t="str">
        <f t="shared" si="2279"/>
        <v/>
      </c>
      <c r="CR775" s="539" t="str">
        <f t="shared" si="2279"/>
        <v/>
      </c>
      <c r="CS775" s="539">
        <f t="shared" si="2279"/>
        <v>204</v>
      </c>
      <c r="CT775" s="540">
        <f t="shared" si="2279"/>
        <v>288</v>
      </c>
      <c r="CU775" s="540">
        <f t="shared" si="2279"/>
        <v>780</v>
      </c>
      <c r="CV775" s="540">
        <f t="shared" si="2279"/>
        <v>1560</v>
      </c>
      <c r="CW775" s="539">
        <f t="shared" si="2280"/>
        <v>1800</v>
      </c>
      <c r="CX775" s="539">
        <f t="shared" si="2280"/>
        <v>3000</v>
      </c>
      <c r="CY775" s="539" t="str">
        <f t="shared" si="2280"/>
        <v/>
      </c>
      <c r="CZ775" s="539" t="str">
        <f t="shared" si="2280"/>
        <v/>
      </c>
      <c r="DA775" s="539" t="str">
        <f t="shared" si="2280"/>
        <v/>
      </c>
      <c r="DB775" s="538" t="str">
        <f t="shared" si="2280"/>
        <v/>
      </c>
      <c r="DC775" s="537" t="str">
        <f t="shared" si="2280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336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58"/>
        <v/>
      </c>
      <c r="CA776" s="586" t="str">
        <f t="shared" si="2259"/>
        <v/>
      </c>
      <c r="CB776" s="586" t="str">
        <f t="shared" si="2260"/>
        <v/>
      </c>
      <c r="CC776" s="676" t="str">
        <f t="shared" si="2261"/>
        <v/>
      </c>
      <c r="CD776" s="131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7" t="str">
        <f t="shared" si="2281"/>
        <v/>
      </c>
      <c r="CF776" s="1317" t="str">
        <f t="shared" si="2281"/>
        <v/>
      </c>
      <c r="CG776" s="1317" t="str">
        <f t="shared" si="2281"/>
        <v/>
      </c>
      <c r="CH776" s="1318">
        <f t="shared" si="2281"/>
        <v>312</v>
      </c>
      <c r="CI776" s="1318" t="str">
        <f t="shared" si="2281"/>
        <v/>
      </c>
      <c r="CJ776" s="1317" t="str">
        <f t="shared" si="2281"/>
        <v/>
      </c>
      <c r="CK776" s="1317" t="str">
        <f t="shared" si="2281"/>
        <v/>
      </c>
      <c r="CL776" s="1317" t="str">
        <f t="shared" si="2281"/>
        <v/>
      </c>
      <c r="CM776" s="1316" t="str">
        <f t="shared" si="2281"/>
        <v/>
      </c>
      <c r="CN776" s="538" t="str">
        <f t="shared" si="2279"/>
        <v/>
      </c>
      <c r="CO776" s="539" t="str">
        <f t="shared" si="2279"/>
        <v/>
      </c>
      <c r="CP776" s="539" t="str">
        <f t="shared" si="2279"/>
        <v/>
      </c>
      <c r="CQ776" s="539" t="str">
        <f t="shared" si="2279"/>
        <v/>
      </c>
      <c r="CR776" s="539" t="str">
        <f t="shared" si="2279"/>
        <v/>
      </c>
      <c r="CS776" s="539" t="str">
        <f t="shared" si="2279"/>
        <v/>
      </c>
      <c r="CT776" s="540" t="str">
        <f t="shared" si="2279"/>
        <v/>
      </c>
      <c r="CU776" s="540" t="str">
        <f t="shared" si="2279"/>
        <v/>
      </c>
      <c r="CV776" s="540" t="str">
        <f t="shared" si="2279"/>
        <v/>
      </c>
      <c r="CW776" s="539" t="str">
        <f t="shared" si="2280"/>
        <v/>
      </c>
      <c r="CX776" s="539" t="str">
        <f t="shared" si="2280"/>
        <v/>
      </c>
      <c r="CY776" s="539" t="str">
        <f t="shared" si="2280"/>
        <v/>
      </c>
      <c r="CZ776" s="539" t="str">
        <f t="shared" si="2280"/>
        <v/>
      </c>
      <c r="DA776" s="539" t="str">
        <f t="shared" si="2280"/>
        <v/>
      </c>
      <c r="DB776" s="538" t="str">
        <f t="shared" si="2280"/>
        <v/>
      </c>
      <c r="DC776" s="537" t="str">
        <f t="shared" si="2280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337</v>
      </c>
      <c r="B777" s="215" t="s">
        <v>338</v>
      </c>
      <c r="C777" s="215" t="s">
        <v>338</v>
      </c>
      <c r="D777" s="215" t="s">
        <v>338</v>
      </c>
      <c r="E777" s="215" t="s">
        <v>338</v>
      </c>
      <c r="F777" s="215" t="s">
        <v>338</v>
      </c>
      <c r="G777" s="215" t="s">
        <v>338</v>
      </c>
      <c r="H777" s="215" t="s">
        <v>338</v>
      </c>
      <c r="I777" s="215" t="s">
        <v>338</v>
      </c>
      <c r="J777" s="215" t="s">
        <v>338</v>
      </c>
      <c r="K777" s="215" t="s">
        <v>338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338</v>
      </c>
      <c r="U777" s="215" t="s">
        <v>338</v>
      </c>
      <c r="V777" s="215" t="s">
        <v>338</v>
      </c>
      <c r="W777" s="215" t="s">
        <v>338</v>
      </c>
      <c r="X777" s="215" t="s">
        <v>338</v>
      </c>
      <c r="Y777" s="215" t="s">
        <v>338</v>
      </c>
      <c r="Z777" s="215" t="s">
        <v>338</v>
      </c>
      <c r="AA777" s="215" t="s">
        <v>338</v>
      </c>
      <c r="AB777" s="215" t="s">
        <v>338</v>
      </c>
      <c r="AC777" s="215" t="s">
        <v>338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338</v>
      </c>
      <c r="AM777" s="215" t="s">
        <v>338</v>
      </c>
      <c r="AN777" s="215" t="s">
        <v>338</v>
      </c>
      <c r="AO777" s="215" t="s">
        <v>338</v>
      </c>
      <c r="AP777" s="215" t="s">
        <v>338</v>
      </c>
      <c r="AQ777" s="215" t="s">
        <v>338</v>
      </c>
      <c r="AR777" s="215" t="s">
        <v>338</v>
      </c>
      <c r="AS777" s="215" t="s">
        <v>338</v>
      </c>
      <c r="AT777" s="215" t="s">
        <v>338</v>
      </c>
      <c r="AU777" s="215" t="s">
        <v>338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338</v>
      </c>
      <c r="BE777" s="215" t="s">
        <v>338</v>
      </c>
      <c r="BF777" s="215" t="s">
        <v>338</v>
      </c>
      <c r="BG777" s="215" t="s">
        <v>338</v>
      </c>
      <c r="BH777" s="215" t="s">
        <v>338</v>
      </c>
      <c r="BI777" s="215" t="s">
        <v>338</v>
      </c>
      <c r="BJ777" s="215" t="s">
        <v>338</v>
      </c>
      <c r="BK777" s="215" t="s">
        <v>338</v>
      </c>
      <c r="BL777" s="215" t="s">
        <v>338</v>
      </c>
      <c r="BM777" s="215" t="s">
        <v>338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338</v>
      </c>
      <c r="BW777" s="215" t="s">
        <v>338</v>
      </c>
      <c r="BX777" s="215" t="s">
        <v>338</v>
      </c>
      <c r="BY777" s="215" t="s">
        <v>338</v>
      </c>
      <c r="BZ777" s="578"/>
      <c r="CA777" s="578"/>
      <c r="CB777" s="578"/>
      <c r="CC777" s="675"/>
      <c r="CD777" s="1328"/>
      <c r="CE777" s="1328"/>
      <c r="CF777" s="1328"/>
      <c r="CG777" s="1328"/>
      <c r="CH777" s="1328"/>
      <c r="CI777" s="1328"/>
      <c r="CJ777" s="1328"/>
      <c r="CK777" s="1328"/>
      <c r="CL777" s="1328"/>
      <c r="CM777" s="1328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82">IF(DD778&lt;3,"",(SUM(B778:R778)-MIN(B778:R778)-MAX(B778:R778))/(DD778-2))</f>
        <v/>
      </c>
      <c r="CA778" s="586" t="str">
        <f t="shared" ref="CA778:CA785" si="2283">IF(DE778&lt;3,"",(SUM(T778:AJ778)-MIN(T778:AJ778)-MAX(T778:AJ778))/(DE778-2))</f>
        <v/>
      </c>
      <c r="CB778" s="586" t="str">
        <f t="shared" ref="CB778:CB785" si="2284">IF(DF778&lt;3,"",(SUM(AL778:BB778)-MIN(AL778:BB778)-MAX(AL778:BB778))/(DF778-2))</f>
        <v/>
      </c>
      <c r="CC778" s="676" t="str">
        <f t="shared" ref="CC778:CC785" si="2285">IF(DG778&lt;3,"",(SUM(BD778:BT778)-MIN(BD778:BT778)-MAX(BD778:BT778))/(DG778-2))</f>
        <v/>
      </c>
      <c r="CD778" s="1316" t="str">
        <f t="shared" ref="CD778:CM778" si="22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7" t="str">
        <f t="shared" si="2286"/>
        <v/>
      </c>
      <c r="CF778" s="1317" t="str">
        <f t="shared" si="2286"/>
        <v/>
      </c>
      <c r="CG778" s="1317" t="str">
        <f t="shared" si="2286"/>
        <v/>
      </c>
      <c r="CH778" s="1318">
        <f t="shared" si="2286"/>
        <v>12</v>
      </c>
      <c r="CI778" s="1318" t="str">
        <f t="shared" si="2286"/>
        <v/>
      </c>
      <c r="CJ778" s="1317" t="str">
        <f t="shared" si="2286"/>
        <v/>
      </c>
      <c r="CK778" s="1317" t="str">
        <f t="shared" si="2286"/>
        <v/>
      </c>
      <c r="CL778" s="1317" t="str">
        <f t="shared" si="2286"/>
        <v/>
      </c>
      <c r="CM778" s="1316" t="str">
        <f t="shared" si="2286"/>
        <v/>
      </c>
      <c r="CN778" s="538" t="str">
        <f t="shared" ref="CN778:CN785" si="228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8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8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9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9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9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9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9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9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9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9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9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9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30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30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30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303">COUNT(B778:R778)</f>
        <v>0</v>
      </c>
      <c r="DE778" s="95">
        <f t="shared" ref="DE778:DE785" si="2304">COUNT(T778:AJ778)</f>
        <v>0</v>
      </c>
      <c r="DF778" s="95">
        <f t="shared" ref="DF778:DF785" si="2305">COUNT(AL778:BB778)</f>
        <v>1</v>
      </c>
      <c r="DG778" s="95">
        <f t="shared" ref="DG778:DG785" si="2306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82"/>
        <v/>
      </c>
      <c r="CA779" s="586" t="str">
        <f t="shared" si="2283"/>
        <v/>
      </c>
      <c r="CB779" s="586" t="str">
        <f t="shared" si="2284"/>
        <v/>
      </c>
      <c r="CC779" s="676" t="str">
        <f t="shared" si="2285"/>
        <v/>
      </c>
      <c r="CD779" s="1316" t="str">
        <f t="shared" ref="CD779:CD785" si="230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7" t="str">
        <f t="shared" ref="CE779:CM785" si="230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7" t="str">
        <f t="shared" si="2308"/>
        <v/>
      </c>
      <c r="CG779" s="1317" t="str">
        <f t="shared" si="2308"/>
        <v/>
      </c>
      <c r="CH779" s="1318">
        <f t="shared" si="2308"/>
        <v>1</v>
      </c>
      <c r="CI779" s="1318" t="str">
        <f t="shared" si="2308"/>
        <v/>
      </c>
      <c r="CJ779" s="1317" t="str">
        <f t="shared" si="2308"/>
        <v/>
      </c>
      <c r="CK779" s="1317" t="str">
        <f t="shared" si="2308"/>
        <v/>
      </c>
      <c r="CL779" s="1317" t="str">
        <f t="shared" si="2308"/>
        <v/>
      </c>
      <c r="CM779" s="1316" t="str">
        <f t="shared" si="2308"/>
        <v/>
      </c>
      <c r="CN779" s="538" t="str">
        <f t="shared" si="2287"/>
        <v/>
      </c>
      <c r="CO779" s="539" t="str">
        <f t="shared" si="2288"/>
        <v/>
      </c>
      <c r="CP779" s="539" t="str">
        <f t="shared" si="2289"/>
        <v/>
      </c>
      <c r="CQ779" s="539" t="str">
        <f t="shared" si="2290"/>
        <v/>
      </c>
      <c r="CR779" s="539" t="str">
        <f t="shared" si="2291"/>
        <v/>
      </c>
      <c r="CS779" s="539" t="str">
        <f t="shared" si="2292"/>
        <v/>
      </c>
      <c r="CT779" s="540" t="str">
        <f t="shared" si="2293"/>
        <v/>
      </c>
      <c r="CU779" s="540" t="str">
        <f t="shared" si="2294"/>
        <v/>
      </c>
      <c r="CV779" s="540" t="str">
        <f t="shared" si="2295"/>
        <v/>
      </c>
      <c r="CW779" s="539" t="str">
        <f t="shared" si="2296"/>
        <v/>
      </c>
      <c r="CX779" s="539" t="str">
        <f t="shared" si="2297"/>
        <v/>
      </c>
      <c r="CY779" s="539" t="str">
        <f t="shared" si="2298"/>
        <v/>
      </c>
      <c r="CZ779" s="539" t="str">
        <f t="shared" si="2299"/>
        <v/>
      </c>
      <c r="DA779" s="539" t="str">
        <f t="shared" si="2300"/>
        <v/>
      </c>
      <c r="DB779" s="538" t="str">
        <f t="shared" si="2301"/>
        <v/>
      </c>
      <c r="DC779" s="537" t="str">
        <f t="shared" si="2302"/>
        <v/>
      </c>
      <c r="DD779" s="641">
        <f t="shared" si="2303"/>
        <v>0</v>
      </c>
      <c r="DE779" s="95">
        <f t="shared" si="2304"/>
        <v>0</v>
      </c>
      <c r="DF779" s="95">
        <f t="shared" si="2305"/>
        <v>1</v>
      </c>
      <c r="DG779" s="95">
        <f t="shared" si="2306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339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82"/>
        <v/>
      </c>
      <c r="CA780" s="586" t="str">
        <f t="shared" si="2283"/>
        <v/>
      </c>
      <c r="CB780" s="586" t="str">
        <f t="shared" si="2284"/>
        <v/>
      </c>
      <c r="CC780" s="676" t="str">
        <f t="shared" si="2285"/>
        <v/>
      </c>
      <c r="CD780" s="1316" t="str">
        <f t="shared" si="2307"/>
        <v/>
      </c>
      <c r="CE780" s="1317" t="str">
        <f t="shared" si="2308"/>
        <v/>
      </c>
      <c r="CF780" s="1317" t="str">
        <f t="shared" si="2308"/>
        <v/>
      </c>
      <c r="CG780" s="1317" t="str">
        <f t="shared" si="2308"/>
        <v/>
      </c>
      <c r="CH780" s="1318">
        <f t="shared" si="2308"/>
        <v>300</v>
      </c>
      <c r="CI780" s="1318" t="str">
        <f t="shared" si="2308"/>
        <v/>
      </c>
      <c r="CJ780" s="1317" t="str">
        <f t="shared" si="2308"/>
        <v/>
      </c>
      <c r="CK780" s="1317" t="str">
        <f t="shared" si="2308"/>
        <v/>
      </c>
      <c r="CL780" s="1317" t="str">
        <f t="shared" si="2308"/>
        <v/>
      </c>
      <c r="CM780" s="1316" t="str">
        <f t="shared" si="2308"/>
        <v/>
      </c>
      <c r="CN780" s="538" t="str">
        <f t="shared" si="2287"/>
        <v/>
      </c>
      <c r="CO780" s="539" t="str">
        <f t="shared" si="2288"/>
        <v/>
      </c>
      <c r="CP780" s="539" t="str">
        <f t="shared" si="2289"/>
        <v/>
      </c>
      <c r="CQ780" s="539" t="str">
        <f t="shared" si="2290"/>
        <v/>
      </c>
      <c r="CR780" s="539" t="str">
        <f t="shared" si="2291"/>
        <v/>
      </c>
      <c r="CS780" s="539" t="str">
        <f t="shared" si="2292"/>
        <v/>
      </c>
      <c r="CT780" s="540" t="str">
        <f t="shared" si="2293"/>
        <v/>
      </c>
      <c r="CU780" s="540" t="str">
        <f t="shared" si="2294"/>
        <v/>
      </c>
      <c r="CV780" s="540" t="str">
        <f t="shared" si="2295"/>
        <v/>
      </c>
      <c r="CW780" s="539" t="str">
        <f t="shared" si="2296"/>
        <v/>
      </c>
      <c r="CX780" s="539" t="str">
        <f t="shared" si="2297"/>
        <v/>
      </c>
      <c r="CY780" s="539" t="str">
        <f t="shared" si="2298"/>
        <v/>
      </c>
      <c r="CZ780" s="539" t="str">
        <f t="shared" si="2299"/>
        <v/>
      </c>
      <c r="DA780" s="539" t="str">
        <f t="shared" si="2300"/>
        <v/>
      </c>
      <c r="DB780" s="538" t="str">
        <f t="shared" si="2301"/>
        <v/>
      </c>
      <c r="DC780" s="537" t="str">
        <f t="shared" si="2302"/>
        <v/>
      </c>
      <c r="DD780" s="641">
        <f t="shared" si="2303"/>
        <v>0</v>
      </c>
      <c r="DE780" s="95">
        <f t="shared" si="2304"/>
        <v>0</v>
      </c>
      <c r="DF780" s="95">
        <f t="shared" si="2305"/>
        <v>1</v>
      </c>
      <c r="DG780" s="95">
        <f t="shared" si="2306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286</v>
      </c>
      <c r="B781" s="596" t="str">
        <f t="shared" ref="B781:K781" si="2309">IF(B778="","",B778*B779*B780)</f>
        <v/>
      </c>
      <c r="C781" s="596" t="str">
        <f t="shared" si="2309"/>
        <v/>
      </c>
      <c r="D781" s="596" t="str">
        <f t="shared" si="2309"/>
        <v/>
      </c>
      <c r="E781" s="596" t="str">
        <f t="shared" si="2309"/>
        <v/>
      </c>
      <c r="F781" s="596" t="str">
        <f t="shared" si="2309"/>
        <v/>
      </c>
      <c r="G781" s="596" t="str">
        <f t="shared" si="2309"/>
        <v/>
      </c>
      <c r="H781" s="596" t="str">
        <f t="shared" si="2309"/>
        <v/>
      </c>
      <c r="I781" s="596" t="str">
        <f t="shared" si="2309"/>
        <v/>
      </c>
      <c r="J781" s="596" t="str">
        <f t="shared" si="2309"/>
        <v/>
      </c>
      <c r="K781" s="596" t="str">
        <f t="shared" si="2309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310">IF(T778="","",T778*T779*T780)</f>
        <v/>
      </c>
      <c r="U781" s="596" t="str">
        <f t="shared" si="2310"/>
        <v/>
      </c>
      <c r="V781" s="596" t="str">
        <f t="shared" si="2310"/>
        <v/>
      </c>
      <c r="W781" s="596" t="str">
        <f t="shared" si="2310"/>
        <v/>
      </c>
      <c r="X781" s="596" t="str">
        <f t="shared" si="2310"/>
        <v/>
      </c>
      <c r="Y781" s="596" t="str">
        <f t="shared" si="2310"/>
        <v/>
      </c>
      <c r="Z781" s="596" t="str">
        <f t="shared" si="2310"/>
        <v/>
      </c>
      <c r="AA781" s="596" t="str">
        <f t="shared" si="2310"/>
        <v/>
      </c>
      <c r="AB781" s="596" t="str">
        <f t="shared" si="2310"/>
        <v/>
      </c>
      <c r="AC781" s="596" t="str">
        <f t="shared" si="2310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311">IF(AL778="","",AL778*AL779*AL780)</f>
        <v/>
      </c>
      <c r="AM781" s="596" t="str">
        <f t="shared" si="2311"/>
        <v/>
      </c>
      <c r="AN781" s="596" t="str">
        <f t="shared" si="2311"/>
        <v/>
      </c>
      <c r="AO781" s="596">
        <f t="shared" si="2311"/>
        <v>3600</v>
      </c>
      <c r="AP781" s="596" t="str">
        <f t="shared" si="2311"/>
        <v/>
      </c>
      <c r="AQ781" s="596" t="str">
        <f t="shared" si="2311"/>
        <v/>
      </c>
      <c r="AR781" s="596" t="str">
        <f t="shared" si="2311"/>
        <v/>
      </c>
      <c r="AS781" s="596" t="str">
        <f t="shared" si="2311"/>
        <v/>
      </c>
      <c r="AT781" s="596" t="str">
        <f t="shared" si="2311"/>
        <v/>
      </c>
      <c r="AU781" s="596" t="str">
        <f t="shared" si="2311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312">IF(BD778="","",BD778*BD779*BD780)</f>
        <v/>
      </c>
      <c r="BE781" s="596" t="str">
        <f t="shared" si="2312"/>
        <v/>
      </c>
      <c r="BF781" s="596" t="str">
        <f t="shared" si="2312"/>
        <v/>
      </c>
      <c r="BG781" s="596" t="str">
        <f t="shared" si="2312"/>
        <v/>
      </c>
      <c r="BH781" s="596" t="str">
        <f t="shared" si="2312"/>
        <v/>
      </c>
      <c r="BI781" s="596" t="str">
        <f t="shared" si="2312"/>
        <v/>
      </c>
      <c r="BJ781" s="596" t="str">
        <f t="shared" si="2312"/>
        <v/>
      </c>
      <c r="BK781" s="596" t="str">
        <f t="shared" si="2312"/>
        <v/>
      </c>
      <c r="BL781" s="596" t="str">
        <f t="shared" si="2312"/>
        <v/>
      </c>
      <c r="BM781" s="596" t="str">
        <f t="shared" si="2312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82"/>
        <v/>
      </c>
      <c r="CA781" s="586" t="str">
        <f t="shared" si="2283"/>
        <v/>
      </c>
      <c r="CB781" s="586" t="str">
        <f t="shared" si="2284"/>
        <v/>
      </c>
      <c r="CC781" s="676" t="str">
        <f t="shared" si="2285"/>
        <v/>
      </c>
      <c r="CD781" s="1316" t="str">
        <f t="shared" si="2307"/>
        <v/>
      </c>
      <c r="CE781" s="1317" t="str">
        <f t="shared" si="2308"/>
        <v/>
      </c>
      <c r="CF781" s="1317" t="str">
        <f t="shared" si="2308"/>
        <v/>
      </c>
      <c r="CG781" s="1317" t="str">
        <f t="shared" si="2308"/>
        <v/>
      </c>
      <c r="CH781" s="1318">
        <f t="shared" si="2308"/>
        <v>3600</v>
      </c>
      <c r="CI781" s="1318" t="str">
        <f t="shared" si="2308"/>
        <v/>
      </c>
      <c r="CJ781" s="1317" t="str">
        <f t="shared" si="2308"/>
        <v/>
      </c>
      <c r="CK781" s="1317" t="str">
        <f t="shared" si="2308"/>
        <v/>
      </c>
      <c r="CL781" s="1317" t="str">
        <f t="shared" si="2308"/>
        <v/>
      </c>
      <c r="CM781" s="1316" t="str">
        <f t="shared" si="2308"/>
        <v/>
      </c>
      <c r="CN781" s="538" t="str">
        <f t="shared" si="2287"/>
        <v/>
      </c>
      <c r="CO781" s="539" t="str">
        <f t="shared" si="2288"/>
        <v/>
      </c>
      <c r="CP781" s="539" t="str">
        <f t="shared" si="2289"/>
        <v/>
      </c>
      <c r="CQ781" s="539" t="str">
        <f t="shared" si="2290"/>
        <v/>
      </c>
      <c r="CR781" s="539" t="str">
        <f t="shared" si="2291"/>
        <v/>
      </c>
      <c r="CS781" s="539" t="str">
        <f t="shared" si="2292"/>
        <v/>
      </c>
      <c r="CT781" s="540" t="str">
        <f t="shared" si="2293"/>
        <v/>
      </c>
      <c r="CU781" s="540" t="str">
        <f t="shared" si="2294"/>
        <v/>
      </c>
      <c r="CV781" s="540" t="str">
        <f t="shared" si="2295"/>
        <v/>
      </c>
      <c r="CW781" s="539" t="str">
        <f t="shared" si="2296"/>
        <v/>
      </c>
      <c r="CX781" s="539" t="str">
        <f t="shared" si="2297"/>
        <v/>
      </c>
      <c r="CY781" s="539" t="str">
        <f t="shared" si="2298"/>
        <v/>
      </c>
      <c r="CZ781" s="539" t="str">
        <f t="shared" si="2299"/>
        <v/>
      </c>
      <c r="DA781" s="539" t="str">
        <f t="shared" si="2300"/>
        <v/>
      </c>
      <c r="DB781" s="538" t="str">
        <f t="shared" si="2301"/>
        <v/>
      </c>
      <c r="DC781" s="537" t="str">
        <f t="shared" si="2302"/>
        <v/>
      </c>
      <c r="DD781" s="641">
        <f t="shared" si="2303"/>
        <v>0</v>
      </c>
      <c r="DE781" s="95">
        <f t="shared" si="2304"/>
        <v>0</v>
      </c>
      <c r="DF781" s="95">
        <f t="shared" si="2305"/>
        <v>1</v>
      </c>
      <c r="DG781" s="95">
        <f t="shared" si="2306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340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82"/>
        <v/>
      </c>
      <c r="CA782" s="586" t="str">
        <f t="shared" si="2283"/>
        <v/>
      </c>
      <c r="CB782" s="586" t="str">
        <f t="shared" si="2284"/>
        <v/>
      </c>
      <c r="CC782" s="676" t="str">
        <f t="shared" si="2285"/>
        <v/>
      </c>
      <c r="CD782" s="1316" t="str">
        <f t="shared" si="2307"/>
        <v/>
      </c>
      <c r="CE782" s="1317" t="str">
        <f t="shared" si="2308"/>
        <v/>
      </c>
      <c r="CF782" s="1317" t="str">
        <f t="shared" si="2308"/>
        <v/>
      </c>
      <c r="CG782" s="1317" t="str">
        <f t="shared" si="2308"/>
        <v/>
      </c>
      <c r="CH782" s="1318">
        <f t="shared" si="2308"/>
        <v>300</v>
      </c>
      <c r="CI782" s="1318">
        <f t="shared" si="2308"/>
        <v>1440</v>
      </c>
      <c r="CJ782" s="1317" t="str">
        <f t="shared" si="2308"/>
        <v/>
      </c>
      <c r="CK782" s="1317" t="str">
        <f t="shared" si="2308"/>
        <v/>
      </c>
      <c r="CL782" s="1317" t="str">
        <f t="shared" si="2308"/>
        <v/>
      </c>
      <c r="CM782" s="1316" t="str">
        <f t="shared" si="2308"/>
        <v/>
      </c>
      <c r="CN782" s="538" t="str">
        <f t="shared" si="2287"/>
        <v/>
      </c>
      <c r="CO782" s="539" t="str">
        <f t="shared" si="2288"/>
        <v/>
      </c>
      <c r="CP782" s="539" t="str">
        <f t="shared" si="2289"/>
        <v/>
      </c>
      <c r="CQ782" s="539" t="str">
        <f t="shared" si="2290"/>
        <v/>
      </c>
      <c r="CR782" s="539" t="str">
        <f t="shared" si="2291"/>
        <v/>
      </c>
      <c r="CS782" s="539" t="str">
        <f t="shared" si="2292"/>
        <v/>
      </c>
      <c r="CT782" s="540" t="str">
        <f t="shared" si="2293"/>
        <v/>
      </c>
      <c r="CU782" s="540">
        <f t="shared" si="2294"/>
        <v>100</v>
      </c>
      <c r="CV782" s="540" t="str">
        <f t="shared" si="2295"/>
        <v/>
      </c>
      <c r="CW782" s="539" t="str">
        <f t="shared" si="2296"/>
        <v/>
      </c>
      <c r="CX782" s="539" t="str">
        <f t="shared" si="2297"/>
        <v/>
      </c>
      <c r="CY782" s="539" t="str">
        <f t="shared" si="2298"/>
        <v/>
      </c>
      <c r="CZ782" s="539" t="str">
        <f t="shared" si="2299"/>
        <v/>
      </c>
      <c r="DA782" s="539" t="str">
        <f t="shared" si="2300"/>
        <v/>
      </c>
      <c r="DB782" s="538" t="str">
        <f t="shared" si="2301"/>
        <v/>
      </c>
      <c r="DC782" s="537" t="str">
        <f t="shared" si="2302"/>
        <v/>
      </c>
      <c r="DD782" s="641">
        <f t="shared" si="2303"/>
        <v>0</v>
      </c>
      <c r="DE782" s="95">
        <f t="shared" si="2304"/>
        <v>2</v>
      </c>
      <c r="DF782" s="95">
        <f t="shared" si="2305"/>
        <v>2</v>
      </c>
      <c r="DG782" s="95">
        <f t="shared" si="2306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341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82"/>
        <v/>
      </c>
      <c r="CA783" s="586" t="str">
        <f t="shared" si="2283"/>
        <v/>
      </c>
      <c r="CB783" s="586">
        <f t="shared" si="2284"/>
        <v>100</v>
      </c>
      <c r="CC783" s="676" t="str">
        <f t="shared" si="2285"/>
        <v/>
      </c>
      <c r="CD783" s="1316" t="str">
        <f t="shared" si="2307"/>
        <v/>
      </c>
      <c r="CE783" s="1317" t="str">
        <f t="shared" si="2308"/>
        <v/>
      </c>
      <c r="CF783" s="1317">
        <f t="shared" si="2308"/>
        <v>0</v>
      </c>
      <c r="CG783" s="1317">
        <f t="shared" si="2308"/>
        <v>100</v>
      </c>
      <c r="CH783" s="1318">
        <f t="shared" si="2308"/>
        <v>100</v>
      </c>
      <c r="CI783" s="1318">
        <f t="shared" si="2308"/>
        <v>100</v>
      </c>
      <c r="CJ783" s="1317">
        <f t="shared" si="2308"/>
        <v>200</v>
      </c>
      <c r="CK783" s="1317" t="str">
        <f t="shared" si="2308"/>
        <v/>
      </c>
      <c r="CL783" s="1317" t="str">
        <f t="shared" si="2308"/>
        <v/>
      </c>
      <c r="CM783" s="1316" t="str">
        <f t="shared" si="2308"/>
        <v/>
      </c>
      <c r="CN783" s="538" t="str">
        <f t="shared" si="2287"/>
        <v/>
      </c>
      <c r="CO783" s="539" t="str">
        <f t="shared" si="2288"/>
        <v/>
      </c>
      <c r="CP783" s="539" t="str">
        <f t="shared" si="2289"/>
        <v/>
      </c>
      <c r="CQ783" s="539" t="str">
        <f t="shared" si="2290"/>
        <v/>
      </c>
      <c r="CR783" s="539" t="str">
        <f t="shared" si="2291"/>
        <v/>
      </c>
      <c r="CS783" s="539" t="str">
        <f t="shared" si="2292"/>
        <v/>
      </c>
      <c r="CT783" s="540" t="str">
        <f t="shared" si="2293"/>
        <v/>
      </c>
      <c r="CU783" s="540">
        <f t="shared" si="2294"/>
        <v>60</v>
      </c>
      <c r="CV783" s="540">
        <f t="shared" si="2295"/>
        <v>60</v>
      </c>
      <c r="CW783" s="539" t="str">
        <f t="shared" si="2296"/>
        <v/>
      </c>
      <c r="CX783" s="539" t="str">
        <f t="shared" si="2297"/>
        <v/>
      </c>
      <c r="CY783" s="539" t="str">
        <f t="shared" si="2298"/>
        <v/>
      </c>
      <c r="CZ783" s="539" t="str">
        <f t="shared" si="2299"/>
        <v/>
      </c>
      <c r="DA783" s="539" t="str">
        <f t="shared" si="2300"/>
        <v/>
      </c>
      <c r="DB783" s="538" t="str">
        <f t="shared" si="2301"/>
        <v/>
      </c>
      <c r="DC783" s="537" t="str">
        <f t="shared" si="2302"/>
        <v/>
      </c>
      <c r="DD783" s="641">
        <f t="shared" si="2303"/>
        <v>0</v>
      </c>
      <c r="DE783" s="95">
        <f t="shared" si="2304"/>
        <v>2</v>
      </c>
      <c r="DF783" s="95">
        <f t="shared" si="2305"/>
        <v>5</v>
      </c>
      <c r="DG783" s="95">
        <f t="shared" si="2306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342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82"/>
        <v/>
      </c>
      <c r="CA784" s="586">
        <f t="shared" si="2283"/>
        <v>488.33333333333331</v>
      </c>
      <c r="CB784" s="586">
        <f t="shared" si="2284"/>
        <v>698.57142857142856</v>
      </c>
      <c r="CC784" s="676">
        <f t="shared" si="2285"/>
        <v>1523.75</v>
      </c>
      <c r="CD784" s="1316">
        <f t="shared" si="2307"/>
        <v>150</v>
      </c>
      <c r="CE784" s="1317">
        <f t="shared" si="2308"/>
        <v>190</v>
      </c>
      <c r="CF784" s="1317">
        <f t="shared" si="2308"/>
        <v>500</v>
      </c>
      <c r="CG784" s="1317">
        <f t="shared" si="2308"/>
        <v>600</v>
      </c>
      <c r="CH784" s="1318">
        <f t="shared" si="2308"/>
        <v>650</v>
      </c>
      <c r="CI784" s="1318">
        <f t="shared" si="2308"/>
        <v>750</v>
      </c>
      <c r="CJ784" s="1317">
        <f t="shared" si="2308"/>
        <v>850</v>
      </c>
      <c r="CK784" s="1317">
        <f t="shared" si="2308"/>
        <v>1350</v>
      </c>
      <c r="CL784" s="1317">
        <f t="shared" si="2308"/>
        <v>1500</v>
      </c>
      <c r="CM784" s="1316" t="str">
        <f t="shared" si="2308"/>
        <v/>
      </c>
      <c r="CN784" s="538" t="str">
        <f t="shared" si="2287"/>
        <v/>
      </c>
      <c r="CO784" s="539" t="str">
        <f t="shared" si="2288"/>
        <v/>
      </c>
      <c r="CP784" s="539" t="str">
        <f t="shared" si="2289"/>
        <v/>
      </c>
      <c r="CQ784" s="539">
        <f t="shared" si="2290"/>
        <v>600</v>
      </c>
      <c r="CR784" s="539">
        <f t="shared" si="2291"/>
        <v>650</v>
      </c>
      <c r="CS784" s="539">
        <f t="shared" si="2292"/>
        <v>1000</v>
      </c>
      <c r="CT784" s="540">
        <f t="shared" si="2293"/>
        <v>1400</v>
      </c>
      <c r="CU784" s="540">
        <f t="shared" si="2294"/>
        <v>1500</v>
      </c>
      <c r="CV784" s="540">
        <f t="shared" si="2295"/>
        <v>1500</v>
      </c>
      <c r="CW784" s="539">
        <f t="shared" si="2296"/>
        <v>1500</v>
      </c>
      <c r="CX784" s="539">
        <f t="shared" si="2297"/>
        <v>2040</v>
      </c>
      <c r="CY784" s="539">
        <f t="shared" si="2298"/>
        <v>2600</v>
      </c>
      <c r="CZ784" s="539">
        <f t="shared" si="2299"/>
        <v>7280</v>
      </c>
      <c r="DA784" s="539" t="str">
        <f t="shared" si="2300"/>
        <v/>
      </c>
      <c r="DB784" s="538" t="str">
        <f t="shared" si="2301"/>
        <v/>
      </c>
      <c r="DC784" s="537" t="str">
        <f t="shared" si="2302"/>
        <v/>
      </c>
      <c r="DD784" s="641">
        <f t="shared" si="2303"/>
        <v>1</v>
      </c>
      <c r="DE784" s="95">
        <f t="shared" si="2304"/>
        <v>8</v>
      </c>
      <c r="DF784" s="95">
        <f t="shared" si="2305"/>
        <v>9</v>
      </c>
      <c r="DG784" s="95">
        <f t="shared" si="2306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343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82"/>
        <v/>
      </c>
      <c r="CA785" s="586" t="str">
        <f t="shared" si="2283"/>
        <v/>
      </c>
      <c r="CB785" s="586" t="str">
        <f t="shared" si="2284"/>
        <v/>
      </c>
      <c r="CC785" s="676" t="str">
        <f t="shared" si="2285"/>
        <v/>
      </c>
      <c r="CD785" s="1316" t="str">
        <f t="shared" si="2307"/>
        <v/>
      </c>
      <c r="CE785" s="1317" t="str">
        <f t="shared" si="2308"/>
        <v/>
      </c>
      <c r="CF785" s="1317" t="str">
        <f t="shared" si="2308"/>
        <v/>
      </c>
      <c r="CG785" s="1317" t="str">
        <f t="shared" si="2308"/>
        <v/>
      </c>
      <c r="CH785" s="1318" t="str">
        <f t="shared" si="2308"/>
        <v/>
      </c>
      <c r="CI785" s="1318" t="str">
        <f t="shared" si="2308"/>
        <v/>
      </c>
      <c r="CJ785" s="1317" t="str">
        <f t="shared" si="2308"/>
        <v/>
      </c>
      <c r="CK785" s="1317" t="str">
        <f t="shared" si="2308"/>
        <v/>
      </c>
      <c r="CL785" s="1317" t="str">
        <f t="shared" si="2308"/>
        <v/>
      </c>
      <c r="CM785" s="1316" t="str">
        <f t="shared" si="2308"/>
        <v/>
      </c>
      <c r="CN785" s="538" t="str">
        <f t="shared" si="2287"/>
        <v/>
      </c>
      <c r="CO785" s="539" t="str">
        <f t="shared" si="2288"/>
        <v/>
      </c>
      <c r="CP785" s="539" t="str">
        <f t="shared" si="2289"/>
        <v/>
      </c>
      <c r="CQ785" s="539" t="str">
        <f t="shared" si="2290"/>
        <v/>
      </c>
      <c r="CR785" s="539" t="str">
        <f t="shared" si="2291"/>
        <v/>
      </c>
      <c r="CS785" s="539" t="str">
        <f t="shared" si="2292"/>
        <v/>
      </c>
      <c r="CT785" s="540" t="str">
        <f t="shared" si="2293"/>
        <v/>
      </c>
      <c r="CU785" s="540">
        <f t="shared" si="2294"/>
        <v>1200</v>
      </c>
      <c r="CV785" s="540" t="str">
        <f t="shared" si="2295"/>
        <v/>
      </c>
      <c r="CW785" s="539" t="str">
        <f t="shared" si="2296"/>
        <v/>
      </c>
      <c r="CX785" s="539" t="str">
        <f t="shared" si="2297"/>
        <v/>
      </c>
      <c r="CY785" s="539" t="str">
        <f t="shared" si="2298"/>
        <v/>
      </c>
      <c r="CZ785" s="539" t="str">
        <f t="shared" si="2299"/>
        <v/>
      </c>
      <c r="DA785" s="539" t="str">
        <f t="shared" si="2300"/>
        <v/>
      </c>
      <c r="DB785" s="538" t="str">
        <f t="shared" si="2301"/>
        <v/>
      </c>
      <c r="DC785" s="537" t="str">
        <f t="shared" si="2302"/>
        <v/>
      </c>
      <c r="DD785" s="641">
        <f t="shared" si="2303"/>
        <v>0</v>
      </c>
      <c r="DE785" s="95">
        <f t="shared" si="2304"/>
        <v>0</v>
      </c>
      <c r="DF785" s="95">
        <f t="shared" si="2305"/>
        <v>0</v>
      </c>
      <c r="DG785" s="95">
        <f t="shared" si="2306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344</v>
      </c>
      <c r="B786" s="215" t="s">
        <v>338</v>
      </c>
      <c r="C786" s="215" t="s">
        <v>338</v>
      </c>
      <c r="D786" s="215" t="s">
        <v>338</v>
      </c>
      <c r="E786" s="215" t="s">
        <v>338</v>
      </c>
      <c r="F786" s="215" t="s">
        <v>338</v>
      </c>
      <c r="G786" s="215" t="s">
        <v>338</v>
      </c>
      <c r="H786" s="215" t="s">
        <v>338</v>
      </c>
      <c r="I786" s="215" t="s">
        <v>338</v>
      </c>
      <c r="J786" s="215" t="s">
        <v>338</v>
      </c>
      <c r="K786" s="215" t="s">
        <v>338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338</v>
      </c>
      <c r="U786" s="215" t="s">
        <v>338</v>
      </c>
      <c r="V786" s="215" t="s">
        <v>338</v>
      </c>
      <c r="W786" s="215" t="s">
        <v>338</v>
      </c>
      <c r="X786" s="215" t="s">
        <v>338</v>
      </c>
      <c r="Y786" s="215" t="s">
        <v>338</v>
      </c>
      <c r="Z786" s="215" t="s">
        <v>338</v>
      </c>
      <c r="AA786" s="215" t="s">
        <v>338</v>
      </c>
      <c r="AB786" s="215" t="s">
        <v>338</v>
      </c>
      <c r="AC786" s="215" t="s">
        <v>338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338</v>
      </c>
      <c r="AM786" s="215" t="s">
        <v>338</v>
      </c>
      <c r="AN786" s="215" t="s">
        <v>338</v>
      </c>
      <c r="AO786" s="215" t="s">
        <v>338</v>
      </c>
      <c r="AP786" s="215" t="s">
        <v>338</v>
      </c>
      <c r="AQ786" s="215" t="s">
        <v>338</v>
      </c>
      <c r="AR786" s="215" t="s">
        <v>338</v>
      </c>
      <c r="AS786" s="215" t="s">
        <v>338</v>
      </c>
      <c r="AT786" s="215" t="s">
        <v>338</v>
      </c>
      <c r="AU786" s="215" t="s">
        <v>338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338</v>
      </c>
      <c r="BE786" s="215" t="s">
        <v>338</v>
      </c>
      <c r="BF786" s="215" t="s">
        <v>338</v>
      </c>
      <c r="BG786" s="215" t="s">
        <v>338</v>
      </c>
      <c r="BH786" s="215" t="s">
        <v>338</v>
      </c>
      <c r="BI786" s="215" t="s">
        <v>338</v>
      </c>
      <c r="BJ786" s="215" t="s">
        <v>338</v>
      </c>
      <c r="BK786" s="215" t="s">
        <v>338</v>
      </c>
      <c r="BL786" s="215" t="s">
        <v>338</v>
      </c>
      <c r="BM786" s="215" t="s">
        <v>338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338</v>
      </c>
      <c r="BW786" s="215" t="s">
        <v>338</v>
      </c>
      <c r="BX786" s="215" t="s">
        <v>338</v>
      </c>
      <c r="BY786" s="215" t="s">
        <v>338</v>
      </c>
      <c r="BZ786" s="578"/>
      <c r="CA786" s="578"/>
      <c r="CB786" s="578"/>
      <c r="CC786" s="675"/>
      <c r="CD786" s="1328"/>
      <c r="CE786" s="1328"/>
      <c r="CF786" s="1328"/>
      <c r="CG786" s="1328"/>
      <c r="CH786" s="1328"/>
      <c r="CI786" s="1328"/>
      <c r="CJ786" s="1328"/>
      <c r="CK786" s="1328"/>
      <c r="CL786" s="1328"/>
      <c r="CM786" s="1328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313">IF(DD787&lt;3,"",(SUM(B787:R787)-MIN(B787:R787)-MAX(B787:R787))/(DD787-2))</f>
        <v/>
      </c>
      <c r="CA787" s="586" t="str">
        <f t="shared" ref="CA787:CA806" si="2314">IF(DE787&lt;3,"",(SUM(T787:AJ787)-MIN(T787:AJ787)-MAX(T787:AJ787))/(DE787-2))</f>
        <v/>
      </c>
      <c r="CB787" s="586" t="str">
        <f t="shared" ref="CB787:CB806" si="2315">IF(DF787&lt;3,"",(SUM(AL787:BB787)-MIN(AL787:BB787)-MAX(AL787:BB787))/(DF787-2))</f>
        <v/>
      </c>
      <c r="CC787" s="676" t="str">
        <f t="shared" ref="CC787:CC806" si="2316">IF(DG787&lt;3,"",(SUM(BD787:BT787)-MIN(BD787:BT787)-MAX(BD787:BT787))/(DG787-2))</f>
        <v/>
      </c>
      <c r="CD787" s="1316" t="str">
        <f t="shared" ref="CD787:CM787" si="23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7" t="str">
        <f t="shared" si="2317"/>
        <v/>
      </c>
      <c r="CF787" s="1317" t="str">
        <f t="shared" si="2317"/>
        <v/>
      </c>
      <c r="CG787" s="1317" t="str">
        <f t="shared" si="2317"/>
        <v/>
      </c>
      <c r="CH787" s="1318">
        <f t="shared" si="2317"/>
        <v>1</v>
      </c>
      <c r="CI787" s="1318" t="str">
        <f t="shared" si="2317"/>
        <v/>
      </c>
      <c r="CJ787" s="1317" t="str">
        <f t="shared" si="2317"/>
        <v/>
      </c>
      <c r="CK787" s="1317" t="str">
        <f t="shared" si="2317"/>
        <v/>
      </c>
      <c r="CL787" s="1317" t="str">
        <f t="shared" si="2317"/>
        <v/>
      </c>
      <c r="CM787" s="1316" t="str">
        <f t="shared" si="2317"/>
        <v/>
      </c>
      <c r="CN787" s="538" t="str">
        <f t="shared" ref="CN787:CN810" si="231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31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32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32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32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32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32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32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32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32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32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32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3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3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3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3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34">COUNT(B787:R787)</f>
        <v>0</v>
      </c>
      <c r="DE787" s="95">
        <f t="shared" ref="DE787:DE806" si="2335">COUNT(T787:AJ787)</f>
        <v>1</v>
      </c>
      <c r="DF787" s="95">
        <f t="shared" ref="DF787:DF806" si="2336">COUNT(AL787:BB787)</f>
        <v>1</v>
      </c>
      <c r="DG787" s="95">
        <f t="shared" ref="DG787:DG806" si="2337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313"/>
        <v/>
      </c>
      <c r="CA788" s="586" t="str">
        <f t="shared" si="2314"/>
        <v/>
      </c>
      <c r="CB788" s="586" t="str">
        <f t="shared" si="2315"/>
        <v/>
      </c>
      <c r="CC788" s="676" t="str">
        <f t="shared" si="2316"/>
        <v/>
      </c>
      <c r="CD788" s="1316" t="str">
        <f t="shared" ref="CD788:CD810" si="23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7" t="str">
        <f t="shared" ref="CE788:CM803" si="23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7" t="str">
        <f t="shared" si="2339"/>
        <v/>
      </c>
      <c r="CG788" s="1317" t="str">
        <f t="shared" si="2339"/>
        <v/>
      </c>
      <c r="CH788" s="1318">
        <f t="shared" si="2339"/>
        <v>12</v>
      </c>
      <c r="CI788" s="1318" t="str">
        <f t="shared" si="2339"/>
        <v/>
      </c>
      <c r="CJ788" s="1317" t="str">
        <f t="shared" si="2339"/>
        <v/>
      </c>
      <c r="CK788" s="1317" t="str">
        <f t="shared" si="2339"/>
        <v/>
      </c>
      <c r="CL788" s="1317" t="str">
        <f t="shared" si="2339"/>
        <v/>
      </c>
      <c r="CM788" s="1316" t="str">
        <f t="shared" si="2339"/>
        <v/>
      </c>
      <c r="CN788" s="538" t="str">
        <f t="shared" si="2318"/>
        <v/>
      </c>
      <c r="CO788" s="539" t="str">
        <f t="shared" si="2319"/>
        <v/>
      </c>
      <c r="CP788" s="539" t="str">
        <f t="shared" si="2320"/>
        <v/>
      </c>
      <c r="CQ788" s="539" t="str">
        <f t="shared" si="2321"/>
        <v/>
      </c>
      <c r="CR788" s="539" t="str">
        <f t="shared" si="2322"/>
        <v/>
      </c>
      <c r="CS788" s="539" t="str">
        <f t="shared" si="2323"/>
        <v/>
      </c>
      <c r="CT788" s="540" t="str">
        <f t="shared" si="2324"/>
        <v/>
      </c>
      <c r="CU788" s="540">
        <f t="shared" si="2325"/>
        <v>12</v>
      </c>
      <c r="CV788" s="540" t="str">
        <f t="shared" si="2326"/>
        <v/>
      </c>
      <c r="CW788" s="539" t="str">
        <f t="shared" si="2327"/>
        <v/>
      </c>
      <c r="CX788" s="539" t="str">
        <f t="shared" si="2328"/>
        <v/>
      </c>
      <c r="CY788" s="539" t="str">
        <f t="shared" si="2329"/>
        <v/>
      </c>
      <c r="CZ788" s="539" t="str">
        <f t="shared" si="2330"/>
        <v/>
      </c>
      <c r="DA788" s="539" t="str">
        <f t="shared" si="2331"/>
        <v/>
      </c>
      <c r="DB788" s="538" t="str">
        <f t="shared" si="2332"/>
        <v/>
      </c>
      <c r="DC788" s="537" t="str">
        <f t="shared" si="2333"/>
        <v/>
      </c>
      <c r="DD788" s="641">
        <f t="shared" si="2334"/>
        <v>0</v>
      </c>
      <c r="DE788" s="95">
        <f t="shared" si="2335"/>
        <v>1</v>
      </c>
      <c r="DF788" s="95">
        <f t="shared" si="2336"/>
        <v>1</v>
      </c>
      <c r="DG788" s="95">
        <f t="shared" si="2337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339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313"/>
        <v/>
      </c>
      <c r="CA789" s="586" t="str">
        <f t="shared" si="2314"/>
        <v/>
      </c>
      <c r="CB789" s="586" t="str">
        <f t="shared" si="2315"/>
        <v/>
      </c>
      <c r="CC789" s="676" t="str">
        <f t="shared" si="2316"/>
        <v/>
      </c>
      <c r="CD789" s="1316" t="str">
        <f t="shared" si="2338"/>
        <v/>
      </c>
      <c r="CE789" s="1317" t="str">
        <f t="shared" si="2339"/>
        <v/>
      </c>
      <c r="CF789" s="1317" t="str">
        <f t="shared" si="2339"/>
        <v/>
      </c>
      <c r="CG789" s="1317" t="str">
        <f t="shared" si="2339"/>
        <v/>
      </c>
      <c r="CH789" s="1318">
        <f t="shared" si="2339"/>
        <v>25</v>
      </c>
      <c r="CI789" s="1318" t="str">
        <f t="shared" si="2339"/>
        <v/>
      </c>
      <c r="CJ789" s="1317" t="str">
        <f t="shared" si="2339"/>
        <v/>
      </c>
      <c r="CK789" s="1317" t="str">
        <f t="shared" si="2339"/>
        <v/>
      </c>
      <c r="CL789" s="1317" t="str">
        <f t="shared" si="2339"/>
        <v/>
      </c>
      <c r="CM789" s="1316" t="str">
        <f t="shared" si="2339"/>
        <v/>
      </c>
      <c r="CN789" s="538" t="str">
        <f t="shared" si="2318"/>
        <v/>
      </c>
      <c r="CO789" s="539" t="str">
        <f t="shared" si="2319"/>
        <v/>
      </c>
      <c r="CP789" s="539" t="str">
        <f t="shared" si="2320"/>
        <v/>
      </c>
      <c r="CQ789" s="539" t="str">
        <f t="shared" si="2321"/>
        <v/>
      </c>
      <c r="CR789" s="539" t="str">
        <f t="shared" si="2322"/>
        <v/>
      </c>
      <c r="CS789" s="539" t="str">
        <f t="shared" si="2323"/>
        <v/>
      </c>
      <c r="CT789" s="540" t="str">
        <f t="shared" si="2324"/>
        <v/>
      </c>
      <c r="CU789" s="540">
        <f t="shared" si="2325"/>
        <v>100</v>
      </c>
      <c r="CV789" s="540" t="str">
        <f t="shared" si="2326"/>
        <v/>
      </c>
      <c r="CW789" s="539" t="str">
        <f t="shared" si="2327"/>
        <v/>
      </c>
      <c r="CX789" s="539" t="str">
        <f t="shared" si="2328"/>
        <v/>
      </c>
      <c r="CY789" s="539" t="str">
        <f t="shared" si="2329"/>
        <v/>
      </c>
      <c r="CZ789" s="539" t="str">
        <f t="shared" si="2330"/>
        <v/>
      </c>
      <c r="DA789" s="539" t="str">
        <f t="shared" si="2331"/>
        <v/>
      </c>
      <c r="DB789" s="538" t="str">
        <f t="shared" si="2332"/>
        <v/>
      </c>
      <c r="DC789" s="537" t="str">
        <f t="shared" si="2333"/>
        <v/>
      </c>
      <c r="DD789" s="641">
        <f t="shared" si="2334"/>
        <v>0</v>
      </c>
      <c r="DE789" s="95">
        <f t="shared" si="2335"/>
        <v>1</v>
      </c>
      <c r="DF789" s="95">
        <f t="shared" si="2336"/>
        <v>1</v>
      </c>
      <c r="DG789" s="95">
        <f t="shared" si="2337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286</v>
      </c>
      <c r="B790" s="596" t="str">
        <f t="shared" ref="B790:K790" si="2340">IF(B787="","",B787*B788*B789)</f>
        <v/>
      </c>
      <c r="C790" s="596" t="str">
        <f t="shared" si="2340"/>
        <v/>
      </c>
      <c r="D790" s="596" t="str">
        <f t="shared" si="2340"/>
        <v/>
      </c>
      <c r="E790" s="596" t="str">
        <f t="shared" si="2340"/>
        <v/>
      </c>
      <c r="F790" s="596" t="str">
        <f t="shared" si="2340"/>
        <v/>
      </c>
      <c r="G790" s="596" t="str">
        <f t="shared" si="2340"/>
        <v/>
      </c>
      <c r="H790" s="596" t="str">
        <f t="shared" si="2340"/>
        <v/>
      </c>
      <c r="I790" s="596" t="str">
        <f t="shared" si="2340"/>
        <v/>
      </c>
      <c r="J790" s="596" t="str">
        <f t="shared" si="2340"/>
        <v/>
      </c>
      <c r="K790" s="596" t="str">
        <f t="shared" si="2340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41">IF(T787="","",T787*T788*T789)</f>
        <v/>
      </c>
      <c r="U790" s="596" t="str">
        <f t="shared" si="2341"/>
        <v/>
      </c>
      <c r="V790" s="596">
        <f t="shared" si="2341"/>
        <v>1200</v>
      </c>
      <c r="W790" s="596" t="str">
        <f t="shared" si="2341"/>
        <v/>
      </c>
      <c r="X790" s="596" t="str">
        <f t="shared" si="2341"/>
        <v/>
      </c>
      <c r="Y790" s="596" t="str">
        <f t="shared" si="2341"/>
        <v/>
      </c>
      <c r="Z790" s="596" t="str">
        <f t="shared" si="2341"/>
        <v/>
      </c>
      <c r="AA790" s="596" t="str">
        <f t="shared" si="2341"/>
        <v/>
      </c>
      <c r="AB790" s="596" t="str">
        <f t="shared" si="2341"/>
        <v/>
      </c>
      <c r="AC790" s="596" t="str">
        <f t="shared" si="2341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42">IF(AL787="","",AL787*AL788*AL789)</f>
        <v/>
      </c>
      <c r="AM790" s="596" t="str">
        <f t="shared" si="2342"/>
        <v/>
      </c>
      <c r="AN790" s="596">
        <f t="shared" si="2342"/>
        <v>300</v>
      </c>
      <c r="AO790" s="596" t="str">
        <f t="shared" si="2342"/>
        <v/>
      </c>
      <c r="AP790" s="596" t="str">
        <f t="shared" si="2342"/>
        <v/>
      </c>
      <c r="AQ790" s="596" t="str">
        <f t="shared" si="2342"/>
        <v/>
      </c>
      <c r="AR790" s="596" t="str">
        <f t="shared" si="2342"/>
        <v/>
      </c>
      <c r="AS790" s="596" t="str">
        <f t="shared" si="2342"/>
        <v/>
      </c>
      <c r="AT790" s="596" t="str">
        <f t="shared" si="2342"/>
        <v/>
      </c>
      <c r="AU790" s="596" t="str">
        <f t="shared" si="2342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43">IF(BD787="","",BD787*BD788*BD789)</f>
        <v/>
      </c>
      <c r="BE790" s="596" t="str">
        <f t="shared" si="2343"/>
        <v/>
      </c>
      <c r="BF790" s="596">
        <f t="shared" si="2343"/>
        <v>1200</v>
      </c>
      <c r="BG790" s="596" t="str">
        <f t="shared" si="2343"/>
        <v/>
      </c>
      <c r="BH790" s="596" t="str">
        <f t="shared" si="2343"/>
        <v/>
      </c>
      <c r="BI790" s="596" t="str">
        <f t="shared" si="2343"/>
        <v/>
      </c>
      <c r="BJ790" s="596" t="str">
        <f t="shared" si="2343"/>
        <v/>
      </c>
      <c r="BK790" s="596" t="str">
        <f t="shared" si="2343"/>
        <v/>
      </c>
      <c r="BL790" s="596" t="str">
        <f t="shared" si="2343"/>
        <v/>
      </c>
      <c r="BM790" s="596" t="str">
        <f t="shared" si="2343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313"/>
        <v/>
      </c>
      <c r="CA790" s="586" t="str">
        <f t="shared" si="2314"/>
        <v/>
      </c>
      <c r="CB790" s="586" t="str">
        <f t="shared" si="2315"/>
        <v/>
      </c>
      <c r="CC790" s="676" t="str">
        <f t="shared" si="2316"/>
        <v/>
      </c>
      <c r="CD790" s="1316" t="str">
        <f t="shared" si="2338"/>
        <v/>
      </c>
      <c r="CE790" s="1317" t="str">
        <f t="shared" si="2339"/>
        <v/>
      </c>
      <c r="CF790" s="1317" t="str">
        <f t="shared" si="2339"/>
        <v/>
      </c>
      <c r="CG790" s="1317" t="str">
        <f t="shared" si="2339"/>
        <v/>
      </c>
      <c r="CH790" s="1318">
        <f t="shared" si="2339"/>
        <v>300</v>
      </c>
      <c r="CI790" s="1318" t="str">
        <f t="shared" si="2339"/>
        <v/>
      </c>
      <c r="CJ790" s="1317" t="str">
        <f t="shared" si="2339"/>
        <v/>
      </c>
      <c r="CK790" s="1317" t="str">
        <f t="shared" si="2339"/>
        <v/>
      </c>
      <c r="CL790" s="1317" t="str">
        <f t="shared" si="2339"/>
        <v/>
      </c>
      <c r="CM790" s="1316" t="str">
        <f t="shared" si="2339"/>
        <v/>
      </c>
      <c r="CN790" s="538" t="str">
        <f t="shared" si="2318"/>
        <v/>
      </c>
      <c r="CO790" s="539" t="str">
        <f t="shared" si="2319"/>
        <v/>
      </c>
      <c r="CP790" s="539" t="str">
        <f t="shared" si="2320"/>
        <v/>
      </c>
      <c r="CQ790" s="539" t="str">
        <f t="shared" si="2321"/>
        <v/>
      </c>
      <c r="CR790" s="539" t="str">
        <f t="shared" si="2322"/>
        <v/>
      </c>
      <c r="CS790" s="539" t="str">
        <f t="shared" si="2323"/>
        <v/>
      </c>
      <c r="CT790" s="540" t="str">
        <f t="shared" si="2324"/>
        <v/>
      </c>
      <c r="CU790" s="540">
        <f t="shared" si="2325"/>
        <v>1200</v>
      </c>
      <c r="CV790" s="540" t="str">
        <f t="shared" si="2326"/>
        <v/>
      </c>
      <c r="CW790" s="539" t="str">
        <f t="shared" si="2327"/>
        <v/>
      </c>
      <c r="CX790" s="539" t="str">
        <f t="shared" si="2328"/>
        <v/>
      </c>
      <c r="CY790" s="539" t="str">
        <f t="shared" si="2329"/>
        <v/>
      </c>
      <c r="CZ790" s="539" t="str">
        <f t="shared" si="2330"/>
        <v/>
      </c>
      <c r="DA790" s="539" t="str">
        <f t="shared" si="2331"/>
        <v/>
      </c>
      <c r="DB790" s="538" t="str">
        <f t="shared" si="2332"/>
        <v/>
      </c>
      <c r="DC790" s="537" t="str">
        <f t="shared" si="2333"/>
        <v/>
      </c>
      <c r="DD790" s="641">
        <f t="shared" si="2334"/>
        <v>0</v>
      </c>
      <c r="DE790" s="95">
        <f t="shared" si="2335"/>
        <v>1</v>
      </c>
      <c r="DF790" s="95">
        <f t="shared" si="2336"/>
        <v>1</v>
      </c>
      <c r="DG790" s="95">
        <f t="shared" si="2337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345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313"/>
        <v>1058.3333333333333</v>
      </c>
      <c r="CA791" s="586">
        <f t="shared" si="2314"/>
        <v>907.14285714285711</v>
      </c>
      <c r="CB791" s="586">
        <f t="shared" si="2315"/>
        <v>790</v>
      </c>
      <c r="CC791" s="676">
        <f t="shared" si="2316"/>
        <v>1443.75</v>
      </c>
      <c r="CD791" s="1316" t="str">
        <f t="shared" si="2338"/>
        <v/>
      </c>
      <c r="CE791" s="1317">
        <f t="shared" si="2339"/>
        <v>200</v>
      </c>
      <c r="CF791" s="1317">
        <f t="shared" si="2339"/>
        <v>400</v>
      </c>
      <c r="CG791" s="1317">
        <f t="shared" si="2339"/>
        <v>700</v>
      </c>
      <c r="CH791" s="1318">
        <f t="shared" si="2339"/>
        <v>850</v>
      </c>
      <c r="CI791" s="1318">
        <f t="shared" si="2339"/>
        <v>1000</v>
      </c>
      <c r="CJ791" s="1317">
        <f t="shared" si="2339"/>
        <v>1000</v>
      </c>
      <c r="CK791" s="1317">
        <f t="shared" si="2339"/>
        <v>1200</v>
      </c>
      <c r="CL791" s="1317" t="str">
        <f t="shared" si="2339"/>
        <v/>
      </c>
      <c r="CM791" s="1316" t="str">
        <f t="shared" si="2339"/>
        <v/>
      </c>
      <c r="CN791" s="538" t="str">
        <f t="shared" si="2318"/>
        <v/>
      </c>
      <c r="CO791" s="539" t="str">
        <f t="shared" si="2319"/>
        <v/>
      </c>
      <c r="CP791" s="539" t="str">
        <f t="shared" si="2320"/>
        <v/>
      </c>
      <c r="CQ791" s="539">
        <f t="shared" si="2321"/>
        <v>750</v>
      </c>
      <c r="CR791" s="539">
        <f t="shared" si="2322"/>
        <v>800</v>
      </c>
      <c r="CS791" s="539">
        <f t="shared" si="2323"/>
        <v>900</v>
      </c>
      <c r="CT791" s="540">
        <f t="shared" si="2324"/>
        <v>1000</v>
      </c>
      <c r="CU791" s="540">
        <f t="shared" si="2325"/>
        <v>1500</v>
      </c>
      <c r="CV791" s="540">
        <f t="shared" si="2326"/>
        <v>1500</v>
      </c>
      <c r="CW791" s="539">
        <f t="shared" si="2327"/>
        <v>1800</v>
      </c>
      <c r="CX791" s="539">
        <f t="shared" si="2328"/>
        <v>1800</v>
      </c>
      <c r="CY791" s="539">
        <f t="shared" si="2329"/>
        <v>2250</v>
      </c>
      <c r="CZ791" s="539">
        <f t="shared" si="2330"/>
        <v>2700</v>
      </c>
      <c r="DA791" s="539" t="str">
        <f t="shared" si="2331"/>
        <v/>
      </c>
      <c r="DB791" s="538" t="str">
        <f t="shared" si="2332"/>
        <v/>
      </c>
      <c r="DC791" s="537" t="str">
        <f t="shared" si="2333"/>
        <v/>
      </c>
      <c r="DD791" s="641">
        <f t="shared" si="2334"/>
        <v>8</v>
      </c>
      <c r="DE791" s="95">
        <f t="shared" si="2335"/>
        <v>9</v>
      </c>
      <c r="DF791" s="95">
        <f t="shared" si="2336"/>
        <v>7</v>
      </c>
      <c r="DG791" s="95">
        <f t="shared" si="2337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346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16" t="str">
        <f t="shared" ref="CD792:CM792" si="2344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317">
        <f t="shared" si="2344"/>
        <v>30</v>
      </c>
      <c r="CF792" s="1317">
        <f t="shared" si="2344"/>
        <v>30</v>
      </c>
      <c r="CG792" s="1317">
        <f t="shared" si="2344"/>
        <v>170</v>
      </c>
      <c r="CH792" s="1318">
        <f t="shared" si="2344"/>
        <v>350</v>
      </c>
      <c r="CI792" s="1318">
        <f t="shared" si="2344"/>
        <v>350</v>
      </c>
      <c r="CJ792" s="1317">
        <f t="shared" si="2344"/>
        <v>350</v>
      </c>
      <c r="CK792" s="1317">
        <f t="shared" si="2344"/>
        <v>375</v>
      </c>
      <c r="CL792" s="1317">
        <f t="shared" si="2344"/>
        <v>850</v>
      </c>
      <c r="CM792" s="1316" t="str">
        <f t="shared" si="2344"/>
        <v/>
      </c>
      <c r="CN792" s="538" t="str">
        <f t="shared" ref="CN792:DC792" si="2345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45"/>
        <v/>
      </c>
      <c r="CP792" s="539" t="str">
        <f t="shared" si="2345"/>
        <v/>
      </c>
      <c r="CQ792" s="539">
        <f t="shared" si="2345"/>
        <v>90</v>
      </c>
      <c r="CR792" s="539">
        <f t="shared" si="2345"/>
        <v>160</v>
      </c>
      <c r="CS792" s="539">
        <f t="shared" si="2345"/>
        <v>160</v>
      </c>
      <c r="CT792" s="540">
        <f t="shared" si="2345"/>
        <v>300</v>
      </c>
      <c r="CU792" s="540">
        <f t="shared" si="2345"/>
        <v>300</v>
      </c>
      <c r="CV792" s="540">
        <f t="shared" si="2345"/>
        <v>350</v>
      </c>
      <c r="CW792" s="539">
        <f t="shared" si="2345"/>
        <v>450</v>
      </c>
      <c r="CX792" s="539">
        <f t="shared" si="2345"/>
        <v>500</v>
      </c>
      <c r="CY792" s="539">
        <f t="shared" si="2345"/>
        <v>900</v>
      </c>
      <c r="CZ792" s="539" t="str">
        <f t="shared" si="2345"/>
        <v/>
      </c>
      <c r="DA792" s="539" t="str">
        <f t="shared" si="2345"/>
        <v/>
      </c>
      <c r="DB792" s="538" t="str">
        <f t="shared" si="2345"/>
        <v/>
      </c>
      <c r="DC792" s="537" t="str">
        <f t="shared" si="2345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347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348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313"/>
        <v/>
      </c>
      <c r="CA793" s="586" t="str">
        <f t="shared" si="2314"/>
        <v/>
      </c>
      <c r="CB793" s="586" t="str">
        <f t="shared" si="2315"/>
        <v/>
      </c>
      <c r="CC793" s="676" t="str">
        <f t="shared" si="2316"/>
        <v/>
      </c>
      <c r="CD793" s="1316" t="str">
        <f t="shared" si="2338"/>
        <v/>
      </c>
      <c r="CE793" s="1317" t="str">
        <f t="shared" si="2339"/>
        <v/>
      </c>
      <c r="CF793" s="1317" t="str">
        <f t="shared" si="2339"/>
        <v/>
      </c>
      <c r="CG793" s="1317" t="str">
        <f t="shared" si="2339"/>
        <v/>
      </c>
      <c r="CH793" s="1318">
        <f t="shared" si="2339"/>
        <v>100</v>
      </c>
      <c r="CI793" s="1318" t="str">
        <f t="shared" si="2339"/>
        <v/>
      </c>
      <c r="CJ793" s="1317" t="str">
        <f t="shared" si="2339"/>
        <v/>
      </c>
      <c r="CK793" s="1317" t="str">
        <f t="shared" si="2339"/>
        <v/>
      </c>
      <c r="CL793" s="1317" t="str">
        <f t="shared" si="2339"/>
        <v/>
      </c>
      <c r="CM793" s="1316" t="str">
        <f t="shared" si="2339"/>
        <v/>
      </c>
      <c r="CN793" s="538" t="str">
        <f t="shared" si="2318"/>
        <v/>
      </c>
      <c r="CO793" s="539" t="str">
        <f t="shared" si="2319"/>
        <v/>
      </c>
      <c r="CP793" s="539" t="str">
        <f t="shared" si="2320"/>
        <v/>
      </c>
      <c r="CQ793" s="539" t="str">
        <f t="shared" si="2321"/>
        <v/>
      </c>
      <c r="CR793" s="539" t="str">
        <f t="shared" si="2322"/>
        <v/>
      </c>
      <c r="CS793" s="539" t="str">
        <f t="shared" si="2323"/>
        <v/>
      </c>
      <c r="CT793" s="540" t="str">
        <f t="shared" si="2324"/>
        <v/>
      </c>
      <c r="CU793" s="540" t="str">
        <f t="shared" si="2325"/>
        <v/>
      </c>
      <c r="CV793" s="540" t="str">
        <f t="shared" si="2326"/>
        <v/>
      </c>
      <c r="CW793" s="539" t="str">
        <f t="shared" si="2327"/>
        <v/>
      </c>
      <c r="CX793" s="539" t="str">
        <f t="shared" si="2328"/>
        <v/>
      </c>
      <c r="CY793" s="539" t="str">
        <f t="shared" si="2329"/>
        <v/>
      </c>
      <c r="CZ793" s="539" t="str">
        <f t="shared" si="2330"/>
        <v/>
      </c>
      <c r="DA793" s="539" t="str">
        <f t="shared" si="2331"/>
        <v/>
      </c>
      <c r="DB793" s="538" t="str">
        <f t="shared" si="2332"/>
        <v/>
      </c>
      <c r="DC793" s="537" t="str">
        <f t="shared" si="2333"/>
        <v/>
      </c>
      <c r="DD793" s="641">
        <f t="shared" si="2334"/>
        <v>0</v>
      </c>
      <c r="DE793" s="95">
        <f t="shared" si="2335"/>
        <v>0</v>
      </c>
      <c r="DF793" s="95">
        <f t="shared" si="2336"/>
        <v>1</v>
      </c>
      <c r="DG793" s="95">
        <f t="shared" si="2337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170</v>
      </c>
      <c r="DP793" s="607"/>
      <c r="DQ793" s="472"/>
    </row>
    <row r="794" spans="1:121" s="474" customFormat="1" ht="15.75" customHeight="1">
      <c r="A794" s="774" t="s">
        <v>349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313"/>
        <v/>
      </c>
      <c r="CA794" s="586" t="str">
        <f t="shared" si="2314"/>
        <v/>
      </c>
      <c r="CB794" s="586" t="str">
        <f t="shared" si="2315"/>
        <v/>
      </c>
      <c r="CC794" s="676" t="str">
        <f t="shared" si="2316"/>
        <v/>
      </c>
      <c r="CD794" s="1316" t="str">
        <f t="shared" si="2338"/>
        <v/>
      </c>
      <c r="CE794" s="1317" t="str">
        <f t="shared" si="2339"/>
        <v/>
      </c>
      <c r="CF794" s="1317" t="str">
        <f t="shared" si="2339"/>
        <v/>
      </c>
      <c r="CG794" s="1317" t="str">
        <f t="shared" si="2339"/>
        <v/>
      </c>
      <c r="CH794" s="1318" t="str">
        <f t="shared" si="2339"/>
        <v/>
      </c>
      <c r="CI794" s="1318" t="str">
        <f t="shared" si="2339"/>
        <v/>
      </c>
      <c r="CJ794" s="1317" t="str">
        <f t="shared" si="2339"/>
        <v/>
      </c>
      <c r="CK794" s="1317" t="str">
        <f t="shared" si="2339"/>
        <v/>
      </c>
      <c r="CL794" s="1317" t="str">
        <f t="shared" si="2339"/>
        <v/>
      </c>
      <c r="CM794" s="1316" t="str">
        <f t="shared" si="2339"/>
        <v/>
      </c>
      <c r="CN794" s="538" t="str">
        <f t="shared" si="2318"/>
        <v/>
      </c>
      <c r="CO794" s="539" t="str">
        <f t="shared" si="2319"/>
        <v/>
      </c>
      <c r="CP794" s="539" t="str">
        <f t="shared" si="2320"/>
        <v/>
      </c>
      <c r="CQ794" s="539" t="str">
        <f t="shared" si="2321"/>
        <v/>
      </c>
      <c r="CR794" s="539" t="str">
        <f t="shared" si="2322"/>
        <v/>
      </c>
      <c r="CS794" s="539" t="str">
        <f t="shared" si="2323"/>
        <v/>
      </c>
      <c r="CT794" s="540" t="str">
        <f t="shared" si="2324"/>
        <v/>
      </c>
      <c r="CU794" s="540" t="str">
        <f t="shared" si="2325"/>
        <v/>
      </c>
      <c r="CV794" s="540" t="str">
        <f t="shared" si="2326"/>
        <v/>
      </c>
      <c r="CW794" s="539" t="str">
        <f t="shared" si="2327"/>
        <v/>
      </c>
      <c r="CX794" s="539" t="str">
        <f t="shared" si="2328"/>
        <v/>
      </c>
      <c r="CY794" s="539" t="str">
        <f t="shared" si="2329"/>
        <v/>
      </c>
      <c r="CZ794" s="539" t="str">
        <f t="shared" si="2330"/>
        <v/>
      </c>
      <c r="DA794" s="539" t="str">
        <f t="shared" si="2331"/>
        <v/>
      </c>
      <c r="DB794" s="538" t="str">
        <f t="shared" si="2332"/>
        <v/>
      </c>
      <c r="DC794" s="537" t="str">
        <f t="shared" si="2333"/>
        <v/>
      </c>
      <c r="DD794" s="641">
        <f t="shared" si="2334"/>
        <v>0</v>
      </c>
      <c r="DE794" s="95">
        <f t="shared" si="2335"/>
        <v>0</v>
      </c>
      <c r="DF794" s="95">
        <f t="shared" si="2336"/>
        <v>0</v>
      </c>
      <c r="DG794" s="95">
        <f t="shared" si="2337"/>
        <v>0</v>
      </c>
      <c r="DH794" s="471"/>
      <c r="DI794" s="606"/>
      <c r="DJ794" s="588" t="s">
        <v>350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351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313"/>
        <v/>
      </c>
      <c r="CA795" s="586" t="str">
        <f t="shared" si="2314"/>
        <v/>
      </c>
      <c r="CB795" s="586">
        <f t="shared" si="2315"/>
        <v>300</v>
      </c>
      <c r="CC795" s="676">
        <f t="shared" si="2316"/>
        <v>4000</v>
      </c>
      <c r="CD795" s="1316" t="str">
        <f t="shared" si="2338"/>
        <v/>
      </c>
      <c r="CE795" s="1317" t="str">
        <f t="shared" si="2339"/>
        <v/>
      </c>
      <c r="CF795" s="1317" t="str">
        <f t="shared" si="2339"/>
        <v/>
      </c>
      <c r="CG795" s="1317">
        <f t="shared" si="2339"/>
        <v>50</v>
      </c>
      <c r="CH795" s="1318">
        <f t="shared" si="2339"/>
        <v>300</v>
      </c>
      <c r="CI795" s="1318">
        <f t="shared" si="2339"/>
        <v>300</v>
      </c>
      <c r="CJ795" s="1317">
        <f t="shared" si="2339"/>
        <v>360</v>
      </c>
      <c r="CK795" s="1317" t="str">
        <f t="shared" si="2339"/>
        <v/>
      </c>
      <c r="CL795" s="1317" t="str">
        <f t="shared" si="2339"/>
        <v/>
      </c>
      <c r="CM795" s="1316" t="str">
        <f t="shared" si="2339"/>
        <v/>
      </c>
      <c r="CN795" s="538" t="str">
        <f t="shared" si="2318"/>
        <v/>
      </c>
      <c r="CO795" s="539" t="str">
        <f t="shared" si="2319"/>
        <v/>
      </c>
      <c r="CP795" s="539" t="str">
        <f t="shared" si="2320"/>
        <v/>
      </c>
      <c r="CQ795" s="539" t="str">
        <f t="shared" si="2321"/>
        <v/>
      </c>
      <c r="CR795" s="539" t="str">
        <f t="shared" si="2322"/>
        <v/>
      </c>
      <c r="CS795" s="539" t="str">
        <f t="shared" si="2323"/>
        <v/>
      </c>
      <c r="CT795" s="540">
        <f t="shared" si="2324"/>
        <v>2500</v>
      </c>
      <c r="CU795" s="540">
        <f t="shared" si="2325"/>
        <v>3000</v>
      </c>
      <c r="CV795" s="540">
        <f t="shared" si="2326"/>
        <v>5000</v>
      </c>
      <c r="CW795" s="539">
        <f t="shared" si="2327"/>
        <v>5000</v>
      </c>
      <c r="CX795" s="539" t="str">
        <f t="shared" si="2328"/>
        <v/>
      </c>
      <c r="CY795" s="539" t="str">
        <f t="shared" si="2329"/>
        <v/>
      </c>
      <c r="CZ795" s="539" t="str">
        <f t="shared" si="2330"/>
        <v/>
      </c>
      <c r="DA795" s="539" t="str">
        <f t="shared" si="2331"/>
        <v/>
      </c>
      <c r="DB795" s="538" t="str">
        <f t="shared" si="2332"/>
        <v/>
      </c>
      <c r="DC795" s="537" t="str">
        <f t="shared" si="2333"/>
        <v/>
      </c>
      <c r="DD795" s="641">
        <f t="shared" si="2334"/>
        <v>0</v>
      </c>
      <c r="DE795" s="95">
        <f t="shared" si="2335"/>
        <v>0</v>
      </c>
      <c r="DF795" s="95">
        <f t="shared" si="2336"/>
        <v>4</v>
      </c>
      <c r="DG795" s="95">
        <f t="shared" si="2337"/>
        <v>4</v>
      </c>
      <c r="DH795" s="471"/>
      <c r="DI795" s="606"/>
      <c r="DJ795" s="588"/>
      <c r="DK795" s="589" t="s">
        <v>352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353</v>
      </c>
      <c r="DQ795" s="472"/>
    </row>
    <row r="796" spans="1:121" s="474" customFormat="1" ht="15.75" customHeight="1">
      <c r="A796" s="772" t="s">
        <v>354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313"/>
        <v/>
      </c>
      <c r="CA796" s="586" t="str">
        <f t="shared" si="2314"/>
        <v/>
      </c>
      <c r="CB796" s="586" t="str">
        <f t="shared" si="2315"/>
        <v/>
      </c>
      <c r="CC796" s="676" t="str">
        <f t="shared" si="2316"/>
        <v/>
      </c>
      <c r="CD796" s="1316" t="str">
        <f t="shared" si="2338"/>
        <v/>
      </c>
      <c r="CE796" s="1317" t="str">
        <f t="shared" si="2339"/>
        <v/>
      </c>
      <c r="CF796" s="1317" t="str">
        <f t="shared" si="2339"/>
        <v/>
      </c>
      <c r="CG796" s="1317" t="str">
        <f t="shared" si="2339"/>
        <v/>
      </c>
      <c r="CH796" s="1318" t="str">
        <f t="shared" si="2339"/>
        <v/>
      </c>
      <c r="CI796" s="1318" t="str">
        <f t="shared" si="2339"/>
        <v/>
      </c>
      <c r="CJ796" s="1317" t="str">
        <f t="shared" si="2339"/>
        <v/>
      </c>
      <c r="CK796" s="1317" t="str">
        <f t="shared" si="2339"/>
        <v/>
      </c>
      <c r="CL796" s="1317" t="str">
        <f t="shared" si="2339"/>
        <v/>
      </c>
      <c r="CM796" s="1316" t="str">
        <f t="shared" si="2339"/>
        <v/>
      </c>
      <c r="CN796" s="538" t="str">
        <f t="shared" si="2318"/>
        <v/>
      </c>
      <c r="CO796" s="539" t="str">
        <f t="shared" si="2319"/>
        <v/>
      </c>
      <c r="CP796" s="539" t="str">
        <f t="shared" si="2320"/>
        <v/>
      </c>
      <c r="CQ796" s="539" t="str">
        <f t="shared" si="2321"/>
        <v/>
      </c>
      <c r="CR796" s="539" t="str">
        <f t="shared" si="2322"/>
        <v/>
      </c>
      <c r="CS796" s="539" t="str">
        <f t="shared" si="2323"/>
        <v/>
      </c>
      <c r="CT796" s="540" t="str">
        <f t="shared" si="2324"/>
        <v/>
      </c>
      <c r="CU796" s="540" t="str">
        <f t="shared" si="2325"/>
        <v/>
      </c>
      <c r="CV796" s="540" t="str">
        <f t="shared" si="2326"/>
        <v/>
      </c>
      <c r="CW796" s="539" t="str">
        <f t="shared" si="2327"/>
        <v/>
      </c>
      <c r="CX796" s="539" t="str">
        <f t="shared" si="2328"/>
        <v/>
      </c>
      <c r="CY796" s="539" t="str">
        <f t="shared" si="2329"/>
        <v/>
      </c>
      <c r="CZ796" s="539" t="str">
        <f t="shared" si="2330"/>
        <v/>
      </c>
      <c r="DA796" s="539" t="str">
        <f t="shared" si="2331"/>
        <v/>
      </c>
      <c r="DB796" s="538" t="str">
        <f t="shared" si="2332"/>
        <v/>
      </c>
      <c r="DC796" s="537" t="str">
        <f t="shared" si="2333"/>
        <v/>
      </c>
      <c r="DD796" s="641">
        <f t="shared" si="2334"/>
        <v>0</v>
      </c>
      <c r="DE796" s="95">
        <f t="shared" si="2335"/>
        <v>0</v>
      </c>
      <c r="DF796" s="95">
        <f t="shared" si="2336"/>
        <v>0</v>
      </c>
      <c r="DG796" s="95">
        <f t="shared" si="2337"/>
        <v>0</v>
      </c>
      <c r="DH796" s="471"/>
      <c r="DI796" s="606"/>
      <c r="DJ796" s="588" t="s">
        <v>355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356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313"/>
        <v/>
      </c>
      <c r="CA797" s="586">
        <f t="shared" si="2314"/>
        <v>300</v>
      </c>
      <c r="CB797" s="586">
        <f t="shared" si="2315"/>
        <v>175</v>
      </c>
      <c r="CC797" s="676" t="str">
        <f t="shared" si="2316"/>
        <v/>
      </c>
      <c r="CD797" s="1316" t="str">
        <f t="shared" si="2338"/>
        <v/>
      </c>
      <c r="CE797" s="1317" t="str">
        <f t="shared" si="2339"/>
        <v/>
      </c>
      <c r="CF797" s="1317" t="str">
        <f t="shared" si="2339"/>
        <v/>
      </c>
      <c r="CG797" s="1317">
        <f t="shared" si="2339"/>
        <v>10</v>
      </c>
      <c r="CH797" s="1318">
        <f t="shared" si="2339"/>
        <v>100</v>
      </c>
      <c r="CI797" s="1318">
        <f t="shared" si="2339"/>
        <v>250</v>
      </c>
      <c r="CJ797" s="1317">
        <f t="shared" si="2339"/>
        <v>300</v>
      </c>
      <c r="CK797" s="1317" t="str">
        <f t="shared" si="2339"/>
        <v/>
      </c>
      <c r="CL797" s="1317" t="str">
        <f t="shared" si="2339"/>
        <v/>
      </c>
      <c r="CM797" s="1316" t="str">
        <f t="shared" si="2339"/>
        <v/>
      </c>
      <c r="CN797" s="538" t="str">
        <f t="shared" si="2318"/>
        <v/>
      </c>
      <c r="CO797" s="539" t="str">
        <f t="shared" si="2319"/>
        <v/>
      </c>
      <c r="CP797" s="539" t="str">
        <f t="shared" si="2320"/>
        <v/>
      </c>
      <c r="CQ797" s="539" t="str">
        <f t="shared" si="2321"/>
        <v/>
      </c>
      <c r="CR797" s="539" t="str">
        <f t="shared" si="2322"/>
        <v/>
      </c>
      <c r="CS797" s="539" t="str">
        <f t="shared" si="2323"/>
        <v/>
      </c>
      <c r="CT797" s="540" t="str">
        <f t="shared" si="2324"/>
        <v/>
      </c>
      <c r="CU797" s="540" t="str">
        <f t="shared" si="2325"/>
        <v/>
      </c>
      <c r="CV797" s="540" t="str">
        <f t="shared" si="2326"/>
        <v/>
      </c>
      <c r="CW797" s="539" t="str">
        <f t="shared" si="2327"/>
        <v/>
      </c>
      <c r="CX797" s="539" t="str">
        <f t="shared" si="2328"/>
        <v/>
      </c>
      <c r="CY797" s="539" t="str">
        <f t="shared" si="2329"/>
        <v/>
      </c>
      <c r="CZ797" s="539" t="str">
        <f t="shared" si="2330"/>
        <v/>
      </c>
      <c r="DA797" s="539" t="str">
        <f t="shared" si="2331"/>
        <v/>
      </c>
      <c r="DB797" s="538" t="str">
        <f t="shared" si="2332"/>
        <v/>
      </c>
      <c r="DC797" s="537" t="str">
        <f t="shared" si="2333"/>
        <v/>
      </c>
      <c r="DD797" s="641">
        <f t="shared" si="2334"/>
        <v>0</v>
      </c>
      <c r="DE797" s="95">
        <f t="shared" si="2335"/>
        <v>3</v>
      </c>
      <c r="DF797" s="95">
        <f t="shared" si="2336"/>
        <v>4</v>
      </c>
      <c r="DG797" s="95">
        <f t="shared" si="2337"/>
        <v>0</v>
      </c>
      <c r="DH797" s="471"/>
      <c r="DI797" s="606"/>
      <c r="DJ797" s="588"/>
      <c r="DK797" s="589" t="s">
        <v>352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357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313"/>
        <v/>
      </c>
      <c r="CA798" s="586">
        <f t="shared" si="2314"/>
        <v>84</v>
      </c>
      <c r="CB798" s="586">
        <f t="shared" si="2315"/>
        <v>155</v>
      </c>
      <c r="CC798" s="676">
        <f t="shared" si="2316"/>
        <v>65</v>
      </c>
      <c r="CD798" s="1316" t="str">
        <f t="shared" si="2338"/>
        <v/>
      </c>
      <c r="CE798" s="1317" t="str">
        <f t="shared" si="2339"/>
        <v/>
      </c>
      <c r="CF798" s="1317" t="str">
        <f t="shared" si="2339"/>
        <v/>
      </c>
      <c r="CG798" s="1317">
        <f t="shared" si="2339"/>
        <v>100</v>
      </c>
      <c r="CH798" s="1318">
        <f t="shared" si="2339"/>
        <v>100</v>
      </c>
      <c r="CI798" s="1318">
        <f t="shared" si="2339"/>
        <v>210</v>
      </c>
      <c r="CJ798" s="1317">
        <f t="shared" si="2339"/>
        <v>1440</v>
      </c>
      <c r="CK798" s="1317" t="str">
        <f t="shared" si="2339"/>
        <v/>
      </c>
      <c r="CL798" s="1317" t="str">
        <f t="shared" si="2339"/>
        <v/>
      </c>
      <c r="CM798" s="1316" t="str">
        <f t="shared" si="2339"/>
        <v/>
      </c>
      <c r="CN798" s="538" t="str">
        <f t="shared" si="2318"/>
        <v/>
      </c>
      <c r="CO798" s="539" t="str">
        <f t="shared" si="2319"/>
        <v/>
      </c>
      <c r="CP798" s="539" t="str">
        <f t="shared" si="2320"/>
        <v/>
      </c>
      <c r="CQ798" s="539" t="str">
        <f t="shared" si="2321"/>
        <v/>
      </c>
      <c r="CR798" s="539" t="str">
        <f t="shared" si="2322"/>
        <v/>
      </c>
      <c r="CS798" s="539" t="str">
        <f t="shared" si="2323"/>
        <v/>
      </c>
      <c r="CT798" s="540">
        <f t="shared" si="2324"/>
        <v>60</v>
      </c>
      <c r="CU798" s="540">
        <f t="shared" si="2325"/>
        <v>65</v>
      </c>
      <c r="CV798" s="540">
        <f t="shared" si="2326"/>
        <v>550</v>
      </c>
      <c r="CW798" s="539" t="str">
        <f t="shared" si="2327"/>
        <v/>
      </c>
      <c r="CX798" s="539" t="str">
        <f t="shared" si="2328"/>
        <v/>
      </c>
      <c r="CY798" s="539" t="str">
        <f t="shared" si="2329"/>
        <v/>
      </c>
      <c r="CZ798" s="539" t="str">
        <f t="shared" si="2330"/>
        <v/>
      </c>
      <c r="DA798" s="539" t="str">
        <f t="shared" si="2331"/>
        <v/>
      </c>
      <c r="DB798" s="538" t="str">
        <f t="shared" si="2332"/>
        <v/>
      </c>
      <c r="DC798" s="537" t="str">
        <f t="shared" si="2333"/>
        <v/>
      </c>
      <c r="DD798" s="641">
        <f t="shared" si="2334"/>
        <v>1</v>
      </c>
      <c r="DE798" s="95">
        <f t="shared" si="2335"/>
        <v>7</v>
      </c>
      <c r="DF798" s="95">
        <f t="shared" si="2336"/>
        <v>4</v>
      </c>
      <c r="DG798" s="95">
        <f t="shared" si="2337"/>
        <v>3</v>
      </c>
      <c r="DH798" s="471"/>
      <c r="DI798" s="606"/>
      <c r="DJ798" s="588" t="s">
        <v>358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359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0">
        <v>1050</v>
      </c>
      <c r="BW799" s="747">
        <v>1400</v>
      </c>
      <c r="BX799" s="747">
        <v>2100</v>
      </c>
      <c r="BY799" s="747">
        <v>4500</v>
      </c>
      <c r="BZ799" s="586">
        <f t="shared" si="2313"/>
        <v>2600</v>
      </c>
      <c r="CA799" s="586">
        <f t="shared" si="2314"/>
        <v>1412.5</v>
      </c>
      <c r="CB799" s="586">
        <f t="shared" si="2315"/>
        <v>2212.5</v>
      </c>
      <c r="CC799" s="676">
        <f t="shared" si="2316"/>
        <v>5125</v>
      </c>
      <c r="CD799" s="1316">
        <f t="shared" si="2338"/>
        <v>500</v>
      </c>
      <c r="CE799" s="1317">
        <f t="shared" si="2339"/>
        <v>1000</v>
      </c>
      <c r="CF799" s="1317">
        <f t="shared" si="2339"/>
        <v>1600</v>
      </c>
      <c r="CG799" s="1317">
        <f t="shared" si="2339"/>
        <v>1600</v>
      </c>
      <c r="CH799" s="1318">
        <f t="shared" si="2339"/>
        <v>2100</v>
      </c>
      <c r="CI799" s="1318">
        <f t="shared" si="2339"/>
        <v>2700</v>
      </c>
      <c r="CJ799" s="1317">
        <f t="shared" si="2339"/>
        <v>2700</v>
      </c>
      <c r="CK799" s="1317">
        <f t="shared" si="2339"/>
        <v>3000</v>
      </c>
      <c r="CL799" s="1317">
        <f t="shared" si="2339"/>
        <v>3000</v>
      </c>
      <c r="CM799" s="1316">
        <f t="shared" si="2339"/>
        <v>4800</v>
      </c>
      <c r="CN799" s="538" t="str">
        <f t="shared" si="2318"/>
        <v/>
      </c>
      <c r="CO799" s="539" t="str">
        <f t="shared" si="2319"/>
        <v/>
      </c>
      <c r="CP799" s="539" t="str">
        <f t="shared" si="2320"/>
        <v/>
      </c>
      <c r="CQ799" s="539">
        <f t="shared" si="2321"/>
        <v>3500</v>
      </c>
      <c r="CR799" s="539">
        <f t="shared" si="2322"/>
        <v>3500</v>
      </c>
      <c r="CS799" s="539">
        <f t="shared" si="2323"/>
        <v>4000</v>
      </c>
      <c r="CT799" s="540">
        <f t="shared" si="2324"/>
        <v>4500</v>
      </c>
      <c r="CU799" s="540">
        <f t="shared" si="2325"/>
        <v>4500</v>
      </c>
      <c r="CV799" s="540">
        <f t="shared" si="2326"/>
        <v>4500</v>
      </c>
      <c r="CW799" s="539">
        <f t="shared" si="2327"/>
        <v>5500</v>
      </c>
      <c r="CX799" s="539">
        <f t="shared" si="2328"/>
        <v>7000</v>
      </c>
      <c r="CY799" s="539">
        <f t="shared" si="2329"/>
        <v>7500</v>
      </c>
      <c r="CZ799" s="539">
        <f t="shared" si="2330"/>
        <v>9000</v>
      </c>
      <c r="DA799" s="539" t="str">
        <f t="shared" si="2331"/>
        <v/>
      </c>
      <c r="DB799" s="538" t="str">
        <f t="shared" si="2332"/>
        <v/>
      </c>
      <c r="DC799" s="537" t="str">
        <f t="shared" si="2333"/>
        <v/>
      </c>
      <c r="DD799" s="641">
        <f t="shared" si="2334"/>
        <v>10</v>
      </c>
      <c r="DE799" s="95">
        <f t="shared" si="2335"/>
        <v>10</v>
      </c>
      <c r="DF799" s="95">
        <f t="shared" si="2336"/>
        <v>10</v>
      </c>
      <c r="DG799" s="95">
        <f t="shared" si="2337"/>
        <v>10</v>
      </c>
      <c r="DH799" s="471"/>
      <c r="DI799" s="606"/>
      <c r="DJ799" s="588"/>
      <c r="DK799" s="589" t="s">
        <v>352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360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313"/>
        <v>388.57142857142856</v>
      </c>
      <c r="CA800" s="586">
        <f t="shared" si="2314"/>
        <v>304.375</v>
      </c>
      <c r="CB800" s="586">
        <f t="shared" si="2315"/>
        <v>348.75</v>
      </c>
      <c r="CC800" s="676">
        <f t="shared" si="2316"/>
        <v>510</v>
      </c>
      <c r="CD800" s="1316">
        <f t="shared" si="2338"/>
        <v>150</v>
      </c>
      <c r="CE800" s="1317">
        <f t="shared" si="2339"/>
        <v>200</v>
      </c>
      <c r="CF800" s="1317">
        <f t="shared" si="2339"/>
        <v>250</v>
      </c>
      <c r="CG800" s="1317">
        <f t="shared" si="2339"/>
        <v>250</v>
      </c>
      <c r="CH800" s="1318">
        <f t="shared" si="2339"/>
        <v>300</v>
      </c>
      <c r="CI800" s="1318">
        <f t="shared" si="2339"/>
        <v>300</v>
      </c>
      <c r="CJ800" s="1317">
        <f t="shared" si="2339"/>
        <v>450</v>
      </c>
      <c r="CK800" s="1317">
        <f t="shared" si="2339"/>
        <v>480</v>
      </c>
      <c r="CL800" s="1317">
        <f t="shared" si="2339"/>
        <v>560</v>
      </c>
      <c r="CM800" s="1316">
        <f t="shared" si="2339"/>
        <v>1200</v>
      </c>
      <c r="CN800" s="538" t="str">
        <f t="shared" si="2318"/>
        <v/>
      </c>
      <c r="CO800" s="539" t="str">
        <f t="shared" si="2319"/>
        <v/>
      </c>
      <c r="CP800" s="539" t="str">
        <f t="shared" si="2320"/>
        <v/>
      </c>
      <c r="CQ800" s="539">
        <f t="shared" si="2321"/>
        <v>150</v>
      </c>
      <c r="CR800" s="539">
        <f t="shared" si="2322"/>
        <v>300</v>
      </c>
      <c r="CS800" s="539">
        <f t="shared" si="2323"/>
        <v>300</v>
      </c>
      <c r="CT800" s="540">
        <f t="shared" si="2324"/>
        <v>480</v>
      </c>
      <c r="CU800" s="540">
        <f t="shared" si="2325"/>
        <v>500</v>
      </c>
      <c r="CV800" s="540">
        <f t="shared" si="2326"/>
        <v>500</v>
      </c>
      <c r="CW800" s="539">
        <f t="shared" si="2327"/>
        <v>500</v>
      </c>
      <c r="CX800" s="539">
        <f t="shared" si="2328"/>
        <v>500</v>
      </c>
      <c r="CY800" s="539">
        <f t="shared" si="2329"/>
        <v>1000</v>
      </c>
      <c r="CZ800" s="539">
        <f t="shared" si="2330"/>
        <v>5500</v>
      </c>
      <c r="DA800" s="539" t="str">
        <f t="shared" si="2331"/>
        <v/>
      </c>
      <c r="DB800" s="538" t="str">
        <f t="shared" si="2332"/>
        <v/>
      </c>
      <c r="DC800" s="537" t="str">
        <f t="shared" si="2333"/>
        <v/>
      </c>
      <c r="DD800" s="641">
        <f t="shared" si="2334"/>
        <v>9</v>
      </c>
      <c r="DE800" s="95">
        <f t="shared" si="2335"/>
        <v>10</v>
      </c>
      <c r="DF800" s="95">
        <f t="shared" si="2336"/>
        <v>10</v>
      </c>
      <c r="DG800" s="95">
        <f t="shared" si="2337"/>
        <v>10</v>
      </c>
      <c r="DH800" s="471"/>
      <c r="DI800" s="606"/>
      <c r="DJ800" s="588" t="s">
        <v>361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362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313"/>
        <v>4537.5</v>
      </c>
      <c r="CA801" s="586">
        <f t="shared" si="2314"/>
        <v>2681.25</v>
      </c>
      <c r="CB801" s="586">
        <f t="shared" si="2315"/>
        <v>2950</v>
      </c>
      <c r="CC801" s="676">
        <f t="shared" si="2316"/>
        <v>7562.5</v>
      </c>
      <c r="CD801" s="1316">
        <f t="shared" si="2338"/>
        <v>1350</v>
      </c>
      <c r="CE801" s="1317">
        <f t="shared" si="2339"/>
        <v>2000</v>
      </c>
      <c r="CF801" s="1317">
        <f t="shared" si="2339"/>
        <v>2000</v>
      </c>
      <c r="CG801" s="1317">
        <f t="shared" si="2339"/>
        <v>2250</v>
      </c>
      <c r="CH801" s="1318">
        <f t="shared" si="2339"/>
        <v>3000</v>
      </c>
      <c r="CI801" s="1318">
        <f t="shared" si="2339"/>
        <v>3150</v>
      </c>
      <c r="CJ801" s="1317">
        <f t="shared" si="2339"/>
        <v>3200</v>
      </c>
      <c r="CK801" s="1317">
        <f t="shared" si="2339"/>
        <v>3500</v>
      </c>
      <c r="CL801" s="1317">
        <f t="shared" si="2339"/>
        <v>4500</v>
      </c>
      <c r="CM801" s="1316">
        <f t="shared" si="2339"/>
        <v>4500</v>
      </c>
      <c r="CN801" s="538" t="str">
        <f t="shared" si="2318"/>
        <v/>
      </c>
      <c r="CO801" s="539" t="str">
        <f t="shared" si="2319"/>
        <v/>
      </c>
      <c r="CP801" s="539" t="str">
        <f t="shared" si="2320"/>
        <v/>
      </c>
      <c r="CQ801" s="539">
        <f t="shared" si="2321"/>
        <v>2000</v>
      </c>
      <c r="CR801" s="539">
        <f t="shared" si="2322"/>
        <v>5000</v>
      </c>
      <c r="CS801" s="539">
        <f t="shared" si="2323"/>
        <v>5000</v>
      </c>
      <c r="CT801" s="540">
        <f t="shared" si="2324"/>
        <v>5500</v>
      </c>
      <c r="CU801" s="540">
        <f t="shared" si="2325"/>
        <v>6500</v>
      </c>
      <c r="CV801" s="540">
        <f t="shared" si="2326"/>
        <v>8500</v>
      </c>
      <c r="CW801" s="539">
        <f t="shared" si="2327"/>
        <v>9000</v>
      </c>
      <c r="CX801" s="539">
        <f t="shared" si="2328"/>
        <v>10000</v>
      </c>
      <c r="CY801" s="539">
        <f t="shared" si="2329"/>
        <v>11000</v>
      </c>
      <c r="CZ801" s="539">
        <f t="shared" si="2330"/>
        <v>15000</v>
      </c>
      <c r="DA801" s="539" t="str">
        <f t="shared" si="2331"/>
        <v/>
      </c>
      <c r="DB801" s="538" t="str">
        <f t="shared" si="2332"/>
        <v/>
      </c>
      <c r="DC801" s="537" t="str">
        <f t="shared" si="2333"/>
        <v/>
      </c>
      <c r="DD801" s="641">
        <f t="shared" si="2334"/>
        <v>10</v>
      </c>
      <c r="DE801" s="95">
        <f t="shared" si="2335"/>
        <v>10</v>
      </c>
      <c r="DF801" s="95">
        <f t="shared" si="2336"/>
        <v>10</v>
      </c>
      <c r="DG801" s="95">
        <f t="shared" si="2337"/>
        <v>10</v>
      </c>
      <c r="DH801" s="471"/>
      <c r="DI801" s="606"/>
      <c r="DJ801" s="588"/>
      <c r="DK801" s="589" t="s">
        <v>352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363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313"/>
        <v>1350</v>
      </c>
      <c r="CA802" s="586">
        <f t="shared" si="2314"/>
        <v>569.25</v>
      </c>
      <c r="CB802" s="586">
        <f t="shared" si="2315"/>
        <v>1962.5</v>
      </c>
      <c r="CC802" s="676">
        <f t="shared" si="2316"/>
        <v>2537.5</v>
      </c>
      <c r="CD802" s="1316">
        <f t="shared" si="2338"/>
        <v>600</v>
      </c>
      <c r="CE802" s="1317">
        <f t="shared" si="2339"/>
        <v>600</v>
      </c>
      <c r="CF802" s="1317">
        <f t="shared" si="2339"/>
        <v>660</v>
      </c>
      <c r="CG802" s="1317">
        <f t="shared" si="2339"/>
        <v>1200</v>
      </c>
      <c r="CH802" s="1318">
        <f t="shared" si="2339"/>
        <v>2400</v>
      </c>
      <c r="CI802" s="1318">
        <f t="shared" si="2339"/>
        <v>2500</v>
      </c>
      <c r="CJ802" s="1317">
        <f t="shared" si="2339"/>
        <v>2640</v>
      </c>
      <c r="CK802" s="1317">
        <f t="shared" si="2339"/>
        <v>2700</v>
      </c>
      <c r="CL802" s="1317">
        <f t="shared" si="2339"/>
        <v>3000</v>
      </c>
      <c r="CM802" s="1316">
        <f t="shared" si="2339"/>
        <v>3600</v>
      </c>
      <c r="CN802" s="538" t="str">
        <f t="shared" si="2318"/>
        <v/>
      </c>
      <c r="CO802" s="539" t="str">
        <f t="shared" si="2319"/>
        <v/>
      </c>
      <c r="CP802" s="539" t="str">
        <f t="shared" si="2320"/>
        <v/>
      </c>
      <c r="CQ802" s="539">
        <f t="shared" si="2321"/>
        <v>1200</v>
      </c>
      <c r="CR802" s="539">
        <f t="shared" si="2322"/>
        <v>1200</v>
      </c>
      <c r="CS802" s="539">
        <f t="shared" si="2323"/>
        <v>2400</v>
      </c>
      <c r="CT802" s="540">
        <f t="shared" si="2324"/>
        <v>2500</v>
      </c>
      <c r="CU802" s="540">
        <f t="shared" si="2325"/>
        <v>2500</v>
      </c>
      <c r="CV802" s="540">
        <f t="shared" si="2326"/>
        <v>2700</v>
      </c>
      <c r="CW802" s="539">
        <f t="shared" si="2327"/>
        <v>3000</v>
      </c>
      <c r="CX802" s="539">
        <f t="shared" si="2328"/>
        <v>3000</v>
      </c>
      <c r="CY802" s="539">
        <f t="shared" si="2329"/>
        <v>3000</v>
      </c>
      <c r="CZ802" s="539">
        <f t="shared" si="2330"/>
        <v>4500</v>
      </c>
      <c r="DA802" s="539" t="str">
        <f t="shared" si="2331"/>
        <v/>
      </c>
      <c r="DB802" s="538" t="str">
        <f t="shared" si="2332"/>
        <v/>
      </c>
      <c r="DC802" s="537" t="str">
        <f t="shared" si="2333"/>
        <v/>
      </c>
      <c r="DD802" s="641">
        <f t="shared" si="2334"/>
        <v>10</v>
      </c>
      <c r="DE802" s="95">
        <f t="shared" si="2335"/>
        <v>10</v>
      </c>
      <c r="DF802" s="95">
        <f t="shared" si="2336"/>
        <v>10</v>
      </c>
      <c r="DG802" s="95">
        <f t="shared" si="2337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364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313"/>
        <v>5189.5</v>
      </c>
      <c r="CA803" s="586">
        <f t="shared" si="2314"/>
        <v>3312.5</v>
      </c>
      <c r="CB803" s="586">
        <f t="shared" si="2315"/>
        <v>2785</v>
      </c>
      <c r="CC803" s="676">
        <f t="shared" si="2316"/>
        <v>8100</v>
      </c>
      <c r="CD803" s="1316">
        <f t="shared" si="2338"/>
        <v>600</v>
      </c>
      <c r="CE803" s="1317">
        <f t="shared" si="2339"/>
        <v>600</v>
      </c>
      <c r="CF803" s="1317">
        <f t="shared" si="2339"/>
        <v>2160</v>
      </c>
      <c r="CG803" s="1317">
        <f t="shared" si="2339"/>
        <v>2520</v>
      </c>
      <c r="CH803" s="1318">
        <f t="shared" si="2339"/>
        <v>2600</v>
      </c>
      <c r="CI803" s="1318">
        <f t="shared" si="2339"/>
        <v>2880</v>
      </c>
      <c r="CJ803" s="1317">
        <f t="shared" si="2339"/>
        <v>3360</v>
      </c>
      <c r="CK803" s="1317">
        <f t="shared" si="2339"/>
        <v>3360</v>
      </c>
      <c r="CL803" s="1317">
        <f t="shared" si="2339"/>
        <v>4800</v>
      </c>
      <c r="CM803" s="1316">
        <f t="shared" si="2339"/>
        <v>5400</v>
      </c>
      <c r="CN803" s="538" t="str">
        <f t="shared" si="2318"/>
        <v/>
      </c>
      <c r="CO803" s="539" t="str">
        <f t="shared" si="2319"/>
        <v/>
      </c>
      <c r="CP803" s="539" t="str">
        <f t="shared" si="2320"/>
        <v/>
      </c>
      <c r="CQ803" s="539">
        <f t="shared" si="2321"/>
        <v>4000</v>
      </c>
      <c r="CR803" s="539">
        <f t="shared" si="2322"/>
        <v>5000</v>
      </c>
      <c r="CS803" s="539">
        <f t="shared" si="2323"/>
        <v>7000</v>
      </c>
      <c r="CT803" s="540">
        <f t="shared" si="2324"/>
        <v>7500</v>
      </c>
      <c r="CU803" s="540">
        <f t="shared" si="2325"/>
        <v>8000</v>
      </c>
      <c r="CV803" s="540">
        <f t="shared" si="2326"/>
        <v>8500</v>
      </c>
      <c r="CW803" s="539">
        <f t="shared" si="2327"/>
        <v>9500</v>
      </c>
      <c r="CX803" s="539">
        <f t="shared" si="2328"/>
        <v>9500</v>
      </c>
      <c r="CY803" s="539">
        <f t="shared" si="2329"/>
        <v>9800</v>
      </c>
      <c r="CZ803" s="539">
        <f t="shared" si="2330"/>
        <v>10000</v>
      </c>
      <c r="DA803" s="539" t="str">
        <f t="shared" si="2331"/>
        <v/>
      </c>
      <c r="DB803" s="538" t="str">
        <f t="shared" si="2332"/>
        <v/>
      </c>
      <c r="DC803" s="537" t="str">
        <f t="shared" si="2333"/>
        <v/>
      </c>
      <c r="DD803" s="641">
        <f t="shared" si="2334"/>
        <v>10</v>
      </c>
      <c r="DE803" s="95">
        <f t="shared" si="2335"/>
        <v>10</v>
      </c>
      <c r="DF803" s="95">
        <f t="shared" si="2336"/>
        <v>10</v>
      </c>
      <c r="DG803" s="95">
        <f t="shared" si="2337"/>
        <v>10</v>
      </c>
      <c r="DH803" s="471"/>
      <c r="DI803" s="606"/>
      <c r="DJ803" s="588" t="s">
        <v>365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366</v>
      </c>
      <c r="DQ803" s="472"/>
    </row>
    <row r="804" spans="1:121" s="474" customFormat="1" ht="15.75" customHeight="1">
      <c r="A804" s="772" t="s">
        <v>367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313"/>
        <v>959.75</v>
      </c>
      <c r="CA804" s="586">
        <f t="shared" si="2314"/>
        <v>1246.25</v>
      </c>
      <c r="CB804" s="586">
        <f t="shared" si="2315"/>
        <v>2157.5</v>
      </c>
      <c r="CC804" s="676">
        <f t="shared" si="2316"/>
        <v>1378.75</v>
      </c>
      <c r="CD804" s="1316">
        <f t="shared" si="2338"/>
        <v>50</v>
      </c>
      <c r="CE804" s="1317">
        <f t="shared" ref="CE804:CM810" si="234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317">
        <f t="shared" si="2346"/>
        <v>1200</v>
      </c>
      <c r="CG804" s="1317">
        <f t="shared" si="2346"/>
        <v>1320</v>
      </c>
      <c r="CH804" s="1318">
        <f t="shared" si="2346"/>
        <v>2400</v>
      </c>
      <c r="CI804" s="1318">
        <f t="shared" si="2346"/>
        <v>2500</v>
      </c>
      <c r="CJ804" s="1317">
        <f t="shared" si="2346"/>
        <v>2640</v>
      </c>
      <c r="CK804" s="1317">
        <f t="shared" si="2346"/>
        <v>3000</v>
      </c>
      <c r="CL804" s="1317">
        <f t="shared" si="2346"/>
        <v>3600</v>
      </c>
      <c r="CM804" s="1316">
        <f t="shared" si="2346"/>
        <v>3600</v>
      </c>
      <c r="CN804" s="538" t="str">
        <f t="shared" si="2318"/>
        <v/>
      </c>
      <c r="CO804" s="539" t="str">
        <f t="shared" si="2319"/>
        <v/>
      </c>
      <c r="CP804" s="539" t="str">
        <f t="shared" si="2320"/>
        <v/>
      </c>
      <c r="CQ804" s="539">
        <f t="shared" si="2321"/>
        <v>1200</v>
      </c>
      <c r="CR804" s="539">
        <f t="shared" si="2322"/>
        <v>1200</v>
      </c>
      <c r="CS804" s="539">
        <f t="shared" si="2323"/>
        <v>1230</v>
      </c>
      <c r="CT804" s="540">
        <f t="shared" si="2324"/>
        <v>1250</v>
      </c>
      <c r="CU804" s="540">
        <f t="shared" si="2325"/>
        <v>1250</v>
      </c>
      <c r="CV804" s="540">
        <f t="shared" si="2326"/>
        <v>1350</v>
      </c>
      <c r="CW804" s="539">
        <f t="shared" si="2327"/>
        <v>1450</v>
      </c>
      <c r="CX804" s="539">
        <f t="shared" si="2328"/>
        <v>1500</v>
      </c>
      <c r="CY804" s="539">
        <f t="shared" si="2329"/>
        <v>1800</v>
      </c>
      <c r="CZ804" s="539">
        <f t="shared" si="2330"/>
        <v>1800</v>
      </c>
      <c r="DA804" s="539" t="str">
        <f t="shared" si="2331"/>
        <v/>
      </c>
      <c r="DB804" s="538" t="str">
        <f t="shared" si="2332"/>
        <v/>
      </c>
      <c r="DC804" s="537" t="str">
        <f t="shared" si="2333"/>
        <v/>
      </c>
      <c r="DD804" s="641">
        <f t="shared" si="2334"/>
        <v>10</v>
      </c>
      <c r="DE804" s="95">
        <f t="shared" si="2335"/>
        <v>10</v>
      </c>
      <c r="DF804" s="95">
        <f t="shared" si="2336"/>
        <v>10</v>
      </c>
      <c r="DG804" s="95">
        <f t="shared" si="2337"/>
        <v>10</v>
      </c>
      <c r="DH804" s="471"/>
      <c r="DI804" s="606"/>
      <c r="DJ804" s="588" t="s">
        <v>368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369</v>
      </c>
      <c r="DQ804" s="472"/>
    </row>
    <row r="805" spans="1:121" s="474" customFormat="1" ht="15.75" customHeight="1">
      <c r="A805" s="772" t="s">
        <v>370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313"/>
        <v>825</v>
      </c>
      <c r="CA805" s="586">
        <f t="shared" si="2314"/>
        <v>785</v>
      </c>
      <c r="CB805" s="586">
        <f t="shared" si="2315"/>
        <v>510</v>
      </c>
      <c r="CC805" s="676">
        <f t="shared" si="2316"/>
        <v>1212.5</v>
      </c>
      <c r="CD805" s="1316">
        <f t="shared" si="2338"/>
        <v>0</v>
      </c>
      <c r="CE805" s="1317">
        <f t="shared" si="2346"/>
        <v>150</v>
      </c>
      <c r="CF805" s="1317">
        <f t="shared" si="2346"/>
        <v>500</v>
      </c>
      <c r="CG805" s="1317">
        <f t="shared" si="2346"/>
        <v>500</v>
      </c>
      <c r="CH805" s="1318">
        <f t="shared" si="2346"/>
        <v>500</v>
      </c>
      <c r="CI805" s="1318">
        <f t="shared" si="2346"/>
        <v>500</v>
      </c>
      <c r="CJ805" s="1317">
        <f t="shared" si="2346"/>
        <v>550</v>
      </c>
      <c r="CK805" s="1317">
        <f t="shared" si="2346"/>
        <v>600</v>
      </c>
      <c r="CL805" s="1317">
        <f t="shared" si="2346"/>
        <v>780</v>
      </c>
      <c r="CM805" s="1316">
        <f t="shared" si="2346"/>
        <v>1200</v>
      </c>
      <c r="CN805" s="538" t="str">
        <f t="shared" si="2318"/>
        <v/>
      </c>
      <c r="CO805" s="539" t="str">
        <f t="shared" si="2319"/>
        <v/>
      </c>
      <c r="CP805" s="539" t="str">
        <f t="shared" si="2320"/>
        <v/>
      </c>
      <c r="CQ805" s="539">
        <f t="shared" si="2321"/>
        <v>890</v>
      </c>
      <c r="CR805" s="539">
        <f t="shared" si="2322"/>
        <v>1000</v>
      </c>
      <c r="CS805" s="539">
        <f t="shared" si="2323"/>
        <v>1000</v>
      </c>
      <c r="CT805" s="540">
        <f t="shared" si="2324"/>
        <v>1000</v>
      </c>
      <c r="CU805" s="540">
        <f t="shared" si="2325"/>
        <v>1000</v>
      </c>
      <c r="CV805" s="540">
        <f t="shared" si="2326"/>
        <v>1200</v>
      </c>
      <c r="CW805" s="539">
        <f t="shared" si="2327"/>
        <v>1200</v>
      </c>
      <c r="CX805" s="539">
        <f t="shared" si="2328"/>
        <v>1500</v>
      </c>
      <c r="CY805" s="539">
        <f t="shared" si="2329"/>
        <v>1800</v>
      </c>
      <c r="CZ805" s="539">
        <f t="shared" si="2330"/>
        <v>1800</v>
      </c>
      <c r="DA805" s="539" t="str">
        <f t="shared" si="2331"/>
        <v/>
      </c>
      <c r="DB805" s="538" t="str">
        <f t="shared" si="2332"/>
        <v/>
      </c>
      <c r="DC805" s="537" t="str">
        <f t="shared" si="2333"/>
        <v/>
      </c>
      <c r="DD805" s="641">
        <f t="shared" si="2334"/>
        <v>6</v>
      </c>
      <c r="DE805" s="95">
        <f t="shared" si="2335"/>
        <v>6</v>
      </c>
      <c r="DF805" s="95">
        <f t="shared" si="2336"/>
        <v>10</v>
      </c>
      <c r="DG805" s="95">
        <f t="shared" si="2337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371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313"/>
        <v>50</v>
      </c>
      <c r="CA806" s="586">
        <f t="shared" si="2314"/>
        <v>50</v>
      </c>
      <c r="CB806" s="586">
        <f t="shared" si="2315"/>
        <v>16.666666666666668</v>
      </c>
      <c r="CC806" s="676">
        <f t="shared" si="2316"/>
        <v>52.5</v>
      </c>
      <c r="CD806" s="1316" t="str">
        <f t="shared" si="2338"/>
        <v/>
      </c>
      <c r="CE806" s="1317" t="str">
        <f t="shared" si="2346"/>
        <v/>
      </c>
      <c r="CF806" s="1317">
        <f t="shared" si="2346"/>
        <v>0</v>
      </c>
      <c r="CG806" s="1317">
        <f t="shared" si="2346"/>
        <v>0</v>
      </c>
      <c r="CH806" s="1318">
        <f t="shared" si="2346"/>
        <v>0</v>
      </c>
      <c r="CI806" s="1318">
        <f t="shared" si="2346"/>
        <v>50</v>
      </c>
      <c r="CJ806" s="1317">
        <f t="shared" si="2346"/>
        <v>50</v>
      </c>
      <c r="CK806" s="1317" t="str">
        <f t="shared" si="2346"/>
        <v/>
      </c>
      <c r="CL806" s="1317" t="str">
        <f t="shared" si="2346"/>
        <v/>
      </c>
      <c r="CM806" s="1316" t="str">
        <f t="shared" si="2346"/>
        <v/>
      </c>
      <c r="CN806" s="538" t="str">
        <f t="shared" si="2318"/>
        <v/>
      </c>
      <c r="CO806" s="539" t="str">
        <f t="shared" si="2319"/>
        <v/>
      </c>
      <c r="CP806" s="539" t="str">
        <f t="shared" si="2320"/>
        <v/>
      </c>
      <c r="CQ806" s="539">
        <f t="shared" si="2321"/>
        <v>2</v>
      </c>
      <c r="CR806" s="539">
        <f t="shared" si="2322"/>
        <v>50</v>
      </c>
      <c r="CS806" s="539">
        <f t="shared" si="2323"/>
        <v>50</v>
      </c>
      <c r="CT806" s="540">
        <f t="shared" si="2324"/>
        <v>50</v>
      </c>
      <c r="CU806" s="540">
        <f t="shared" si="2325"/>
        <v>50</v>
      </c>
      <c r="CV806" s="540">
        <f t="shared" si="2326"/>
        <v>50</v>
      </c>
      <c r="CW806" s="539">
        <f t="shared" si="2327"/>
        <v>50</v>
      </c>
      <c r="CX806" s="539">
        <f t="shared" si="2328"/>
        <v>60</v>
      </c>
      <c r="CY806" s="539">
        <f t="shared" si="2329"/>
        <v>60</v>
      </c>
      <c r="CZ806" s="539">
        <f t="shared" si="2330"/>
        <v>70</v>
      </c>
      <c r="DA806" s="539" t="str">
        <f t="shared" si="2331"/>
        <v/>
      </c>
      <c r="DB806" s="538" t="str">
        <f t="shared" si="2332"/>
        <v/>
      </c>
      <c r="DC806" s="537" t="str">
        <f t="shared" si="2333"/>
        <v/>
      </c>
      <c r="DD806" s="641">
        <f t="shared" si="2334"/>
        <v>7</v>
      </c>
      <c r="DE806" s="95">
        <f t="shared" si="2335"/>
        <v>4</v>
      </c>
      <c r="DF806" s="95">
        <f t="shared" si="2336"/>
        <v>5</v>
      </c>
      <c r="DG806" s="95">
        <f t="shared" si="2337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75" t="s">
        <v>711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16"/>
      <c r="CE807" s="1317"/>
      <c r="CF807" s="1317"/>
      <c r="CG807" s="1317"/>
      <c r="CH807" s="1318"/>
      <c r="CI807" s="1318"/>
      <c r="CJ807" s="1317"/>
      <c r="CK807" s="1317"/>
      <c r="CL807" s="1317"/>
      <c r="CM807" s="1316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75" t="s">
        <v>712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16"/>
      <c r="CE808" s="1317"/>
      <c r="CF808" s="1317"/>
      <c r="CG808" s="1317"/>
      <c r="CH808" s="1318"/>
      <c r="CI808" s="1318"/>
      <c r="CJ808" s="1317"/>
      <c r="CK808" s="1317"/>
      <c r="CL808" s="1317"/>
      <c r="CM808" s="1316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372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16">
        <f t="shared" si="2338"/>
        <v>1000</v>
      </c>
      <c r="CE809" s="1317">
        <f t="shared" si="2346"/>
        <v>1000</v>
      </c>
      <c r="CF809" s="1317">
        <f t="shared" si="2346"/>
        <v>1350</v>
      </c>
      <c r="CG809" s="1317">
        <f t="shared" si="2346"/>
        <v>1400</v>
      </c>
      <c r="CH809" s="1318">
        <f t="shared" si="2346"/>
        <v>1450</v>
      </c>
      <c r="CI809" s="1318">
        <f t="shared" si="2346"/>
        <v>1450</v>
      </c>
      <c r="CJ809" s="1317">
        <f t="shared" si="2346"/>
        <v>1500</v>
      </c>
      <c r="CK809" s="1317">
        <f t="shared" si="2346"/>
        <v>1500</v>
      </c>
      <c r="CL809" s="1317">
        <f t="shared" si="2346"/>
        <v>1500</v>
      </c>
      <c r="CM809" s="1316">
        <f t="shared" si="2346"/>
        <v>1750</v>
      </c>
      <c r="CN809" s="538" t="str">
        <f t="shared" si="2318"/>
        <v/>
      </c>
      <c r="CO809" s="539" t="str">
        <f t="shared" si="2319"/>
        <v/>
      </c>
      <c r="CP809" s="539" t="str">
        <f t="shared" si="2320"/>
        <v/>
      </c>
      <c r="CQ809" s="539">
        <f t="shared" si="2321"/>
        <v>1000</v>
      </c>
      <c r="CR809" s="539">
        <f t="shared" si="2322"/>
        <v>1200</v>
      </c>
      <c r="CS809" s="539">
        <f t="shared" si="2323"/>
        <v>1350</v>
      </c>
      <c r="CT809" s="540">
        <f t="shared" si="2324"/>
        <v>1450</v>
      </c>
      <c r="CU809" s="540">
        <f t="shared" si="2325"/>
        <v>1500</v>
      </c>
      <c r="CV809" s="540">
        <f t="shared" si="2326"/>
        <v>1500</v>
      </c>
      <c r="CW809" s="539">
        <f t="shared" si="2327"/>
        <v>1500</v>
      </c>
      <c r="CX809" s="539">
        <f t="shared" si="2328"/>
        <v>1650</v>
      </c>
      <c r="CY809" s="539">
        <f t="shared" si="2329"/>
        <v>2000</v>
      </c>
      <c r="CZ809" s="539">
        <f t="shared" si="2330"/>
        <v>5000</v>
      </c>
      <c r="DA809" s="539" t="str">
        <f t="shared" si="2331"/>
        <v/>
      </c>
      <c r="DB809" s="538" t="str">
        <f t="shared" si="2332"/>
        <v/>
      </c>
      <c r="DC809" s="537" t="str">
        <f t="shared" si="2333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373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16">
        <f t="shared" si="2338"/>
        <v>1000</v>
      </c>
      <c r="CE810" s="1317">
        <f t="shared" si="2346"/>
        <v>2500</v>
      </c>
      <c r="CF810" s="1317">
        <f t="shared" si="2346"/>
        <v>2700</v>
      </c>
      <c r="CG810" s="1317">
        <f t="shared" si="2346"/>
        <v>5000</v>
      </c>
      <c r="CH810" s="1318">
        <f t="shared" si="2346"/>
        <v>8000</v>
      </c>
      <c r="CI810" s="1318">
        <f t="shared" si="2346"/>
        <v>9000</v>
      </c>
      <c r="CJ810" s="1317">
        <f t="shared" si="2346"/>
        <v>9000</v>
      </c>
      <c r="CK810" s="1317">
        <f t="shared" si="2346"/>
        <v>9500</v>
      </c>
      <c r="CL810" s="1317">
        <f t="shared" si="2346"/>
        <v>12000</v>
      </c>
      <c r="CM810" s="1316" t="str">
        <f t="shared" si="2346"/>
        <v/>
      </c>
      <c r="CN810" s="538" t="str">
        <f t="shared" si="2318"/>
        <v/>
      </c>
      <c r="CO810" s="539" t="str">
        <f t="shared" si="2319"/>
        <v/>
      </c>
      <c r="CP810" s="539" t="str">
        <f t="shared" si="2320"/>
        <v/>
      </c>
      <c r="CQ810" s="539">
        <f t="shared" si="2321"/>
        <v>1500</v>
      </c>
      <c r="CR810" s="539">
        <f t="shared" si="2322"/>
        <v>2000</v>
      </c>
      <c r="CS810" s="539">
        <f t="shared" si="2323"/>
        <v>2000</v>
      </c>
      <c r="CT810" s="540">
        <f t="shared" si="2324"/>
        <v>2500</v>
      </c>
      <c r="CU810" s="540">
        <f t="shared" si="2325"/>
        <v>2500</v>
      </c>
      <c r="CV810" s="540">
        <f t="shared" si="2326"/>
        <v>3000</v>
      </c>
      <c r="CW810" s="539">
        <f t="shared" si="2327"/>
        <v>3000</v>
      </c>
      <c r="CX810" s="539">
        <f t="shared" si="2328"/>
        <v>3000</v>
      </c>
      <c r="CY810" s="539">
        <f t="shared" si="2329"/>
        <v>3500</v>
      </c>
      <c r="CZ810" s="539">
        <f t="shared" si="2330"/>
        <v>4000</v>
      </c>
      <c r="DA810" s="539" t="str">
        <f t="shared" si="2331"/>
        <v/>
      </c>
      <c r="DB810" s="538" t="str">
        <f t="shared" si="2332"/>
        <v/>
      </c>
      <c r="DC810" s="537" t="str">
        <f t="shared" si="2333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374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2"/>
      <c r="U811" s="1422"/>
      <c r="V811" s="1422"/>
      <c r="W811" s="1422"/>
      <c r="X811" s="1422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-655</v>
      </c>
      <c r="BY811" s="781">
        <f>BY20-BY31</f>
        <v>728</v>
      </c>
      <c r="BZ811" s="578"/>
      <c r="CA811" s="578"/>
      <c r="CB811" s="578"/>
      <c r="CC811" s="675"/>
      <c r="CD811" s="1328"/>
      <c r="CE811" s="1328"/>
      <c r="CF811" s="1328"/>
      <c r="CG811" s="1328"/>
      <c r="CH811" s="1328"/>
      <c r="CI811" s="1328"/>
      <c r="CJ811" s="1328"/>
      <c r="CK811" s="1328"/>
      <c r="CL811" s="1328"/>
      <c r="CM811" s="1328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375</v>
      </c>
      <c r="B812" s="782">
        <f t="shared" ref="B812:K812" si="2347">SUM(B772:B776,B781:B785,B790:B811)</f>
        <v>10838</v>
      </c>
      <c r="C812" s="782">
        <f t="shared" si="2347"/>
        <v>21817</v>
      </c>
      <c r="D812" s="782">
        <f t="shared" si="2347"/>
        <v>30222</v>
      </c>
      <c r="E812" s="782">
        <f t="shared" si="2347"/>
        <v>28034</v>
      </c>
      <c r="F812" s="782">
        <f t="shared" si="2347"/>
        <v>20180</v>
      </c>
      <c r="G812" s="782">
        <f t="shared" si="2347"/>
        <v>20526</v>
      </c>
      <c r="H812" s="782">
        <f t="shared" si="2347"/>
        <v>24170</v>
      </c>
      <c r="I812" s="782">
        <f t="shared" si="2347"/>
        <v>8482</v>
      </c>
      <c r="J812" s="782">
        <f t="shared" si="2347"/>
        <v>28348</v>
      </c>
      <c r="K812" s="782">
        <f t="shared" si="2347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48">SUM(T772:T776,T781:T785,T790:T811)</f>
        <v>13939</v>
      </c>
      <c r="U812" s="782">
        <f t="shared" si="2348"/>
        <v>7518</v>
      </c>
      <c r="V812" s="782">
        <f t="shared" si="2348"/>
        <v>10412</v>
      </c>
      <c r="W812" s="782">
        <f t="shared" si="2348"/>
        <v>11169</v>
      </c>
      <c r="X812" s="782">
        <f t="shared" si="2348"/>
        <v>16098</v>
      </c>
      <c r="Y812" s="782">
        <f t="shared" si="2348"/>
        <v>23804</v>
      </c>
      <c r="Z812" s="782">
        <f t="shared" si="2348"/>
        <v>22772</v>
      </c>
      <c r="AA812" s="782">
        <f t="shared" si="2348"/>
        <v>12026</v>
      </c>
      <c r="AB812" s="782">
        <f t="shared" si="2348"/>
        <v>15575</v>
      </c>
      <c r="AC812" s="782">
        <f t="shared" si="2348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49">SUM(AL772:AL776,AL781:AL785,AL790:AL811)</f>
        <v>24764</v>
      </c>
      <c r="AM812" s="782">
        <f t="shared" si="2349"/>
        <v>28928</v>
      </c>
      <c r="AN812" s="782">
        <f t="shared" si="2349"/>
        <v>28020</v>
      </c>
      <c r="AO812" s="782">
        <f t="shared" si="2349"/>
        <v>38442</v>
      </c>
      <c r="AP812" s="782">
        <f t="shared" si="2349"/>
        <v>25548</v>
      </c>
      <c r="AQ812" s="782">
        <f t="shared" si="2349"/>
        <v>32450</v>
      </c>
      <c r="AR812" s="782">
        <f t="shared" si="2349"/>
        <v>29760</v>
      </c>
      <c r="AS812" s="782">
        <f t="shared" si="2349"/>
        <v>17654</v>
      </c>
      <c r="AT812" s="782">
        <f t="shared" si="2349"/>
        <v>11185</v>
      </c>
      <c r="AU812" s="782">
        <f t="shared" si="2349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50">SUM(BD772:BD776,BD781:BD785,BD790:BD811)</f>
        <v>55926</v>
      </c>
      <c r="BE812" s="782">
        <f t="shared" si="2350"/>
        <v>31906</v>
      </c>
      <c r="BF812" s="782">
        <f t="shared" si="2350"/>
        <v>50716</v>
      </c>
      <c r="BG812" s="782">
        <f t="shared" si="2350"/>
        <v>28680</v>
      </c>
      <c r="BH812" s="782">
        <f t="shared" si="2350"/>
        <v>35877</v>
      </c>
      <c r="BI812" s="782">
        <f t="shared" si="2350"/>
        <v>31248</v>
      </c>
      <c r="BJ812" s="782">
        <f t="shared" si="2350"/>
        <v>36104</v>
      </c>
      <c r="BK812" s="782">
        <f t="shared" si="2350"/>
        <v>26620</v>
      </c>
      <c r="BL812" s="782">
        <f t="shared" si="2350"/>
        <v>44500</v>
      </c>
      <c r="BM812" s="782">
        <f t="shared" si="2350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1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317">
        <f t="shared" ref="CE812:CM812" si="235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317">
        <f t="shared" si="2351"/>
        <v>17654</v>
      </c>
      <c r="CG812" s="1317">
        <f t="shared" si="2351"/>
        <v>24764</v>
      </c>
      <c r="CH812" s="1318">
        <f t="shared" si="2351"/>
        <v>25548</v>
      </c>
      <c r="CI812" s="1318">
        <f t="shared" si="2351"/>
        <v>28020</v>
      </c>
      <c r="CJ812" s="1317">
        <f t="shared" si="2351"/>
        <v>28928</v>
      </c>
      <c r="CK812" s="1317">
        <f t="shared" si="2351"/>
        <v>29760</v>
      </c>
      <c r="CL812" s="1317">
        <f t="shared" si="2351"/>
        <v>32450</v>
      </c>
      <c r="CM812" s="1316">
        <f t="shared" si="2351"/>
        <v>38442</v>
      </c>
      <c r="CN812" s="538" t="str">
        <f t="shared" ref="CN812:DC812" si="235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52"/>
        <v/>
      </c>
      <c r="CP812" s="539" t="str">
        <f t="shared" si="2352"/>
        <v/>
      </c>
      <c r="CQ812" s="539">
        <f t="shared" si="2352"/>
        <v>26620</v>
      </c>
      <c r="CR812" s="539">
        <f t="shared" si="2352"/>
        <v>28680</v>
      </c>
      <c r="CS812" s="539">
        <f t="shared" si="2352"/>
        <v>31248</v>
      </c>
      <c r="CT812" s="540">
        <f t="shared" si="2352"/>
        <v>31906</v>
      </c>
      <c r="CU812" s="540">
        <f t="shared" si="2352"/>
        <v>35877</v>
      </c>
      <c r="CV812" s="540">
        <f t="shared" si="2352"/>
        <v>36104</v>
      </c>
      <c r="CW812" s="539">
        <f t="shared" si="2352"/>
        <v>44500</v>
      </c>
      <c r="CX812" s="539">
        <f t="shared" si="2352"/>
        <v>48322</v>
      </c>
      <c r="CY812" s="539">
        <f t="shared" si="2352"/>
        <v>50716</v>
      </c>
      <c r="CZ812" s="539">
        <f t="shared" si="2352"/>
        <v>55926</v>
      </c>
      <c r="DA812" s="539" t="str">
        <f t="shared" si="2352"/>
        <v/>
      </c>
      <c r="DB812" s="538" t="str">
        <f t="shared" si="2352"/>
        <v/>
      </c>
      <c r="DC812" s="537" t="str">
        <f t="shared" si="2352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376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0"/>
      <c r="CE813" s="1340"/>
      <c r="CF813" s="1340"/>
      <c r="CG813" s="1340"/>
      <c r="CH813" s="1340"/>
      <c r="CI813" s="1340"/>
      <c r="CJ813" s="1340"/>
      <c r="CK813" s="1340"/>
      <c r="CL813" s="1340"/>
      <c r="CM813" s="1340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0"/>
      <c r="CE814" s="1340"/>
      <c r="CF814" s="1340"/>
      <c r="CG814" s="1340"/>
      <c r="CH814" s="1340"/>
      <c r="CI814" s="1340"/>
      <c r="CJ814" s="1340"/>
      <c r="CK814" s="1340"/>
      <c r="CL814" s="1340"/>
      <c r="CM814" s="1340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0"/>
      <c r="CE815" s="1340"/>
      <c r="CF815" s="1340"/>
      <c r="CG815" s="1340"/>
      <c r="CH815" s="1340"/>
      <c r="CI815" s="1340"/>
      <c r="CJ815" s="1340"/>
      <c r="CK815" s="1340"/>
      <c r="CL815" s="1340"/>
      <c r="CM815" s="1340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0"/>
      <c r="CE816" s="1340"/>
      <c r="CF816" s="1340"/>
      <c r="CG816" s="1340"/>
      <c r="CH816" s="1340"/>
      <c r="CI816" s="1340"/>
      <c r="CJ816" s="1340"/>
      <c r="CK816" s="1340"/>
      <c r="CL816" s="1340"/>
      <c r="CM816" s="1340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0"/>
      <c r="CE817" s="1340"/>
      <c r="CF817" s="1340"/>
      <c r="CG817" s="1340"/>
      <c r="CH817" s="1340"/>
      <c r="CI817" s="1340"/>
      <c r="CJ817" s="1340"/>
      <c r="CK817" s="1340"/>
      <c r="CL817" s="1340"/>
      <c r="CM817" s="1340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377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0"/>
      <c r="CE818" s="1340"/>
      <c r="CF818" s="1340"/>
      <c r="CG818" s="1340"/>
      <c r="CH818" s="1340"/>
      <c r="CI818" s="1340"/>
      <c r="CJ818" s="1340"/>
      <c r="CK818" s="1340"/>
      <c r="CL818" s="1340"/>
      <c r="CM818" s="1340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0"/>
      <c r="CE819" s="1340"/>
      <c r="CF819" s="1340"/>
      <c r="CG819" s="1340"/>
      <c r="CH819" s="1340"/>
      <c r="CI819" s="1340"/>
      <c r="CJ819" s="1340"/>
      <c r="CK819" s="1340"/>
      <c r="CL819" s="1340"/>
      <c r="CM819" s="1340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378</v>
      </c>
      <c r="B820" s="788">
        <f t="shared" ref="B820:K820" si="2353">SUM(B89)</f>
        <v>0</v>
      </c>
      <c r="C820" s="788">
        <f t="shared" si="2353"/>
        <v>0</v>
      </c>
      <c r="D820" s="788">
        <f t="shared" si="2353"/>
        <v>0</v>
      </c>
      <c r="E820" s="788">
        <f t="shared" si="2353"/>
        <v>0</v>
      </c>
      <c r="F820" s="788">
        <f t="shared" si="2353"/>
        <v>0</v>
      </c>
      <c r="G820" s="788">
        <f t="shared" si="2353"/>
        <v>0</v>
      </c>
      <c r="H820" s="788">
        <f t="shared" si="2353"/>
        <v>0</v>
      </c>
      <c r="I820" s="788">
        <f t="shared" si="2353"/>
        <v>0</v>
      </c>
      <c r="J820" s="788">
        <f t="shared" si="2353"/>
        <v>0</v>
      </c>
      <c r="K820" s="788">
        <f t="shared" si="2353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54">SUM(T89)</f>
        <v>0</v>
      </c>
      <c r="U820" s="788">
        <f t="shared" si="2354"/>
        <v>0</v>
      </c>
      <c r="V820" s="788">
        <f t="shared" si="2354"/>
        <v>0</v>
      </c>
      <c r="W820" s="788">
        <f t="shared" si="2354"/>
        <v>0</v>
      </c>
      <c r="X820" s="788">
        <f t="shared" si="2354"/>
        <v>0</v>
      </c>
      <c r="Y820" s="788">
        <f t="shared" si="2354"/>
        <v>0</v>
      </c>
      <c r="Z820" s="788">
        <f t="shared" si="2354"/>
        <v>0</v>
      </c>
      <c r="AA820" s="788">
        <f t="shared" si="2354"/>
        <v>0</v>
      </c>
      <c r="AB820" s="788">
        <f t="shared" si="2354"/>
        <v>0</v>
      </c>
      <c r="AC820" s="788">
        <f t="shared" si="2354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55">SUM(AL89)</f>
        <v>0</v>
      </c>
      <c r="AM820" s="788">
        <f t="shared" si="2355"/>
        <v>0</v>
      </c>
      <c r="AN820" s="788">
        <f t="shared" si="2355"/>
        <v>0</v>
      </c>
      <c r="AO820" s="788">
        <f t="shared" si="2355"/>
        <v>0</v>
      </c>
      <c r="AP820" s="788">
        <f t="shared" si="2355"/>
        <v>0</v>
      </c>
      <c r="AQ820" s="788">
        <f t="shared" si="2355"/>
        <v>0</v>
      </c>
      <c r="AR820" s="788">
        <f t="shared" si="2355"/>
        <v>0</v>
      </c>
      <c r="AS820" s="788">
        <f t="shared" si="2355"/>
        <v>0</v>
      </c>
      <c r="AT820" s="788">
        <f t="shared" si="2355"/>
        <v>0</v>
      </c>
      <c r="AU820" s="788">
        <f t="shared" si="2355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56">SUM(BD89)</f>
        <v>0</v>
      </c>
      <c r="BE820" s="788">
        <f t="shared" si="2356"/>
        <v>0</v>
      </c>
      <c r="BF820" s="788">
        <f t="shared" si="2356"/>
        <v>0</v>
      </c>
      <c r="BG820" s="788">
        <f t="shared" si="2356"/>
        <v>0</v>
      </c>
      <c r="BH820" s="788">
        <f t="shared" si="2356"/>
        <v>0</v>
      </c>
      <c r="BI820" s="788">
        <f t="shared" si="2356"/>
        <v>0</v>
      </c>
      <c r="BJ820" s="788">
        <f t="shared" si="2356"/>
        <v>0</v>
      </c>
      <c r="BK820" s="788">
        <f t="shared" si="2356"/>
        <v>0</v>
      </c>
      <c r="BL820" s="788">
        <f t="shared" si="2356"/>
        <v>0</v>
      </c>
      <c r="BM820" s="788">
        <f t="shared" si="2356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57">SUM(BV89)</f>
        <v>0</v>
      </c>
      <c r="BW820" s="795">
        <f t="shared" si="2357"/>
        <v>0</v>
      </c>
      <c r="BX820" s="795">
        <f t="shared" si="2357"/>
        <v>0</v>
      </c>
      <c r="BY820" s="795">
        <f t="shared" si="2357"/>
        <v>0</v>
      </c>
      <c r="BZ820" s="611">
        <f t="shared" ref="BZ820:BZ828" si="2358">IF(DD820&lt;3,"",(SUM(B820:R820)-MIN(B820:R820)-MAX(B820:R820))/(DD820-2))</f>
        <v>0</v>
      </c>
      <c r="CA820" s="611">
        <f t="shared" ref="CA820:CA828" si="2359">IF(DE820&lt;3,"",(SUM(T820:AJ820)-MIN(T820:AJ820)-MAX(T820:AJ820))/(DE820-2))</f>
        <v>0</v>
      </c>
      <c r="CB820" s="611">
        <f t="shared" ref="CB820:CB828" si="2360">IF(DF820&lt;3,"",(SUM(AL820:BB820)-MIN(AL820:BB820)-MAX(AL820:BB820))/(DF820-2))</f>
        <v>0</v>
      </c>
      <c r="CC820" s="679">
        <f t="shared" ref="CC820:CC828" si="2361">IF(DG820&lt;3,"",(SUM(BD820:BT820)-MIN(BD820:BT820)-MAX(BD820:BT820))/(DG820-2))</f>
        <v>0</v>
      </c>
      <c r="CD820" s="1319">
        <f t="shared" ref="CD820:CM820" si="236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0">
        <f t="shared" si="2362"/>
        <v>0</v>
      </c>
      <c r="CF820" s="1320">
        <f t="shared" si="2362"/>
        <v>0</v>
      </c>
      <c r="CG820" s="1320">
        <f t="shared" si="2362"/>
        <v>0</v>
      </c>
      <c r="CH820" s="1321">
        <f t="shared" si="2362"/>
        <v>0</v>
      </c>
      <c r="CI820" s="1321">
        <f t="shared" si="2362"/>
        <v>0</v>
      </c>
      <c r="CJ820" s="1320">
        <f t="shared" si="2362"/>
        <v>0</v>
      </c>
      <c r="CK820" s="1320">
        <f t="shared" si="2362"/>
        <v>0</v>
      </c>
      <c r="CL820" s="1320">
        <f t="shared" si="2362"/>
        <v>0</v>
      </c>
      <c r="CM820" s="1319">
        <f t="shared" si="2362"/>
        <v>0</v>
      </c>
      <c r="CN820" s="526" t="str">
        <f t="shared" ref="CN820:CN828" si="236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6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6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6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6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6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6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7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7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7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7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7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7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7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7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7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79">COUNT(B820:R820)</f>
        <v>10</v>
      </c>
      <c r="DE820" s="95">
        <f t="shared" ref="DE820:DE828" si="2380">COUNT(T820:AJ820)</f>
        <v>10</v>
      </c>
      <c r="DF820" s="95">
        <f t="shared" ref="DF820:DF828" si="2381">COUNT(AL820:BB820)</f>
        <v>10</v>
      </c>
      <c r="DG820" s="95">
        <f t="shared" ref="DG820:DG828" si="2382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379</v>
      </c>
      <c r="B821" s="788">
        <f t="shared" ref="B821:K821" si="2383">SUM(B90)</f>
        <v>0</v>
      </c>
      <c r="C821" s="788">
        <f t="shared" si="2383"/>
        <v>0</v>
      </c>
      <c r="D821" s="788">
        <f t="shared" si="2383"/>
        <v>0</v>
      </c>
      <c r="E821" s="788">
        <f t="shared" si="2383"/>
        <v>0</v>
      </c>
      <c r="F821" s="788">
        <f t="shared" si="2383"/>
        <v>0</v>
      </c>
      <c r="G821" s="788">
        <f t="shared" si="2383"/>
        <v>0</v>
      </c>
      <c r="H821" s="788">
        <f t="shared" si="2383"/>
        <v>0</v>
      </c>
      <c r="I821" s="788">
        <f t="shared" si="2383"/>
        <v>0</v>
      </c>
      <c r="J821" s="788">
        <f t="shared" si="2383"/>
        <v>0</v>
      </c>
      <c r="K821" s="788">
        <f t="shared" si="2383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84">SUM(T90)</f>
        <v>0</v>
      </c>
      <c r="U821" s="788">
        <f t="shared" si="2384"/>
        <v>0</v>
      </c>
      <c r="V821" s="788">
        <f t="shared" si="2384"/>
        <v>0</v>
      </c>
      <c r="W821" s="788">
        <f t="shared" si="2384"/>
        <v>0</v>
      </c>
      <c r="X821" s="788">
        <f t="shared" si="2384"/>
        <v>0</v>
      </c>
      <c r="Y821" s="788">
        <f t="shared" si="2384"/>
        <v>0</v>
      </c>
      <c r="Z821" s="788">
        <f t="shared" si="2384"/>
        <v>0</v>
      </c>
      <c r="AA821" s="788">
        <f t="shared" si="2384"/>
        <v>0</v>
      </c>
      <c r="AB821" s="788">
        <f t="shared" si="2384"/>
        <v>0</v>
      </c>
      <c r="AC821" s="788">
        <f t="shared" si="2384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85">SUM(AL90)</f>
        <v>0</v>
      </c>
      <c r="AM821" s="788">
        <f t="shared" si="2385"/>
        <v>0</v>
      </c>
      <c r="AN821" s="788">
        <f t="shared" si="2385"/>
        <v>0</v>
      </c>
      <c r="AO821" s="788">
        <f t="shared" si="2385"/>
        <v>0</v>
      </c>
      <c r="AP821" s="788">
        <f t="shared" si="2385"/>
        <v>0</v>
      </c>
      <c r="AQ821" s="788">
        <f t="shared" si="2385"/>
        <v>0</v>
      </c>
      <c r="AR821" s="788">
        <f t="shared" si="2385"/>
        <v>0</v>
      </c>
      <c r="AS821" s="788">
        <f t="shared" si="2385"/>
        <v>0</v>
      </c>
      <c r="AT821" s="788">
        <f t="shared" si="2385"/>
        <v>0</v>
      </c>
      <c r="AU821" s="788">
        <f t="shared" si="2385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86">SUM(BD90)</f>
        <v>0</v>
      </c>
      <c r="BE821" s="788">
        <f t="shared" si="2386"/>
        <v>0</v>
      </c>
      <c r="BF821" s="788">
        <f t="shared" si="2386"/>
        <v>0</v>
      </c>
      <c r="BG821" s="788">
        <f t="shared" si="2386"/>
        <v>0</v>
      </c>
      <c r="BH821" s="788">
        <f t="shared" si="2386"/>
        <v>0</v>
      </c>
      <c r="BI821" s="788">
        <f t="shared" si="2386"/>
        <v>0</v>
      </c>
      <c r="BJ821" s="788">
        <f t="shared" si="2386"/>
        <v>0</v>
      </c>
      <c r="BK821" s="788">
        <f t="shared" si="2386"/>
        <v>0</v>
      </c>
      <c r="BL821" s="788">
        <f t="shared" si="2386"/>
        <v>0</v>
      </c>
      <c r="BM821" s="788">
        <f t="shared" si="2386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57"/>
        <v>0</v>
      </c>
      <c r="BW821" s="795">
        <f t="shared" si="2357"/>
        <v>0</v>
      </c>
      <c r="BX821" s="795">
        <f t="shared" si="2357"/>
        <v>0</v>
      </c>
      <c r="BY821" s="795">
        <f t="shared" si="2357"/>
        <v>0</v>
      </c>
      <c r="BZ821" s="611">
        <f t="shared" si="2358"/>
        <v>0</v>
      </c>
      <c r="CA821" s="611">
        <f t="shared" si="2359"/>
        <v>0</v>
      </c>
      <c r="CB821" s="611">
        <f t="shared" si="2360"/>
        <v>0</v>
      </c>
      <c r="CC821" s="679">
        <f t="shared" si="2361"/>
        <v>0</v>
      </c>
      <c r="CD821" s="1319">
        <f t="shared" ref="CD821:CD828" si="238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0">
        <f t="shared" ref="CE821:CM828" si="238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0">
        <f t="shared" si="2388"/>
        <v>0</v>
      </c>
      <c r="CG821" s="1320">
        <f t="shared" si="2388"/>
        <v>0</v>
      </c>
      <c r="CH821" s="1321">
        <f t="shared" si="2388"/>
        <v>0</v>
      </c>
      <c r="CI821" s="1321">
        <f t="shared" si="2388"/>
        <v>0</v>
      </c>
      <c r="CJ821" s="1320">
        <f t="shared" si="2388"/>
        <v>0</v>
      </c>
      <c r="CK821" s="1320">
        <f t="shared" si="2388"/>
        <v>0</v>
      </c>
      <c r="CL821" s="1320">
        <f t="shared" si="2388"/>
        <v>0</v>
      </c>
      <c r="CM821" s="1319">
        <f t="shared" si="2388"/>
        <v>0</v>
      </c>
      <c r="CN821" s="526" t="str">
        <f t="shared" si="2363"/>
        <v/>
      </c>
      <c r="CO821" s="527" t="str">
        <f t="shared" si="2364"/>
        <v/>
      </c>
      <c r="CP821" s="527" t="str">
        <f t="shared" si="2365"/>
        <v/>
      </c>
      <c r="CQ821" s="527">
        <f t="shared" si="2366"/>
        <v>0</v>
      </c>
      <c r="CR821" s="527">
        <f t="shared" si="2367"/>
        <v>0</v>
      </c>
      <c r="CS821" s="527">
        <f t="shared" si="2368"/>
        <v>0</v>
      </c>
      <c r="CT821" s="528">
        <f t="shared" si="2369"/>
        <v>0</v>
      </c>
      <c r="CU821" s="528">
        <f t="shared" si="2370"/>
        <v>0</v>
      </c>
      <c r="CV821" s="528">
        <f t="shared" si="2371"/>
        <v>0</v>
      </c>
      <c r="CW821" s="527">
        <f t="shared" si="2372"/>
        <v>0</v>
      </c>
      <c r="CX821" s="527">
        <f t="shared" si="2373"/>
        <v>0</v>
      </c>
      <c r="CY821" s="527">
        <f t="shared" si="2374"/>
        <v>0</v>
      </c>
      <c r="CZ821" s="527">
        <f t="shared" si="2375"/>
        <v>0</v>
      </c>
      <c r="DA821" s="527" t="str">
        <f t="shared" si="2376"/>
        <v/>
      </c>
      <c r="DB821" s="526" t="str">
        <f t="shared" si="2377"/>
        <v/>
      </c>
      <c r="DC821" s="525" t="str">
        <f t="shared" si="2378"/>
        <v/>
      </c>
      <c r="DD821" s="641">
        <f t="shared" si="2379"/>
        <v>10</v>
      </c>
      <c r="DE821" s="95">
        <f t="shared" si="2380"/>
        <v>10</v>
      </c>
      <c r="DF821" s="95">
        <f t="shared" si="2381"/>
        <v>10</v>
      </c>
      <c r="DG821" s="95">
        <f t="shared" si="2382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380</v>
      </c>
      <c r="B822" s="788">
        <f t="shared" ref="B822:K822" si="2389">SUM(B116)</f>
        <v>0</v>
      </c>
      <c r="C822" s="788">
        <f t="shared" si="2389"/>
        <v>0</v>
      </c>
      <c r="D822" s="788">
        <f t="shared" si="2389"/>
        <v>0</v>
      </c>
      <c r="E822" s="788">
        <f t="shared" si="2389"/>
        <v>0</v>
      </c>
      <c r="F822" s="788">
        <f t="shared" si="2389"/>
        <v>4.2910514143390859E-2</v>
      </c>
      <c r="G822" s="788">
        <f t="shared" si="2389"/>
        <v>2.8160024906600252E-2</v>
      </c>
      <c r="H822" s="788">
        <f t="shared" si="2389"/>
        <v>0</v>
      </c>
      <c r="I822" s="788">
        <f t="shared" si="2389"/>
        <v>0</v>
      </c>
      <c r="J822" s="788">
        <f t="shared" si="2389"/>
        <v>0</v>
      </c>
      <c r="K822" s="788">
        <f t="shared" si="2389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90">SUM(T116)</f>
        <v>0</v>
      </c>
      <c r="U822" s="788">
        <f t="shared" si="2390"/>
        <v>0</v>
      </c>
      <c r="V822" s="788">
        <f t="shared" si="2390"/>
        <v>0</v>
      </c>
      <c r="W822" s="788">
        <f t="shared" si="2390"/>
        <v>0</v>
      </c>
      <c r="X822" s="788">
        <f t="shared" si="2390"/>
        <v>0</v>
      </c>
      <c r="Y822" s="788">
        <f t="shared" si="2390"/>
        <v>2.2528019925280203E-2</v>
      </c>
      <c r="Z822" s="788">
        <f t="shared" si="2390"/>
        <v>6.4895530648955303E-3</v>
      </c>
      <c r="AA822" s="788">
        <f t="shared" si="2390"/>
        <v>0</v>
      </c>
      <c r="AB822" s="788">
        <f t="shared" si="2390"/>
        <v>0</v>
      </c>
      <c r="AC822" s="788">
        <f t="shared" si="2390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91">SUM(AL116)</f>
        <v>0</v>
      </c>
      <c r="AM822" s="788">
        <f t="shared" si="2391"/>
        <v>0</v>
      </c>
      <c r="AN822" s="788">
        <f t="shared" si="2391"/>
        <v>3.5043586550435865E-2</v>
      </c>
      <c r="AO822" s="788">
        <f t="shared" si="2391"/>
        <v>0</v>
      </c>
      <c r="AP822" s="788">
        <f t="shared" si="2391"/>
        <v>2.9870485678704855E-2</v>
      </c>
      <c r="AQ822" s="788">
        <f t="shared" si="2391"/>
        <v>0</v>
      </c>
      <c r="AR822" s="788">
        <f t="shared" si="2391"/>
        <v>0</v>
      </c>
      <c r="AS822" s="788">
        <f t="shared" si="2391"/>
        <v>0</v>
      </c>
      <c r="AT822" s="788">
        <f t="shared" si="2391"/>
        <v>0</v>
      </c>
      <c r="AU822" s="788">
        <f t="shared" si="2391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92">SUM(BD116)</f>
        <v>0.1500616438356164</v>
      </c>
      <c r="BE822" s="788">
        <f t="shared" si="2392"/>
        <v>0.13297789539227897</v>
      </c>
      <c r="BF822" s="788">
        <f t="shared" si="2392"/>
        <v>0.10976151930261518</v>
      </c>
      <c r="BG822" s="788">
        <f t="shared" si="2392"/>
        <v>7.6881337840241953E-2</v>
      </c>
      <c r="BH822" s="788">
        <f t="shared" si="2392"/>
        <v>0.12288010868334655</v>
      </c>
      <c r="BI822" s="788">
        <f t="shared" si="2392"/>
        <v>9.6119551681195514E-2</v>
      </c>
      <c r="BJ822" s="788">
        <f t="shared" si="2392"/>
        <v>0.21380759651307599</v>
      </c>
      <c r="BK822" s="788">
        <f t="shared" si="2392"/>
        <v>0.17164205657356343</v>
      </c>
      <c r="BL822" s="788">
        <f t="shared" si="2392"/>
        <v>0.10240009056945545</v>
      </c>
      <c r="BM822" s="788">
        <f t="shared" si="2392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93">SUM(BV116)</f>
        <v>1.4080012453300126E-2</v>
      </c>
      <c r="BW822" s="795">
        <f t="shared" si="2393"/>
        <v>8.3437110834371116E-3</v>
      </c>
      <c r="BX822" s="795">
        <f t="shared" si="2393"/>
        <v>1.3037048567870486E-2</v>
      </c>
      <c r="BY822" s="795">
        <f t="shared" si="2393"/>
        <v>8.5476684654766849E-2</v>
      </c>
      <c r="BZ822" s="611">
        <f t="shared" si="2358"/>
        <v>3.5200031133250315E-3</v>
      </c>
      <c r="CA822" s="611">
        <f t="shared" si="2359"/>
        <v>3.6271966237719664E-3</v>
      </c>
      <c r="CB822" s="611">
        <f t="shared" si="2360"/>
        <v>3.7338107098381073E-3</v>
      </c>
      <c r="CC822" s="679">
        <f t="shared" si="2361"/>
        <v>0.12034052548478917</v>
      </c>
      <c r="CD822" s="1319">
        <f t="shared" si="2387"/>
        <v>0</v>
      </c>
      <c r="CE822" s="1320">
        <f t="shared" si="2388"/>
        <v>0</v>
      </c>
      <c r="CF822" s="1320">
        <f t="shared" si="2388"/>
        <v>0</v>
      </c>
      <c r="CG822" s="1320">
        <f t="shared" si="2388"/>
        <v>0</v>
      </c>
      <c r="CH822" s="1321">
        <f t="shared" si="2388"/>
        <v>0</v>
      </c>
      <c r="CI822" s="1321">
        <f t="shared" si="2388"/>
        <v>0</v>
      </c>
      <c r="CJ822" s="1320">
        <f t="shared" si="2388"/>
        <v>0</v>
      </c>
      <c r="CK822" s="1320">
        <f t="shared" si="2388"/>
        <v>0</v>
      </c>
      <c r="CL822" s="1320">
        <f t="shared" si="2388"/>
        <v>2.9870485678704855E-2</v>
      </c>
      <c r="CM822" s="1319">
        <f t="shared" si="2388"/>
        <v>3.5043586550435865E-2</v>
      </c>
      <c r="CN822" s="526" t="str">
        <f t="shared" si="2363"/>
        <v/>
      </c>
      <c r="CO822" s="527" t="str">
        <f t="shared" si="2364"/>
        <v/>
      </c>
      <c r="CP822" s="527" t="str">
        <f t="shared" si="2365"/>
        <v/>
      </c>
      <c r="CQ822" s="527">
        <f t="shared" si="2366"/>
        <v>4.2910514143390859E-2</v>
      </c>
      <c r="CR822" s="527">
        <f t="shared" si="2367"/>
        <v>7.6881337840241953E-2</v>
      </c>
      <c r="CS822" s="527">
        <f t="shared" si="2368"/>
        <v>9.6119551681195514E-2</v>
      </c>
      <c r="CT822" s="528">
        <f t="shared" si="2369"/>
        <v>0.10240009056945545</v>
      </c>
      <c r="CU822" s="528">
        <f t="shared" si="2370"/>
        <v>0.10976151930261518</v>
      </c>
      <c r="CV822" s="528">
        <f t="shared" si="2371"/>
        <v>0.12288010868334655</v>
      </c>
      <c r="CW822" s="527">
        <f t="shared" si="2372"/>
        <v>0.13297789539227897</v>
      </c>
      <c r="CX822" s="527">
        <f t="shared" si="2373"/>
        <v>0.1500616438356164</v>
      </c>
      <c r="CY822" s="527">
        <f t="shared" si="2374"/>
        <v>0.17164205657356343</v>
      </c>
      <c r="CZ822" s="527">
        <f t="shared" si="2375"/>
        <v>0.21380759651307599</v>
      </c>
      <c r="DA822" s="527" t="str">
        <f t="shared" si="2376"/>
        <v/>
      </c>
      <c r="DB822" s="526" t="str">
        <f t="shared" si="2377"/>
        <v/>
      </c>
      <c r="DC822" s="525" t="str">
        <f t="shared" si="2378"/>
        <v/>
      </c>
      <c r="DD822" s="641">
        <f t="shared" si="2379"/>
        <v>10</v>
      </c>
      <c r="DE822" s="95">
        <f t="shared" si="2380"/>
        <v>10</v>
      </c>
      <c r="DF822" s="95">
        <f t="shared" si="2381"/>
        <v>10</v>
      </c>
      <c r="DG822" s="95">
        <f t="shared" si="2382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381</v>
      </c>
      <c r="B823" s="788">
        <f t="shared" ref="B823:K823" si="2394">SUM(B117)</f>
        <v>0</v>
      </c>
      <c r="C823" s="788">
        <f t="shared" si="2394"/>
        <v>0</v>
      </c>
      <c r="D823" s="788">
        <f t="shared" si="2394"/>
        <v>0</v>
      </c>
      <c r="E823" s="788">
        <f t="shared" si="2394"/>
        <v>0</v>
      </c>
      <c r="F823" s="788">
        <f t="shared" si="2394"/>
        <v>1.0727628535847715E-2</v>
      </c>
      <c r="G823" s="788">
        <f t="shared" si="2394"/>
        <v>0</v>
      </c>
      <c r="H823" s="788">
        <f t="shared" si="2394"/>
        <v>0</v>
      </c>
      <c r="I823" s="788">
        <f t="shared" si="2394"/>
        <v>0</v>
      </c>
      <c r="J823" s="788">
        <f t="shared" si="2394"/>
        <v>0</v>
      </c>
      <c r="K823" s="788">
        <f t="shared" si="2394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95">SUM(T117)</f>
        <v>0</v>
      </c>
      <c r="U823" s="788">
        <f t="shared" si="2395"/>
        <v>0</v>
      </c>
      <c r="V823" s="788">
        <f t="shared" si="2395"/>
        <v>0</v>
      </c>
      <c r="W823" s="788">
        <f t="shared" si="2395"/>
        <v>0</v>
      </c>
      <c r="X823" s="788">
        <f t="shared" si="2395"/>
        <v>0</v>
      </c>
      <c r="Y823" s="788">
        <f t="shared" si="2395"/>
        <v>0</v>
      </c>
      <c r="Z823" s="788">
        <f t="shared" si="2395"/>
        <v>0</v>
      </c>
      <c r="AA823" s="788">
        <f t="shared" si="2395"/>
        <v>0</v>
      </c>
      <c r="AB823" s="788">
        <f t="shared" si="2395"/>
        <v>0</v>
      </c>
      <c r="AC823" s="788">
        <f t="shared" si="2395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96">SUM(AL117)</f>
        <v>0</v>
      </c>
      <c r="AM823" s="788">
        <f t="shared" si="2396"/>
        <v>0</v>
      </c>
      <c r="AN823" s="788">
        <f t="shared" si="2396"/>
        <v>0</v>
      </c>
      <c r="AO823" s="788">
        <f t="shared" si="2396"/>
        <v>0</v>
      </c>
      <c r="AP823" s="788">
        <f t="shared" si="2396"/>
        <v>0</v>
      </c>
      <c r="AQ823" s="788">
        <f t="shared" si="2396"/>
        <v>0</v>
      </c>
      <c r="AR823" s="788">
        <f t="shared" si="2396"/>
        <v>0</v>
      </c>
      <c r="AS823" s="788">
        <f t="shared" si="2396"/>
        <v>0</v>
      </c>
      <c r="AT823" s="788">
        <f t="shared" si="2396"/>
        <v>0</v>
      </c>
      <c r="AU823" s="788">
        <f t="shared" si="2396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97">SUM(BD117)</f>
        <v>0</v>
      </c>
      <c r="BE823" s="788">
        <f t="shared" si="2397"/>
        <v>0</v>
      </c>
      <c r="BF823" s="788">
        <f t="shared" si="2397"/>
        <v>0</v>
      </c>
      <c r="BG823" s="788">
        <f t="shared" si="2397"/>
        <v>0</v>
      </c>
      <c r="BH823" s="788">
        <f t="shared" si="2397"/>
        <v>0</v>
      </c>
      <c r="BI823" s="788">
        <f t="shared" si="2397"/>
        <v>0</v>
      </c>
      <c r="BJ823" s="788">
        <f t="shared" si="2397"/>
        <v>0</v>
      </c>
      <c r="BK823" s="788">
        <f t="shared" si="2397"/>
        <v>0</v>
      </c>
      <c r="BL823" s="788">
        <f t="shared" si="2397"/>
        <v>0</v>
      </c>
      <c r="BM823" s="788">
        <f t="shared" si="2397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93"/>
        <v>2.3466687422166875E-3</v>
      </c>
      <c r="BW823" s="795">
        <f t="shared" si="2393"/>
        <v>0</v>
      </c>
      <c r="BX823" s="795">
        <f t="shared" si="2393"/>
        <v>0</v>
      </c>
      <c r="BY823" s="795">
        <f t="shared" si="2393"/>
        <v>0</v>
      </c>
      <c r="BZ823" s="611">
        <f t="shared" si="2358"/>
        <v>0</v>
      </c>
      <c r="CA823" s="611">
        <f t="shared" si="2359"/>
        <v>0</v>
      </c>
      <c r="CB823" s="611">
        <f t="shared" si="2360"/>
        <v>0</v>
      </c>
      <c r="CC823" s="679">
        <f t="shared" si="2361"/>
        <v>0</v>
      </c>
      <c r="CD823" s="1319">
        <f t="shared" si="2387"/>
        <v>0</v>
      </c>
      <c r="CE823" s="1320">
        <f t="shared" si="2388"/>
        <v>0</v>
      </c>
      <c r="CF823" s="1320">
        <f t="shared" si="2388"/>
        <v>0</v>
      </c>
      <c r="CG823" s="1320">
        <f t="shared" si="2388"/>
        <v>0</v>
      </c>
      <c r="CH823" s="1321">
        <f t="shared" si="2388"/>
        <v>0</v>
      </c>
      <c r="CI823" s="1321">
        <f t="shared" si="2388"/>
        <v>0</v>
      </c>
      <c r="CJ823" s="1320">
        <f t="shared" si="2388"/>
        <v>0</v>
      </c>
      <c r="CK823" s="1320">
        <f t="shared" si="2388"/>
        <v>0</v>
      </c>
      <c r="CL823" s="1320">
        <f t="shared" si="2388"/>
        <v>0</v>
      </c>
      <c r="CM823" s="1319">
        <f t="shared" si="2388"/>
        <v>0</v>
      </c>
      <c r="CN823" s="526" t="str">
        <f t="shared" si="2363"/>
        <v/>
      </c>
      <c r="CO823" s="527" t="str">
        <f t="shared" si="2364"/>
        <v/>
      </c>
      <c r="CP823" s="527" t="str">
        <f t="shared" si="2365"/>
        <v/>
      </c>
      <c r="CQ823" s="527">
        <f t="shared" si="2366"/>
        <v>0</v>
      </c>
      <c r="CR823" s="527">
        <f t="shared" si="2367"/>
        <v>0</v>
      </c>
      <c r="CS823" s="527">
        <f t="shared" si="2368"/>
        <v>0</v>
      </c>
      <c r="CT823" s="528">
        <f t="shared" si="2369"/>
        <v>0</v>
      </c>
      <c r="CU823" s="528">
        <f t="shared" si="2370"/>
        <v>0</v>
      </c>
      <c r="CV823" s="528">
        <f t="shared" si="2371"/>
        <v>0</v>
      </c>
      <c r="CW823" s="527">
        <f t="shared" si="2372"/>
        <v>0</v>
      </c>
      <c r="CX823" s="527">
        <f t="shared" si="2373"/>
        <v>0</v>
      </c>
      <c r="CY823" s="527">
        <f t="shared" si="2374"/>
        <v>0</v>
      </c>
      <c r="CZ823" s="527">
        <f t="shared" si="2375"/>
        <v>0</v>
      </c>
      <c r="DA823" s="527" t="str">
        <f t="shared" si="2376"/>
        <v/>
      </c>
      <c r="DB823" s="526" t="str">
        <f t="shared" si="2377"/>
        <v/>
      </c>
      <c r="DC823" s="525" t="str">
        <f t="shared" si="2378"/>
        <v/>
      </c>
      <c r="DD823" s="641">
        <f t="shared" si="2379"/>
        <v>10</v>
      </c>
      <c r="DE823" s="95">
        <f t="shared" si="2380"/>
        <v>10</v>
      </c>
      <c r="DF823" s="95">
        <f t="shared" si="2381"/>
        <v>10</v>
      </c>
      <c r="DG823" s="95">
        <f t="shared" si="2382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382</v>
      </c>
      <c r="B824" s="788">
        <f t="shared" ref="B824:K824" si="2398">SUM(B144)</f>
        <v>0</v>
      </c>
      <c r="C824" s="788">
        <f t="shared" si="2398"/>
        <v>0</v>
      </c>
      <c r="D824" s="788">
        <f t="shared" si="2398"/>
        <v>0</v>
      </c>
      <c r="E824" s="788">
        <f t="shared" si="2398"/>
        <v>0</v>
      </c>
      <c r="F824" s="788">
        <f t="shared" si="2398"/>
        <v>0</v>
      </c>
      <c r="G824" s="788">
        <f t="shared" si="2398"/>
        <v>0</v>
      </c>
      <c r="H824" s="788">
        <f t="shared" si="2398"/>
        <v>0</v>
      </c>
      <c r="I824" s="788">
        <f t="shared" si="2398"/>
        <v>0</v>
      </c>
      <c r="J824" s="788">
        <f t="shared" si="2398"/>
        <v>0</v>
      </c>
      <c r="K824" s="788">
        <f t="shared" si="2398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99">SUM(T144)</f>
        <v>0</v>
      </c>
      <c r="U824" s="788">
        <f t="shared" si="2399"/>
        <v>0</v>
      </c>
      <c r="V824" s="788">
        <f t="shared" si="2399"/>
        <v>0</v>
      </c>
      <c r="W824" s="788">
        <f t="shared" si="2399"/>
        <v>0</v>
      </c>
      <c r="X824" s="788">
        <f t="shared" si="2399"/>
        <v>0</v>
      </c>
      <c r="Y824" s="788">
        <f t="shared" si="2399"/>
        <v>0</v>
      </c>
      <c r="Z824" s="788">
        <f t="shared" si="2399"/>
        <v>0</v>
      </c>
      <c r="AA824" s="788">
        <f t="shared" si="2399"/>
        <v>0</v>
      </c>
      <c r="AB824" s="788">
        <f t="shared" si="2399"/>
        <v>0</v>
      </c>
      <c r="AC824" s="788">
        <f t="shared" si="2399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400">SUM(AL144)</f>
        <v>0</v>
      </c>
      <c r="AM824" s="788">
        <f t="shared" si="2400"/>
        <v>0</v>
      </c>
      <c r="AN824" s="788">
        <f t="shared" si="2400"/>
        <v>0</v>
      </c>
      <c r="AO824" s="788">
        <f t="shared" si="2400"/>
        <v>0</v>
      </c>
      <c r="AP824" s="788">
        <f t="shared" si="2400"/>
        <v>0</v>
      </c>
      <c r="AQ824" s="788">
        <f t="shared" si="2400"/>
        <v>0</v>
      </c>
      <c r="AR824" s="788">
        <f t="shared" si="2400"/>
        <v>0</v>
      </c>
      <c r="AS824" s="788">
        <f t="shared" si="2400"/>
        <v>0</v>
      </c>
      <c r="AT824" s="788">
        <f t="shared" si="2400"/>
        <v>0</v>
      </c>
      <c r="AU824" s="788">
        <f t="shared" si="2400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401">SUM(BD144)</f>
        <v>0</v>
      </c>
      <c r="BE824" s="788">
        <f t="shared" si="2401"/>
        <v>0</v>
      </c>
      <c r="BF824" s="788">
        <f t="shared" si="2401"/>
        <v>0</v>
      </c>
      <c r="BG824" s="788">
        <f t="shared" si="2401"/>
        <v>0</v>
      </c>
      <c r="BH824" s="788">
        <f t="shared" si="2401"/>
        <v>0</v>
      </c>
      <c r="BI824" s="788">
        <f t="shared" si="2401"/>
        <v>0</v>
      </c>
      <c r="BJ824" s="788">
        <f t="shared" si="2401"/>
        <v>0</v>
      </c>
      <c r="BK824" s="788">
        <f t="shared" si="2401"/>
        <v>0</v>
      </c>
      <c r="BL824" s="788">
        <f t="shared" si="2401"/>
        <v>0</v>
      </c>
      <c r="BM824" s="788">
        <f t="shared" si="2401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402">SUM(BV144)</f>
        <v>0</v>
      </c>
      <c r="BW824" s="795">
        <f t="shared" si="2402"/>
        <v>0</v>
      </c>
      <c r="BX824" s="795">
        <f t="shared" si="2402"/>
        <v>0</v>
      </c>
      <c r="BY824" s="795">
        <f t="shared" si="2402"/>
        <v>0</v>
      </c>
      <c r="BZ824" s="611">
        <f t="shared" si="2358"/>
        <v>0</v>
      </c>
      <c r="CA824" s="611">
        <f t="shared" si="2359"/>
        <v>0</v>
      </c>
      <c r="CB824" s="611">
        <f t="shared" si="2360"/>
        <v>0</v>
      </c>
      <c r="CC824" s="679">
        <f t="shared" si="2361"/>
        <v>0</v>
      </c>
      <c r="CD824" s="1319">
        <f t="shared" si="2387"/>
        <v>0</v>
      </c>
      <c r="CE824" s="1320">
        <f t="shared" si="2388"/>
        <v>0</v>
      </c>
      <c r="CF824" s="1320">
        <f t="shared" si="2388"/>
        <v>0</v>
      </c>
      <c r="CG824" s="1320">
        <f t="shared" si="2388"/>
        <v>0</v>
      </c>
      <c r="CH824" s="1321">
        <f t="shared" si="2388"/>
        <v>0</v>
      </c>
      <c r="CI824" s="1321">
        <f t="shared" si="2388"/>
        <v>0</v>
      </c>
      <c r="CJ824" s="1320">
        <f t="shared" si="2388"/>
        <v>0</v>
      </c>
      <c r="CK824" s="1320">
        <f t="shared" si="2388"/>
        <v>0</v>
      </c>
      <c r="CL824" s="1320">
        <f t="shared" si="2388"/>
        <v>0</v>
      </c>
      <c r="CM824" s="1319">
        <f t="shared" si="2388"/>
        <v>0</v>
      </c>
      <c r="CN824" s="526" t="str">
        <f t="shared" si="2363"/>
        <v/>
      </c>
      <c r="CO824" s="527" t="str">
        <f t="shared" si="2364"/>
        <v/>
      </c>
      <c r="CP824" s="527" t="str">
        <f t="shared" si="2365"/>
        <v/>
      </c>
      <c r="CQ824" s="527">
        <f t="shared" si="2366"/>
        <v>0</v>
      </c>
      <c r="CR824" s="527">
        <f t="shared" si="2367"/>
        <v>0</v>
      </c>
      <c r="CS824" s="527">
        <f t="shared" si="2368"/>
        <v>0</v>
      </c>
      <c r="CT824" s="528">
        <f t="shared" si="2369"/>
        <v>0</v>
      </c>
      <c r="CU824" s="528">
        <f t="shared" si="2370"/>
        <v>0</v>
      </c>
      <c r="CV824" s="528">
        <f t="shared" si="2371"/>
        <v>0</v>
      </c>
      <c r="CW824" s="527">
        <f t="shared" si="2372"/>
        <v>0</v>
      </c>
      <c r="CX824" s="527">
        <f t="shared" si="2373"/>
        <v>0</v>
      </c>
      <c r="CY824" s="527">
        <f t="shared" si="2374"/>
        <v>0</v>
      </c>
      <c r="CZ824" s="527">
        <f t="shared" si="2375"/>
        <v>0</v>
      </c>
      <c r="DA824" s="527" t="str">
        <f t="shared" si="2376"/>
        <v/>
      </c>
      <c r="DB824" s="526" t="str">
        <f t="shared" si="2377"/>
        <v/>
      </c>
      <c r="DC824" s="525" t="str">
        <f t="shared" si="2378"/>
        <v/>
      </c>
      <c r="DD824" s="641">
        <f t="shared" si="2379"/>
        <v>10</v>
      </c>
      <c r="DE824" s="95">
        <f t="shared" si="2380"/>
        <v>10</v>
      </c>
      <c r="DF824" s="95">
        <f t="shared" si="2381"/>
        <v>10</v>
      </c>
      <c r="DG824" s="95">
        <f t="shared" si="2382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383</v>
      </c>
      <c r="B825" s="788">
        <f t="shared" ref="B825:K825" si="2403">SUM(B145)</f>
        <v>0</v>
      </c>
      <c r="C825" s="788">
        <f t="shared" si="2403"/>
        <v>0</v>
      </c>
      <c r="D825" s="788">
        <f t="shared" si="2403"/>
        <v>0</v>
      </c>
      <c r="E825" s="788">
        <f t="shared" si="2403"/>
        <v>0</v>
      </c>
      <c r="F825" s="788">
        <f t="shared" si="2403"/>
        <v>0</v>
      </c>
      <c r="G825" s="788">
        <f t="shared" si="2403"/>
        <v>0</v>
      </c>
      <c r="H825" s="788">
        <f t="shared" si="2403"/>
        <v>0</v>
      </c>
      <c r="I825" s="788">
        <f t="shared" si="2403"/>
        <v>0</v>
      </c>
      <c r="J825" s="788">
        <f t="shared" si="2403"/>
        <v>0</v>
      </c>
      <c r="K825" s="788">
        <f t="shared" si="2403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404">SUM(T145)</f>
        <v>0</v>
      </c>
      <c r="U825" s="788">
        <f t="shared" si="2404"/>
        <v>0</v>
      </c>
      <c r="V825" s="788">
        <f t="shared" si="2404"/>
        <v>0</v>
      </c>
      <c r="W825" s="788">
        <f t="shared" si="2404"/>
        <v>0</v>
      </c>
      <c r="X825" s="788">
        <f t="shared" si="2404"/>
        <v>0</v>
      </c>
      <c r="Y825" s="788">
        <f t="shared" si="2404"/>
        <v>0</v>
      </c>
      <c r="Z825" s="788">
        <f t="shared" si="2404"/>
        <v>0</v>
      </c>
      <c r="AA825" s="788">
        <f t="shared" si="2404"/>
        <v>0</v>
      </c>
      <c r="AB825" s="788">
        <f t="shared" si="2404"/>
        <v>0</v>
      </c>
      <c r="AC825" s="788">
        <f t="shared" si="2404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405">SUM(AL145)</f>
        <v>0</v>
      </c>
      <c r="AM825" s="788">
        <f t="shared" si="2405"/>
        <v>0</v>
      </c>
      <c r="AN825" s="788">
        <f t="shared" si="2405"/>
        <v>0</v>
      </c>
      <c r="AO825" s="788">
        <f t="shared" si="2405"/>
        <v>0</v>
      </c>
      <c r="AP825" s="788">
        <f t="shared" si="2405"/>
        <v>0</v>
      </c>
      <c r="AQ825" s="788">
        <f t="shared" si="2405"/>
        <v>0</v>
      </c>
      <c r="AR825" s="788">
        <f t="shared" si="2405"/>
        <v>0</v>
      </c>
      <c r="AS825" s="788">
        <f t="shared" si="2405"/>
        <v>0</v>
      </c>
      <c r="AT825" s="788">
        <f t="shared" si="2405"/>
        <v>0</v>
      </c>
      <c r="AU825" s="788">
        <f t="shared" si="2405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406">SUM(BD145)</f>
        <v>0</v>
      </c>
      <c r="BE825" s="788">
        <f t="shared" si="2406"/>
        <v>0</v>
      </c>
      <c r="BF825" s="788">
        <f t="shared" si="2406"/>
        <v>0</v>
      </c>
      <c r="BG825" s="788">
        <f t="shared" si="2406"/>
        <v>0</v>
      </c>
      <c r="BH825" s="788">
        <f t="shared" si="2406"/>
        <v>0</v>
      </c>
      <c r="BI825" s="788">
        <f t="shared" si="2406"/>
        <v>0</v>
      </c>
      <c r="BJ825" s="788">
        <f t="shared" si="2406"/>
        <v>0</v>
      </c>
      <c r="BK825" s="788">
        <f t="shared" si="2406"/>
        <v>0</v>
      </c>
      <c r="BL825" s="788">
        <f t="shared" si="2406"/>
        <v>0</v>
      </c>
      <c r="BM825" s="788">
        <f t="shared" si="2406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402"/>
        <v>0</v>
      </c>
      <c r="BW825" s="795">
        <f t="shared" si="2402"/>
        <v>0</v>
      </c>
      <c r="BX825" s="795">
        <f t="shared" si="2402"/>
        <v>0</v>
      </c>
      <c r="BY825" s="795">
        <f t="shared" si="2402"/>
        <v>0</v>
      </c>
      <c r="BZ825" s="611">
        <f t="shared" si="2358"/>
        <v>0</v>
      </c>
      <c r="CA825" s="611">
        <f t="shared" si="2359"/>
        <v>0</v>
      </c>
      <c r="CB825" s="611">
        <f t="shared" si="2360"/>
        <v>0</v>
      </c>
      <c r="CC825" s="679">
        <f t="shared" si="2361"/>
        <v>0</v>
      </c>
      <c r="CD825" s="1319">
        <f t="shared" si="2387"/>
        <v>0</v>
      </c>
      <c r="CE825" s="1320">
        <f t="shared" si="2388"/>
        <v>0</v>
      </c>
      <c r="CF825" s="1320">
        <f t="shared" si="2388"/>
        <v>0</v>
      </c>
      <c r="CG825" s="1320">
        <f t="shared" si="2388"/>
        <v>0</v>
      </c>
      <c r="CH825" s="1321">
        <f t="shared" si="2388"/>
        <v>0</v>
      </c>
      <c r="CI825" s="1321">
        <f t="shared" si="2388"/>
        <v>0</v>
      </c>
      <c r="CJ825" s="1320">
        <f t="shared" si="2388"/>
        <v>0</v>
      </c>
      <c r="CK825" s="1320">
        <f t="shared" si="2388"/>
        <v>0</v>
      </c>
      <c r="CL825" s="1320">
        <f t="shared" si="2388"/>
        <v>0</v>
      </c>
      <c r="CM825" s="1319">
        <f t="shared" si="2388"/>
        <v>0</v>
      </c>
      <c r="CN825" s="526" t="str">
        <f t="shared" si="2363"/>
        <v/>
      </c>
      <c r="CO825" s="527" t="str">
        <f t="shared" si="2364"/>
        <v/>
      </c>
      <c r="CP825" s="527" t="str">
        <f t="shared" si="2365"/>
        <v/>
      </c>
      <c r="CQ825" s="527">
        <f t="shared" si="2366"/>
        <v>0</v>
      </c>
      <c r="CR825" s="527">
        <f t="shared" si="2367"/>
        <v>0</v>
      </c>
      <c r="CS825" s="527">
        <f t="shared" si="2368"/>
        <v>0</v>
      </c>
      <c r="CT825" s="528">
        <f t="shared" si="2369"/>
        <v>0</v>
      </c>
      <c r="CU825" s="528">
        <f t="shared" si="2370"/>
        <v>0</v>
      </c>
      <c r="CV825" s="528">
        <f t="shared" si="2371"/>
        <v>0</v>
      </c>
      <c r="CW825" s="527">
        <f t="shared" si="2372"/>
        <v>0</v>
      </c>
      <c r="CX825" s="527">
        <f t="shared" si="2373"/>
        <v>0</v>
      </c>
      <c r="CY825" s="527">
        <f t="shared" si="2374"/>
        <v>0</v>
      </c>
      <c r="CZ825" s="527">
        <f t="shared" si="2375"/>
        <v>0</v>
      </c>
      <c r="DA825" s="527" t="str">
        <f t="shared" si="2376"/>
        <v/>
      </c>
      <c r="DB825" s="526" t="str">
        <f t="shared" si="2377"/>
        <v/>
      </c>
      <c r="DC825" s="525" t="str">
        <f t="shared" si="2378"/>
        <v/>
      </c>
      <c r="DD825" s="641">
        <f t="shared" si="2379"/>
        <v>10</v>
      </c>
      <c r="DE825" s="95">
        <f t="shared" si="2380"/>
        <v>10</v>
      </c>
      <c r="DF825" s="95">
        <f t="shared" si="2381"/>
        <v>10</v>
      </c>
      <c r="DG825" s="95">
        <f t="shared" si="2382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384</v>
      </c>
      <c r="B826" s="788">
        <f t="shared" ref="B826:K826" si="2407">SUM(B172)</f>
        <v>0</v>
      </c>
      <c r="C826" s="788">
        <f t="shared" si="2407"/>
        <v>0</v>
      </c>
      <c r="D826" s="788">
        <f t="shared" si="2407"/>
        <v>0</v>
      </c>
      <c r="E826" s="788">
        <f t="shared" si="2407"/>
        <v>0</v>
      </c>
      <c r="F826" s="788">
        <f t="shared" si="2407"/>
        <v>0</v>
      </c>
      <c r="G826" s="788">
        <f t="shared" si="2407"/>
        <v>0</v>
      </c>
      <c r="H826" s="788">
        <f t="shared" si="2407"/>
        <v>0</v>
      </c>
      <c r="I826" s="788">
        <f t="shared" si="2407"/>
        <v>0</v>
      </c>
      <c r="J826" s="788">
        <f t="shared" si="2407"/>
        <v>0</v>
      </c>
      <c r="K826" s="788">
        <f t="shared" si="2407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408">SUM(T172)</f>
        <v>0</v>
      </c>
      <c r="U826" s="788">
        <f t="shared" si="2408"/>
        <v>0</v>
      </c>
      <c r="V826" s="788">
        <f t="shared" si="2408"/>
        <v>0</v>
      </c>
      <c r="W826" s="788">
        <f t="shared" si="2408"/>
        <v>0</v>
      </c>
      <c r="X826" s="788">
        <f t="shared" si="2408"/>
        <v>0</v>
      </c>
      <c r="Y826" s="788">
        <f t="shared" si="2408"/>
        <v>0</v>
      </c>
      <c r="Z826" s="788">
        <f t="shared" si="2408"/>
        <v>0</v>
      </c>
      <c r="AA826" s="788">
        <f t="shared" si="2408"/>
        <v>0</v>
      </c>
      <c r="AB826" s="788">
        <f t="shared" si="2408"/>
        <v>0</v>
      </c>
      <c r="AC826" s="788">
        <f t="shared" si="2408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409">SUM(AL172)</f>
        <v>0</v>
      </c>
      <c r="AM826" s="788">
        <f t="shared" si="2409"/>
        <v>0</v>
      </c>
      <c r="AN826" s="788">
        <f t="shared" si="2409"/>
        <v>0</v>
      </c>
      <c r="AO826" s="788">
        <f t="shared" si="2409"/>
        <v>0</v>
      </c>
      <c r="AP826" s="788">
        <f t="shared" si="2409"/>
        <v>0</v>
      </c>
      <c r="AQ826" s="788">
        <f t="shared" si="2409"/>
        <v>0</v>
      </c>
      <c r="AR826" s="788">
        <f t="shared" si="2409"/>
        <v>0</v>
      </c>
      <c r="AS826" s="788">
        <f t="shared" si="2409"/>
        <v>0</v>
      </c>
      <c r="AT826" s="788">
        <f t="shared" si="2409"/>
        <v>0</v>
      </c>
      <c r="AU826" s="788">
        <f t="shared" si="2409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410">SUM(BD172)</f>
        <v>0</v>
      </c>
      <c r="BE826" s="788">
        <f t="shared" si="2410"/>
        <v>0</v>
      </c>
      <c r="BF826" s="788">
        <f t="shared" si="2410"/>
        <v>0</v>
      </c>
      <c r="BG826" s="788">
        <f t="shared" si="2410"/>
        <v>0</v>
      </c>
      <c r="BH826" s="788">
        <f t="shared" si="2410"/>
        <v>0</v>
      </c>
      <c r="BI826" s="788">
        <f t="shared" si="2410"/>
        <v>0</v>
      </c>
      <c r="BJ826" s="788">
        <f t="shared" si="2410"/>
        <v>0</v>
      </c>
      <c r="BK826" s="788">
        <f t="shared" si="2410"/>
        <v>0</v>
      </c>
      <c r="BL826" s="788">
        <f t="shared" si="2410"/>
        <v>0</v>
      </c>
      <c r="BM826" s="788">
        <f t="shared" si="2410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411">SUM(BV172)</f>
        <v>0</v>
      </c>
      <c r="BW826" s="795">
        <f t="shared" si="2411"/>
        <v>0</v>
      </c>
      <c r="BX826" s="795">
        <f t="shared" si="2411"/>
        <v>0</v>
      </c>
      <c r="BY826" s="795">
        <f t="shared" si="2411"/>
        <v>0</v>
      </c>
      <c r="BZ826" s="611">
        <f t="shared" si="2358"/>
        <v>0</v>
      </c>
      <c r="CA826" s="611">
        <f t="shared" si="2359"/>
        <v>0</v>
      </c>
      <c r="CB826" s="611">
        <f t="shared" si="2360"/>
        <v>0</v>
      </c>
      <c r="CC826" s="679">
        <f t="shared" si="2361"/>
        <v>0</v>
      </c>
      <c r="CD826" s="1319">
        <f t="shared" si="2387"/>
        <v>0</v>
      </c>
      <c r="CE826" s="1320">
        <f t="shared" si="2388"/>
        <v>0</v>
      </c>
      <c r="CF826" s="1320">
        <f t="shared" si="2388"/>
        <v>0</v>
      </c>
      <c r="CG826" s="1320">
        <f t="shared" si="2388"/>
        <v>0</v>
      </c>
      <c r="CH826" s="1321">
        <f t="shared" si="2388"/>
        <v>0</v>
      </c>
      <c r="CI826" s="1321">
        <f t="shared" si="2388"/>
        <v>0</v>
      </c>
      <c r="CJ826" s="1320">
        <f t="shared" si="2388"/>
        <v>0</v>
      </c>
      <c r="CK826" s="1320">
        <f t="shared" si="2388"/>
        <v>0</v>
      </c>
      <c r="CL826" s="1320">
        <f t="shared" si="2388"/>
        <v>0</v>
      </c>
      <c r="CM826" s="1319">
        <f t="shared" si="2388"/>
        <v>0</v>
      </c>
      <c r="CN826" s="526" t="str">
        <f t="shared" si="2363"/>
        <v/>
      </c>
      <c r="CO826" s="527" t="str">
        <f t="shared" si="2364"/>
        <v/>
      </c>
      <c r="CP826" s="527" t="str">
        <f t="shared" si="2365"/>
        <v/>
      </c>
      <c r="CQ826" s="527">
        <f t="shared" si="2366"/>
        <v>0</v>
      </c>
      <c r="CR826" s="527">
        <f t="shared" si="2367"/>
        <v>0</v>
      </c>
      <c r="CS826" s="527">
        <f t="shared" si="2368"/>
        <v>0</v>
      </c>
      <c r="CT826" s="528">
        <f t="shared" si="2369"/>
        <v>0</v>
      </c>
      <c r="CU826" s="528">
        <f t="shared" si="2370"/>
        <v>0</v>
      </c>
      <c r="CV826" s="528">
        <f t="shared" si="2371"/>
        <v>0</v>
      </c>
      <c r="CW826" s="527">
        <f t="shared" si="2372"/>
        <v>0</v>
      </c>
      <c r="CX826" s="527">
        <f t="shared" si="2373"/>
        <v>0</v>
      </c>
      <c r="CY826" s="527">
        <f t="shared" si="2374"/>
        <v>0</v>
      </c>
      <c r="CZ826" s="527">
        <f t="shared" si="2375"/>
        <v>0</v>
      </c>
      <c r="DA826" s="527" t="str">
        <f t="shared" si="2376"/>
        <v/>
      </c>
      <c r="DB826" s="526" t="str">
        <f t="shared" si="2377"/>
        <v/>
      </c>
      <c r="DC826" s="525" t="str">
        <f t="shared" si="2378"/>
        <v/>
      </c>
      <c r="DD826" s="641">
        <f t="shared" si="2379"/>
        <v>10</v>
      </c>
      <c r="DE826" s="95">
        <f t="shared" si="2380"/>
        <v>10</v>
      </c>
      <c r="DF826" s="95">
        <f t="shared" si="2381"/>
        <v>10</v>
      </c>
      <c r="DG826" s="95">
        <f t="shared" si="2382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385</v>
      </c>
      <c r="B827" s="788">
        <f t="shared" ref="B827:K827" si="2412">SUM(B173)</f>
        <v>0</v>
      </c>
      <c r="C827" s="788">
        <f t="shared" si="2412"/>
        <v>0</v>
      </c>
      <c r="D827" s="788">
        <f t="shared" si="2412"/>
        <v>0</v>
      </c>
      <c r="E827" s="788">
        <f t="shared" si="2412"/>
        <v>0</v>
      </c>
      <c r="F827" s="788">
        <f t="shared" si="2412"/>
        <v>0</v>
      </c>
      <c r="G827" s="788">
        <f t="shared" si="2412"/>
        <v>0</v>
      </c>
      <c r="H827" s="788">
        <f t="shared" si="2412"/>
        <v>0</v>
      </c>
      <c r="I827" s="788">
        <f t="shared" si="2412"/>
        <v>0</v>
      </c>
      <c r="J827" s="788">
        <f t="shared" si="2412"/>
        <v>0</v>
      </c>
      <c r="K827" s="788">
        <f t="shared" si="2412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413">SUM(T173)</f>
        <v>0</v>
      </c>
      <c r="U827" s="788">
        <f t="shared" si="2413"/>
        <v>0</v>
      </c>
      <c r="V827" s="788">
        <f t="shared" si="2413"/>
        <v>0</v>
      </c>
      <c r="W827" s="788">
        <f t="shared" si="2413"/>
        <v>0</v>
      </c>
      <c r="X827" s="788">
        <f t="shared" si="2413"/>
        <v>0</v>
      </c>
      <c r="Y827" s="788">
        <f t="shared" si="2413"/>
        <v>0</v>
      </c>
      <c r="Z827" s="788">
        <f t="shared" si="2413"/>
        <v>0</v>
      </c>
      <c r="AA827" s="788">
        <f t="shared" si="2413"/>
        <v>0</v>
      </c>
      <c r="AB827" s="788">
        <f t="shared" si="2413"/>
        <v>0</v>
      </c>
      <c r="AC827" s="788">
        <f t="shared" si="2413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414">SUM(AL173)</f>
        <v>0</v>
      </c>
      <c r="AM827" s="788">
        <f t="shared" si="2414"/>
        <v>0</v>
      </c>
      <c r="AN827" s="788">
        <f t="shared" si="2414"/>
        <v>0</v>
      </c>
      <c r="AO827" s="788">
        <f t="shared" si="2414"/>
        <v>0</v>
      </c>
      <c r="AP827" s="788">
        <f t="shared" si="2414"/>
        <v>0</v>
      </c>
      <c r="AQ827" s="788">
        <f t="shared" si="2414"/>
        <v>0</v>
      </c>
      <c r="AR827" s="788">
        <f t="shared" si="2414"/>
        <v>0</v>
      </c>
      <c r="AS827" s="788">
        <f t="shared" si="2414"/>
        <v>0</v>
      </c>
      <c r="AT827" s="788">
        <f t="shared" si="2414"/>
        <v>0</v>
      </c>
      <c r="AU827" s="788">
        <f t="shared" si="2414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415">SUM(BD173)</f>
        <v>0</v>
      </c>
      <c r="BE827" s="788">
        <f t="shared" si="2415"/>
        <v>0</v>
      </c>
      <c r="BF827" s="788">
        <f t="shared" si="2415"/>
        <v>0</v>
      </c>
      <c r="BG827" s="788">
        <f t="shared" si="2415"/>
        <v>0</v>
      </c>
      <c r="BH827" s="788">
        <f t="shared" si="2415"/>
        <v>0</v>
      </c>
      <c r="BI827" s="788">
        <f t="shared" si="2415"/>
        <v>0</v>
      </c>
      <c r="BJ827" s="788">
        <f t="shared" si="2415"/>
        <v>0</v>
      </c>
      <c r="BK827" s="788">
        <f t="shared" si="2415"/>
        <v>0</v>
      </c>
      <c r="BL827" s="788">
        <f t="shared" si="2415"/>
        <v>0</v>
      </c>
      <c r="BM827" s="788">
        <f t="shared" si="2415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411"/>
        <v>0</v>
      </c>
      <c r="BW827" s="795">
        <f t="shared" si="2411"/>
        <v>0</v>
      </c>
      <c r="BX827" s="795">
        <f t="shared" si="2411"/>
        <v>0</v>
      </c>
      <c r="BY827" s="795">
        <f t="shared" si="2411"/>
        <v>0</v>
      </c>
      <c r="BZ827" s="611">
        <f t="shared" si="2358"/>
        <v>0</v>
      </c>
      <c r="CA827" s="611">
        <f t="shared" si="2359"/>
        <v>0</v>
      </c>
      <c r="CB827" s="611">
        <f t="shared" si="2360"/>
        <v>0</v>
      </c>
      <c r="CC827" s="679">
        <f t="shared" si="2361"/>
        <v>0</v>
      </c>
      <c r="CD827" s="1319">
        <f t="shared" si="2387"/>
        <v>0</v>
      </c>
      <c r="CE827" s="1320">
        <f t="shared" si="2388"/>
        <v>0</v>
      </c>
      <c r="CF827" s="1320">
        <f t="shared" si="2388"/>
        <v>0</v>
      </c>
      <c r="CG827" s="1320">
        <f t="shared" si="2388"/>
        <v>0</v>
      </c>
      <c r="CH827" s="1321">
        <f t="shared" si="2388"/>
        <v>0</v>
      </c>
      <c r="CI827" s="1321">
        <f t="shared" si="2388"/>
        <v>0</v>
      </c>
      <c r="CJ827" s="1320">
        <f t="shared" si="2388"/>
        <v>0</v>
      </c>
      <c r="CK827" s="1320">
        <f t="shared" si="2388"/>
        <v>0</v>
      </c>
      <c r="CL827" s="1320">
        <f t="shared" si="2388"/>
        <v>0</v>
      </c>
      <c r="CM827" s="1319">
        <f t="shared" si="2388"/>
        <v>0</v>
      </c>
      <c r="CN827" s="526" t="str">
        <f t="shared" si="2363"/>
        <v/>
      </c>
      <c r="CO827" s="527" t="str">
        <f t="shared" si="2364"/>
        <v/>
      </c>
      <c r="CP827" s="527" t="str">
        <f t="shared" si="2365"/>
        <v/>
      </c>
      <c r="CQ827" s="527">
        <f t="shared" si="2366"/>
        <v>0</v>
      </c>
      <c r="CR827" s="527">
        <f t="shared" si="2367"/>
        <v>0</v>
      </c>
      <c r="CS827" s="527">
        <f t="shared" si="2368"/>
        <v>0</v>
      </c>
      <c r="CT827" s="528">
        <f t="shared" si="2369"/>
        <v>0</v>
      </c>
      <c r="CU827" s="528">
        <f t="shared" si="2370"/>
        <v>0</v>
      </c>
      <c r="CV827" s="528">
        <f t="shared" si="2371"/>
        <v>0</v>
      </c>
      <c r="CW827" s="527">
        <f t="shared" si="2372"/>
        <v>0</v>
      </c>
      <c r="CX827" s="527">
        <f t="shared" si="2373"/>
        <v>0</v>
      </c>
      <c r="CY827" s="527">
        <f t="shared" si="2374"/>
        <v>0</v>
      </c>
      <c r="CZ827" s="527">
        <f t="shared" si="2375"/>
        <v>0</v>
      </c>
      <c r="DA827" s="527" t="str">
        <f t="shared" si="2376"/>
        <v/>
      </c>
      <c r="DB827" s="526" t="str">
        <f t="shared" si="2377"/>
        <v/>
      </c>
      <c r="DC827" s="525" t="str">
        <f t="shared" si="2378"/>
        <v/>
      </c>
      <c r="DD827" s="641">
        <f t="shared" si="2379"/>
        <v>10</v>
      </c>
      <c r="DE827" s="95">
        <f t="shared" si="2380"/>
        <v>10</v>
      </c>
      <c r="DF827" s="95">
        <f t="shared" si="2381"/>
        <v>10</v>
      </c>
      <c r="DG827" s="95">
        <f t="shared" si="2382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386</v>
      </c>
      <c r="B828" s="788">
        <f t="shared" ref="B828:K828" si="2416">SUM(B183,B180,B177)</f>
        <v>0</v>
      </c>
      <c r="C828" s="788">
        <f t="shared" si="2416"/>
        <v>0</v>
      </c>
      <c r="D828" s="788">
        <f t="shared" si="2416"/>
        <v>0</v>
      </c>
      <c r="E828" s="788">
        <f t="shared" si="2416"/>
        <v>9.4502801992528019E-3</v>
      </c>
      <c r="F828" s="788">
        <f t="shared" si="2416"/>
        <v>0</v>
      </c>
      <c r="G828" s="788">
        <f t="shared" si="2416"/>
        <v>5.906425124533001E-3</v>
      </c>
      <c r="H828" s="788">
        <f t="shared" si="2416"/>
        <v>0</v>
      </c>
      <c r="I828" s="788">
        <f t="shared" si="2416"/>
        <v>0</v>
      </c>
      <c r="J828" s="788">
        <f t="shared" si="2416"/>
        <v>0</v>
      </c>
      <c r="K828" s="788">
        <f t="shared" si="2416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417">SUM(T183,T180,T177)</f>
        <v>2.3625700498132004E-2</v>
      </c>
      <c r="U828" s="788">
        <f t="shared" si="2417"/>
        <v>0</v>
      </c>
      <c r="V828" s="788">
        <f t="shared" si="2417"/>
        <v>0</v>
      </c>
      <c r="W828" s="788">
        <f t="shared" si="2417"/>
        <v>9.4502801992528019E-3</v>
      </c>
      <c r="X828" s="788">
        <f t="shared" si="2417"/>
        <v>1.1812850249066002E-2</v>
      </c>
      <c r="Y828" s="788">
        <f t="shared" si="2417"/>
        <v>0</v>
      </c>
      <c r="Z828" s="788">
        <f t="shared" si="2417"/>
        <v>1.575046699875467E-2</v>
      </c>
      <c r="AA828" s="788">
        <f t="shared" si="2417"/>
        <v>9.4502801992528019E-3</v>
      </c>
      <c r="AB828" s="788">
        <f t="shared" si="2417"/>
        <v>1.7719275373599006E-2</v>
      </c>
      <c r="AC828" s="788">
        <f t="shared" si="2417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418">SUM(AL183,AL180,AL177)</f>
        <v>1.3500400284646859E-2</v>
      </c>
      <c r="AM828" s="788">
        <f t="shared" si="2418"/>
        <v>0</v>
      </c>
      <c r="AN828" s="788">
        <f t="shared" si="2418"/>
        <v>0.19324193648816937</v>
      </c>
      <c r="AO828" s="788">
        <f t="shared" si="2418"/>
        <v>0</v>
      </c>
      <c r="AP828" s="788">
        <f t="shared" si="2418"/>
        <v>0.10607124844333748</v>
      </c>
      <c r="AQ828" s="788">
        <f t="shared" si="2418"/>
        <v>9.1895828144458278E-2</v>
      </c>
      <c r="AR828" s="788">
        <f t="shared" si="2418"/>
        <v>7.9140277530688488E-2</v>
      </c>
      <c r="AS828" s="788">
        <f t="shared" si="2418"/>
        <v>6.0123334371108339E-2</v>
      </c>
      <c r="AT828" s="788">
        <f t="shared" si="2418"/>
        <v>0.12969694894146949</v>
      </c>
      <c r="AU828" s="788">
        <f t="shared" si="2418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419">SUM(BD183,BD180,BD177)</f>
        <v>8.8392707036114571E-2</v>
      </c>
      <c r="BE828" s="788">
        <f t="shared" si="2419"/>
        <v>6.9247742839352422E-2</v>
      </c>
      <c r="BF828" s="788">
        <f t="shared" si="2419"/>
        <v>0.12668263542963887</v>
      </c>
      <c r="BG828" s="788">
        <f t="shared" si="2419"/>
        <v>0.16503075520370042</v>
      </c>
      <c r="BH828" s="788">
        <f t="shared" si="2419"/>
        <v>0.10072398958451262</v>
      </c>
      <c r="BI828" s="788">
        <f t="shared" si="2419"/>
        <v>5.5398194271481939E-2</v>
      </c>
      <c r="BJ828" s="788">
        <f t="shared" si="2419"/>
        <v>0.15030833592777088</v>
      </c>
      <c r="BK828" s="788">
        <f t="shared" si="2419"/>
        <v>9.2640677815335346E-2</v>
      </c>
      <c r="BL828" s="788">
        <f t="shared" si="2419"/>
        <v>0.13819923865051509</v>
      </c>
      <c r="BM828" s="788">
        <f t="shared" si="2419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58"/>
        <v>7.3830314056662501E-4</v>
      </c>
      <c r="CA828" s="611">
        <f t="shared" si="2359"/>
        <v>1.0976106689757159E-2</v>
      </c>
      <c r="CB828" s="611">
        <f t="shared" si="2360"/>
        <v>7.8465257516456152E-2</v>
      </c>
      <c r="CC828" s="679">
        <f t="shared" si="2361"/>
        <v>0.10735450063732191</v>
      </c>
      <c r="CD828" s="1319">
        <f t="shared" si="2387"/>
        <v>0</v>
      </c>
      <c r="CE828" s="1320">
        <f t="shared" si="2388"/>
        <v>0</v>
      </c>
      <c r="CF828" s="1320">
        <f t="shared" si="2388"/>
        <v>1.3500400284646859E-2</v>
      </c>
      <c r="CG828" s="1320">
        <f t="shared" si="2388"/>
        <v>6.0123334371108339E-2</v>
      </c>
      <c r="CH828" s="1321">
        <f t="shared" si="2388"/>
        <v>7.9140277530688488E-2</v>
      </c>
      <c r="CI828" s="1321">
        <f t="shared" si="2388"/>
        <v>9.1895828144458278E-2</v>
      </c>
      <c r="CJ828" s="1320">
        <f t="shared" si="2388"/>
        <v>0.10607124844333748</v>
      </c>
      <c r="CK828" s="1320">
        <f t="shared" si="2388"/>
        <v>0.12969694894146949</v>
      </c>
      <c r="CL828" s="1320">
        <f t="shared" si="2388"/>
        <v>0.14729402241594022</v>
      </c>
      <c r="CM828" s="1319">
        <f t="shared" si="2388"/>
        <v>0.19324193648816937</v>
      </c>
      <c r="CN828" s="526" t="str">
        <f t="shared" si="2363"/>
        <v/>
      </c>
      <c r="CO828" s="527" t="str">
        <f t="shared" si="2364"/>
        <v/>
      </c>
      <c r="CP828" s="527" t="str">
        <f t="shared" si="2365"/>
        <v/>
      </c>
      <c r="CQ828" s="527">
        <f t="shared" si="2366"/>
        <v>5.5398194271481939E-2</v>
      </c>
      <c r="CR828" s="527">
        <f t="shared" si="2367"/>
        <v>6.9247742839352422E-2</v>
      </c>
      <c r="CS828" s="527">
        <f t="shared" si="2368"/>
        <v>8.8392707036114571E-2</v>
      </c>
      <c r="CT828" s="528">
        <f t="shared" si="2369"/>
        <v>9.2640677815335346E-2</v>
      </c>
      <c r="CU828" s="528">
        <f t="shared" si="2370"/>
        <v>9.2640677815335346E-2</v>
      </c>
      <c r="CV828" s="528">
        <f t="shared" si="2371"/>
        <v>0.10072398958451262</v>
      </c>
      <c r="CW828" s="527">
        <f t="shared" si="2372"/>
        <v>0.12668263542963887</v>
      </c>
      <c r="CX828" s="527">
        <f t="shared" si="2373"/>
        <v>0.13819923865051509</v>
      </c>
      <c r="CY828" s="527">
        <f t="shared" si="2374"/>
        <v>0.15030833592777088</v>
      </c>
      <c r="CZ828" s="527">
        <f t="shared" si="2375"/>
        <v>0.16503075520370042</v>
      </c>
      <c r="DA828" s="527" t="str">
        <f t="shared" si="2376"/>
        <v/>
      </c>
      <c r="DB828" s="526" t="str">
        <f t="shared" si="2377"/>
        <v/>
      </c>
      <c r="DC828" s="525" t="str">
        <f t="shared" si="2378"/>
        <v/>
      </c>
      <c r="DD828" s="641">
        <f t="shared" si="2379"/>
        <v>10</v>
      </c>
      <c r="DE828" s="95">
        <f t="shared" si="2380"/>
        <v>10</v>
      </c>
      <c r="DF828" s="95">
        <f t="shared" si="2381"/>
        <v>10</v>
      </c>
      <c r="DG828" s="95">
        <f t="shared" si="2382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0"/>
      <c r="CE829" s="1340"/>
      <c r="CF829" s="1340"/>
      <c r="CG829" s="1340"/>
      <c r="CH829" s="1340"/>
      <c r="CI829" s="1340"/>
      <c r="CJ829" s="1340"/>
      <c r="CK829" s="1340"/>
      <c r="CL829" s="1340"/>
      <c r="CM829" s="1340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420">SUM(B230)</f>
        <v>0.05</v>
      </c>
      <c r="C830" s="795">
        <f t="shared" si="2420"/>
        <v>4.2500000000000003E-2</v>
      </c>
      <c r="D830" s="795">
        <f t="shared" si="2420"/>
        <v>4.2500000000000003E-2</v>
      </c>
      <c r="E830" s="795">
        <f t="shared" si="2420"/>
        <v>4.2500000000000003E-2</v>
      </c>
      <c r="F830" s="795">
        <f t="shared" si="2420"/>
        <v>2.8333333333333335E-2</v>
      </c>
      <c r="G830" s="795">
        <f t="shared" si="2420"/>
        <v>2.8333333333333335E-2</v>
      </c>
      <c r="H830" s="795">
        <f t="shared" si="2420"/>
        <v>4.2500000000000003E-2</v>
      </c>
      <c r="I830" s="795">
        <f t="shared" si="2420"/>
        <v>4.2500000000000003E-2</v>
      </c>
      <c r="J830" s="795">
        <f t="shared" si="2420"/>
        <v>3.3333333333333333E-2</v>
      </c>
      <c r="K830" s="795">
        <f t="shared" si="2420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421">SUM(T230)</f>
        <v>4.2500000000000003E-2</v>
      </c>
      <c r="U830" s="795">
        <f t="shared" si="2421"/>
        <v>2.8333333333333335E-2</v>
      </c>
      <c r="V830" s="795">
        <f t="shared" si="2421"/>
        <v>4.2500000000000003E-2</v>
      </c>
      <c r="W830" s="795">
        <f t="shared" si="2421"/>
        <v>4.2500000000000003E-2</v>
      </c>
      <c r="X830" s="795">
        <f t="shared" si="2421"/>
        <v>4.2500000000000003E-2</v>
      </c>
      <c r="Y830" s="795">
        <f t="shared" si="2421"/>
        <v>0.05</v>
      </c>
      <c r="Z830" s="795">
        <f t="shared" si="2421"/>
        <v>2.8333333333333335E-2</v>
      </c>
      <c r="AA830" s="795">
        <f t="shared" si="2421"/>
        <v>2.8333333333333335E-2</v>
      </c>
      <c r="AB830" s="795">
        <f t="shared" si="2421"/>
        <v>2.8333333333333335E-2</v>
      </c>
      <c r="AC830" s="795">
        <f t="shared" si="2421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422">SUM(AL230)</f>
        <v>6.25E-2</v>
      </c>
      <c r="AM830" s="795">
        <f t="shared" si="2422"/>
        <v>4.2500000000000003E-2</v>
      </c>
      <c r="AN830" s="795">
        <f t="shared" si="2422"/>
        <v>2.8333333333333335E-2</v>
      </c>
      <c r="AO830" s="795">
        <f t="shared" si="2422"/>
        <v>0.05</v>
      </c>
      <c r="AP830" s="795">
        <f t="shared" si="2422"/>
        <v>0.05</v>
      </c>
      <c r="AQ830" s="795">
        <f t="shared" si="2422"/>
        <v>0.05</v>
      </c>
      <c r="AR830" s="795">
        <f t="shared" si="2422"/>
        <v>4.2500000000000003E-2</v>
      </c>
      <c r="AS830" s="795">
        <f t="shared" si="2422"/>
        <v>4.2500000000000003E-2</v>
      </c>
      <c r="AT830" s="795">
        <f t="shared" si="2422"/>
        <v>2.8333333333333335E-2</v>
      </c>
      <c r="AU830" s="795">
        <f t="shared" si="2422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423">SUM(BD230)</f>
        <v>4.2500000000000003E-2</v>
      </c>
      <c r="BE830" s="795">
        <f t="shared" si="2423"/>
        <v>3.3333333333333333E-2</v>
      </c>
      <c r="BF830" s="795">
        <f t="shared" si="2423"/>
        <v>3.3333333333333333E-2</v>
      </c>
      <c r="BG830" s="795">
        <f t="shared" si="2423"/>
        <v>4.1666666666666671E-2</v>
      </c>
      <c r="BH830" s="795">
        <f t="shared" si="2423"/>
        <v>0.04</v>
      </c>
      <c r="BI830" s="795">
        <f t="shared" si="2423"/>
        <v>0.05</v>
      </c>
      <c r="BJ830" s="795">
        <f t="shared" si="2423"/>
        <v>6.25E-2</v>
      </c>
      <c r="BK830" s="795">
        <f t="shared" si="2423"/>
        <v>6.25E-2</v>
      </c>
      <c r="BL830" s="795">
        <f t="shared" si="2423"/>
        <v>6.25E-2</v>
      </c>
      <c r="BM830" s="795">
        <f t="shared" si="2423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2">
        <f>SUM(BX230)</f>
        <v>4.2500000000000003E-2</v>
      </c>
      <c r="BY830" s="795">
        <f>SUM(BY230)</f>
        <v>0.05</v>
      </c>
      <c r="BZ830" s="611">
        <f t="shared" ref="BZ830:BZ849" si="2424">IF(DD830&lt;3,"",(SUM(B830:R830)-MIN(B830:R830)-MAX(B830:R830))/(DD830-2))</f>
        <v>3.7812499999999999E-2</v>
      </c>
      <c r="CA830" s="611">
        <f t="shared" ref="CA830:CA849" si="2425">IF(DE830&lt;3,"",(SUM(T830:AJ830)-MIN(T830:AJ830)-MAX(T830:AJ830))/(DE830-2))</f>
        <v>3.7187499999999998E-2</v>
      </c>
      <c r="CB830" s="611">
        <f t="shared" ref="CB830:CB849" si="2426">IF(DF830&lt;3,"",(SUM(AL830:BB830)-MIN(AL830:BB830)-MAX(AL830:BB830))/(DF830-2))</f>
        <v>4.3541666666666659E-2</v>
      </c>
      <c r="CC830" s="679">
        <f t="shared" ref="CC830:CC849" si="2427">IF(DG830&lt;3,"",(SUM(BD830:BT830)-MIN(BD830:BT830)-MAX(BD830:BT830))/(DG830-2))</f>
        <v>4.8437500000000001E-2</v>
      </c>
      <c r="CD830" s="1319">
        <f t="shared" ref="CD830:CM830" si="242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320">
        <f t="shared" si="2428"/>
        <v>2.8333333333333335E-2</v>
      </c>
      <c r="CF830" s="1320">
        <f t="shared" si="2428"/>
        <v>4.2500000000000003E-2</v>
      </c>
      <c r="CG830" s="1320">
        <f t="shared" si="2428"/>
        <v>4.2500000000000003E-2</v>
      </c>
      <c r="CH830" s="1321">
        <f t="shared" si="2428"/>
        <v>4.2500000000000003E-2</v>
      </c>
      <c r="CI830" s="1321">
        <f t="shared" si="2428"/>
        <v>4.2500000000000003E-2</v>
      </c>
      <c r="CJ830" s="1320">
        <f t="shared" si="2428"/>
        <v>0.05</v>
      </c>
      <c r="CK830" s="1320">
        <f t="shared" si="2428"/>
        <v>0.05</v>
      </c>
      <c r="CL830" s="1320">
        <f t="shared" si="2428"/>
        <v>0.05</v>
      </c>
      <c r="CM830" s="1319">
        <f t="shared" si="2428"/>
        <v>6.25E-2</v>
      </c>
      <c r="CN830" s="526" t="str">
        <f t="shared" ref="CN830:CN849" si="242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3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3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3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3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3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3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3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3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3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3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4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4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4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4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4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45">COUNT(B830:R830)</f>
        <v>10</v>
      </c>
      <c r="DE830" s="95">
        <f t="shared" ref="DE830:DE849" si="2446">COUNT(T830:AJ830)</f>
        <v>10</v>
      </c>
      <c r="DF830" s="95">
        <f t="shared" ref="DF830:DF849" si="2447">COUNT(AL830:BB830)</f>
        <v>10</v>
      </c>
      <c r="DG830" s="95">
        <f t="shared" ref="DG830:DG849" si="2448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49">SUM(B233)</f>
        <v>0</v>
      </c>
      <c r="C831" s="795">
        <f t="shared" si="2449"/>
        <v>0</v>
      </c>
      <c r="D831" s="795">
        <f t="shared" si="2449"/>
        <v>0</v>
      </c>
      <c r="E831" s="795">
        <f t="shared" si="2449"/>
        <v>0</v>
      </c>
      <c r="F831" s="795">
        <f t="shared" si="2449"/>
        <v>0</v>
      </c>
      <c r="G831" s="795">
        <f t="shared" si="2449"/>
        <v>0</v>
      </c>
      <c r="H831" s="795">
        <f t="shared" si="2449"/>
        <v>0</v>
      </c>
      <c r="I831" s="795">
        <f t="shared" si="2449"/>
        <v>0</v>
      </c>
      <c r="J831" s="795">
        <f t="shared" si="2449"/>
        <v>0</v>
      </c>
      <c r="K831" s="795">
        <f t="shared" si="2449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50">SUM(T233)</f>
        <v>0</v>
      </c>
      <c r="U831" s="795">
        <f t="shared" si="2450"/>
        <v>0</v>
      </c>
      <c r="V831" s="795">
        <f t="shared" si="2450"/>
        <v>0</v>
      </c>
      <c r="W831" s="795">
        <f t="shared" si="2450"/>
        <v>0</v>
      </c>
      <c r="X831" s="795">
        <f t="shared" si="2450"/>
        <v>0</v>
      </c>
      <c r="Y831" s="795">
        <f t="shared" si="2450"/>
        <v>0</v>
      </c>
      <c r="Z831" s="795">
        <f t="shared" si="2450"/>
        <v>0</v>
      </c>
      <c r="AA831" s="795">
        <f t="shared" si="2450"/>
        <v>0</v>
      </c>
      <c r="AB831" s="795">
        <f t="shared" si="2450"/>
        <v>0</v>
      </c>
      <c r="AC831" s="795">
        <f t="shared" si="2450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51">SUM(AL233)</f>
        <v>0</v>
      </c>
      <c r="AM831" s="795">
        <f t="shared" si="2451"/>
        <v>0</v>
      </c>
      <c r="AN831" s="795">
        <f t="shared" si="2451"/>
        <v>0</v>
      </c>
      <c r="AO831" s="795">
        <f t="shared" si="2451"/>
        <v>0</v>
      </c>
      <c r="AP831" s="795">
        <f t="shared" si="2451"/>
        <v>0</v>
      </c>
      <c r="AQ831" s="795">
        <f t="shared" si="2451"/>
        <v>0</v>
      </c>
      <c r="AR831" s="795">
        <f t="shared" si="2451"/>
        <v>0</v>
      </c>
      <c r="AS831" s="795">
        <f t="shared" si="2451"/>
        <v>0</v>
      </c>
      <c r="AT831" s="795">
        <f t="shared" si="2451"/>
        <v>0</v>
      </c>
      <c r="AU831" s="795">
        <f t="shared" si="2451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52">SUM(BD233)</f>
        <v>0</v>
      </c>
      <c r="BE831" s="795">
        <f t="shared" si="2452"/>
        <v>0</v>
      </c>
      <c r="BF831" s="795">
        <f t="shared" si="2452"/>
        <v>0</v>
      </c>
      <c r="BG831" s="795">
        <f t="shared" si="2452"/>
        <v>0</v>
      </c>
      <c r="BH831" s="795">
        <f t="shared" si="2452"/>
        <v>0</v>
      </c>
      <c r="BI831" s="795">
        <f t="shared" si="2452"/>
        <v>0</v>
      </c>
      <c r="BJ831" s="795">
        <f t="shared" si="2452"/>
        <v>0</v>
      </c>
      <c r="BK831" s="795">
        <f t="shared" si="2452"/>
        <v>0</v>
      </c>
      <c r="BL831" s="795">
        <f t="shared" si="2452"/>
        <v>0</v>
      </c>
      <c r="BM831" s="795">
        <f t="shared" si="2452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2">
        <f>SUM(BX233)</f>
        <v>0</v>
      </c>
      <c r="BY831" s="795">
        <f>SUM(BY233)</f>
        <v>0</v>
      </c>
      <c r="BZ831" s="611">
        <f t="shared" si="2424"/>
        <v>0</v>
      </c>
      <c r="CA831" s="611">
        <f t="shared" si="2425"/>
        <v>0</v>
      </c>
      <c r="CB831" s="611">
        <f t="shared" si="2426"/>
        <v>0</v>
      </c>
      <c r="CC831" s="679">
        <f t="shared" si="2427"/>
        <v>0</v>
      </c>
      <c r="CD831" s="1319">
        <f t="shared" ref="CD831:CD849" si="245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0">
        <f t="shared" ref="CE831:CM846" si="245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0">
        <f t="shared" si="2454"/>
        <v>0</v>
      </c>
      <c r="CG831" s="1320">
        <f t="shared" si="2454"/>
        <v>0</v>
      </c>
      <c r="CH831" s="1321">
        <f t="shared" si="2454"/>
        <v>0</v>
      </c>
      <c r="CI831" s="1321">
        <f t="shared" si="2454"/>
        <v>0</v>
      </c>
      <c r="CJ831" s="1320">
        <f t="shared" si="2454"/>
        <v>0</v>
      </c>
      <c r="CK831" s="1320">
        <f t="shared" si="2454"/>
        <v>0</v>
      </c>
      <c r="CL831" s="1320">
        <f t="shared" si="2454"/>
        <v>0</v>
      </c>
      <c r="CM831" s="1319">
        <f t="shared" si="2454"/>
        <v>0</v>
      </c>
      <c r="CN831" s="526" t="str">
        <f t="shared" si="2429"/>
        <v/>
      </c>
      <c r="CO831" s="527" t="str">
        <f t="shared" si="2430"/>
        <v/>
      </c>
      <c r="CP831" s="527" t="str">
        <f t="shared" si="2431"/>
        <v/>
      </c>
      <c r="CQ831" s="527">
        <f t="shared" si="2432"/>
        <v>0</v>
      </c>
      <c r="CR831" s="527">
        <f t="shared" si="2433"/>
        <v>0</v>
      </c>
      <c r="CS831" s="527">
        <f t="shared" si="2434"/>
        <v>0</v>
      </c>
      <c r="CT831" s="528">
        <f t="shared" si="2435"/>
        <v>0</v>
      </c>
      <c r="CU831" s="528">
        <f t="shared" si="2436"/>
        <v>0</v>
      </c>
      <c r="CV831" s="528">
        <f t="shared" si="2437"/>
        <v>0</v>
      </c>
      <c r="CW831" s="527">
        <f t="shared" si="2438"/>
        <v>0</v>
      </c>
      <c r="CX831" s="527">
        <f t="shared" si="2439"/>
        <v>0</v>
      </c>
      <c r="CY831" s="527">
        <f t="shared" si="2440"/>
        <v>0</v>
      </c>
      <c r="CZ831" s="527">
        <f t="shared" si="2441"/>
        <v>0</v>
      </c>
      <c r="DA831" s="527" t="str">
        <f t="shared" si="2442"/>
        <v/>
      </c>
      <c r="DB831" s="526" t="str">
        <f t="shared" si="2443"/>
        <v/>
      </c>
      <c r="DC831" s="525" t="str">
        <f t="shared" si="2444"/>
        <v/>
      </c>
      <c r="DD831" s="641">
        <f t="shared" si="2445"/>
        <v>10</v>
      </c>
      <c r="DE831" s="95">
        <f t="shared" si="2446"/>
        <v>10</v>
      </c>
      <c r="DF831" s="95">
        <f t="shared" si="2447"/>
        <v>10</v>
      </c>
      <c r="DG831" s="95">
        <f t="shared" si="2448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55">SUM(B243)</f>
        <v>0.14668138356164381</v>
      </c>
      <c r="C832" s="795">
        <f t="shared" si="2455"/>
        <v>6.759510763209392E-2</v>
      </c>
      <c r="D832" s="795">
        <f t="shared" si="2455"/>
        <v>2.9572859589041094E-2</v>
      </c>
      <c r="E832" s="795">
        <f t="shared" si="2455"/>
        <v>7.0974863013698611E-2</v>
      </c>
      <c r="F832" s="795">
        <f t="shared" si="2455"/>
        <v>0.10139266144814088</v>
      </c>
      <c r="G832" s="795">
        <f t="shared" si="2455"/>
        <v>8.8718578767123274E-2</v>
      </c>
      <c r="H832" s="795">
        <f t="shared" si="2455"/>
        <v>7.8860958904109574E-2</v>
      </c>
      <c r="I832" s="795">
        <f t="shared" si="2455"/>
        <v>0.14100339452054794</v>
      </c>
      <c r="J832" s="795">
        <f t="shared" si="2455"/>
        <v>0.11829143835616437</v>
      </c>
      <c r="K832" s="795">
        <f t="shared" si="2455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56">SUM(T243)</f>
        <v>0.17447987157534242</v>
      </c>
      <c r="U832" s="795">
        <f t="shared" si="2456"/>
        <v>6.0835596868884532E-2</v>
      </c>
      <c r="V832" s="795">
        <f t="shared" si="2456"/>
        <v>0.13143493150684929</v>
      </c>
      <c r="W832" s="795">
        <f t="shared" si="2456"/>
        <v>7.5706520547945202E-2</v>
      </c>
      <c r="X832" s="795">
        <f t="shared" si="2456"/>
        <v>0.11237686643835616</v>
      </c>
      <c r="Y832" s="795">
        <f t="shared" si="2456"/>
        <v>0.10409646575342466</v>
      </c>
      <c r="Z832" s="795">
        <f t="shared" si="2456"/>
        <v>5.2573972602739716E-2</v>
      </c>
      <c r="AA832" s="795">
        <f t="shared" si="2456"/>
        <v>6.1511547945205483E-2</v>
      </c>
      <c r="AB832" s="795">
        <f t="shared" si="2456"/>
        <v>4.731657534246575E-2</v>
      </c>
      <c r="AC832" s="795">
        <f t="shared" si="2456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57">SUM(AL243)</f>
        <v>0.10139266144814088</v>
      </c>
      <c r="AM832" s="795">
        <f t="shared" si="2457"/>
        <v>5.9145719178082187E-2</v>
      </c>
      <c r="AN832" s="795">
        <f t="shared" si="2457"/>
        <v>0</v>
      </c>
      <c r="AO832" s="795">
        <f t="shared" si="2457"/>
        <v>0.11829143835616437</v>
      </c>
      <c r="AP832" s="795">
        <f t="shared" si="2457"/>
        <v>0.14194972602739722</v>
      </c>
      <c r="AQ832" s="795">
        <f t="shared" si="2457"/>
        <v>8.5169835616438358E-2</v>
      </c>
      <c r="AR832" s="795">
        <f t="shared" si="2457"/>
        <v>6.759510763209392E-2</v>
      </c>
      <c r="AS832" s="795">
        <f t="shared" si="2457"/>
        <v>0.1414765602739726</v>
      </c>
      <c r="AT832" s="795">
        <f t="shared" si="2457"/>
        <v>9.46331506849315E-2</v>
      </c>
      <c r="AU832" s="795">
        <f t="shared" si="2457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58">SUM(BD243)</f>
        <v>0.20503849315068493</v>
      </c>
      <c r="BE832" s="795">
        <f t="shared" si="2458"/>
        <v>7.688943493150685E-2</v>
      </c>
      <c r="BF832" s="795">
        <f t="shared" si="2458"/>
        <v>0.17842291952054795</v>
      </c>
      <c r="BG832" s="795">
        <f t="shared" si="2458"/>
        <v>0.13519021526418784</v>
      </c>
      <c r="BH832" s="795">
        <f t="shared" si="2458"/>
        <v>0.12904520547945203</v>
      </c>
      <c r="BI832" s="795">
        <f t="shared" si="2458"/>
        <v>0.14194972602739722</v>
      </c>
      <c r="BJ832" s="795">
        <f t="shared" si="2458"/>
        <v>5.9145719178082187E-2</v>
      </c>
      <c r="BK832" s="795">
        <f t="shared" si="2458"/>
        <v>6.0835596868884532E-2</v>
      </c>
      <c r="BL832" s="795">
        <f t="shared" si="2458"/>
        <v>0.12904520547945203</v>
      </c>
      <c r="BM832" s="795">
        <f t="shared" si="2458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424"/>
        <v>0.10025340223825832</v>
      </c>
      <c r="CA832" s="611">
        <f t="shared" si="2425"/>
        <v>8.0731559625733862E-2</v>
      </c>
      <c r="CB832" s="611">
        <f t="shared" si="2426"/>
        <v>9.2039188429549904E-2</v>
      </c>
      <c r="CC832" s="679">
        <f t="shared" si="2427"/>
        <v>0.12416600369985319</v>
      </c>
      <c r="CD832" s="1319">
        <f t="shared" si="2453"/>
        <v>0</v>
      </c>
      <c r="CE832" s="1320">
        <f t="shared" si="2454"/>
        <v>5.9145719178082187E-2</v>
      </c>
      <c r="CF832" s="1320">
        <f t="shared" si="2454"/>
        <v>6.759510763209392E-2</v>
      </c>
      <c r="CG832" s="1320">
        <f t="shared" si="2454"/>
        <v>6.8609034246575343E-2</v>
      </c>
      <c r="CH832" s="1321">
        <f t="shared" si="2454"/>
        <v>8.5169835616438358E-2</v>
      </c>
      <c r="CI832" s="1321">
        <f t="shared" si="2454"/>
        <v>9.46331506849315E-2</v>
      </c>
      <c r="CJ832" s="1320">
        <f t="shared" si="2454"/>
        <v>0.10139266144814088</v>
      </c>
      <c r="CK832" s="1320">
        <f t="shared" si="2454"/>
        <v>0.11829143835616437</v>
      </c>
      <c r="CL832" s="1320">
        <f t="shared" si="2454"/>
        <v>0.1414765602739726</v>
      </c>
      <c r="CM832" s="1319">
        <f t="shared" si="2454"/>
        <v>0.14194972602739722</v>
      </c>
      <c r="CN832" s="526" t="str">
        <f t="shared" si="2429"/>
        <v/>
      </c>
      <c r="CO832" s="527" t="str">
        <f t="shared" si="2430"/>
        <v/>
      </c>
      <c r="CP832" s="527" t="str">
        <f t="shared" si="2431"/>
        <v/>
      </c>
      <c r="CQ832" s="527">
        <f t="shared" si="2432"/>
        <v>5.9145719178082187E-2</v>
      </c>
      <c r="CR832" s="527">
        <f t="shared" si="2433"/>
        <v>6.0835596868884532E-2</v>
      </c>
      <c r="CS832" s="527">
        <f t="shared" si="2434"/>
        <v>7.688943493150685E-2</v>
      </c>
      <c r="CT832" s="528">
        <f t="shared" si="2435"/>
        <v>0.12904520547945203</v>
      </c>
      <c r="CU832" s="528">
        <f t="shared" si="2436"/>
        <v>0.12904520547945203</v>
      </c>
      <c r="CV832" s="528">
        <f t="shared" si="2437"/>
        <v>0.13519021526418784</v>
      </c>
      <c r="CW832" s="527">
        <f t="shared" si="2438"/>
        <v>0.14194972602739722</v>
      </c>
      <c r="CX832" s="527">
        <f t="shared" si="2439"/>
        <v>0.14194972602739725</v>
      </c>
      <c r="CY832" s="527">
        <f t="shared" si="2440"/>
        <v>0.17842291952054795</v>
      </c>
      <c r="CZ832" s="527">
        <f t="shared" si="2441"/>
        <v>0.20503849315068493</v>
      </c>
      <c r="DA832" s="527" t="str">
        <f t="shared" si="2442"/>
        <v/>
      </c>
      <c r="DB832" s="526" t="str">
        <f t="shared" si="2443"/>
        <v/>
      </c>
      <c r="DC832" s="525" t="str">
        <f t="shared" si="2444"/>
        <v/>
      </c>
      <c r="DD832" s="641">
        <f t="shared" si="2445"/>
        <v>10</v>
      </c>
      <c r="DE832" s="95">
        <f t="shared" si="2446"/>
        <v>10</v>
      </c>
      <c r="DF832" s="95">
        <f t="shared" si="2447"/>
        <v>10</v>
      </c>
      <c r="DG832" s="95">
        <f t="shared" si="2448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59">SUM(B250)</f>
        <v>0</v>
      </c>
      <c r="C833" s="795">
        <f t="shared" si="2459"/>
        <v>0</v>
      </c>
      <c r="D833" s="795">
        <f t="shared" si="2459"/>
        <v>0</v>
      </c>
      <c r="E833" s="795">
        <f t="shared" si="2459"/>
        <v>4.6273785803237856E-2</v>
      </c>
      <c r="F833" s="795">
        <f t="shared" si="2459"/>
        <v>0</v>
      </c>
      <c r="G833" s="795">
        <f t="shared" si="2459"/>
        <v>0</v>
      </c>
      <c r="H833" s="795">
        <f t="shared" si="2459"/>
        <v>5.141531755915317E-2</v>
      </c>
      <c r="I833" s="795">
        <f t="shared" si="2459"/>
        <v>0</v>
      </c>
      <c r="J833" s="795">
        <f t="shared" si="2459"/>
        <v>0</v>
      </c>
      <c r="K833" s="795">
        <f t="shared" si="2459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60">SUM(T250)</f>
        <v>0</v>
      </c>
      <c r="U833" s="795">
        <f t="shared" si="2460"/>
        <v>0</v>
      </c>
      <c r="V833" s="795">
        <f t="shared" si="2460"/>
        <v>0</v>
      </c>
      <c r="W833" s="795">
        <f t="shared" si="2460"/>
        <v>4.6273785803237856E-2</v>
      </c>
      <c r="X833" s="795">
        <f t="shared" si="2460"/>
        <v>0</v>
      </c>
      <c r="Y833" s="795">
        <f t="shared" si="2460"/>
        <v>0</v>
      </c>
      <c r="Z833" s="795">
        <f t="shared" si="2460"/>
        <v>5.141531755915317E-2</v>
      </c>
      <c r="AA833" s="795">
        <f t="shared" si="2460"/>
        <v>0</v>
      </c>
      <c r="AB833" s="795">
        <f t="shared" si="2460"/>
        <v>0</v>
      </c>
      <c r="AC833" s="795">
        <f t="shared" si="2460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61">SUM(AL250)</f>
        <v>0</v>
      </c>
      <c r="AM833" s="795">
        <f t="shared" si="2461"/>
        <v>0</v>
      </c>
      <c r="AN833" s="795">
        <f t="shared" si="2461"/>
        <v>0</v>
      </c>
      <c r="AO833" s="795">
        <f t="shared" si="2461"/>
        <v>9.2547571606475712E-2</v>
      </c>
      <c r="AP833" s="795">
        <f t="shared" si="2461"/>
        <v>0</v>
      </c>
      <c r="AQ833" s="795">
        <f t="shared" si="2461"/>
        <v>0</v>
      </c>
      <c r="AR833" s="795">
        <f t="shared" si="2461"/>
        <v>6.6105408290339798E-2</v>
      </c>
      <c r="AS833" s="795">
        <f t="shared" si="2461"/>
        <v>0</v>
      </c>
      <c r="AT833" s="795">
        <f t="shared" si="2461"/>
        <v>0</v>
      </c>
      <c r="AU833" s="795">
        <f t="shared" si="2461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62">SUM(BD250)</f>
        <v>0</v>
      </c>
      <c r="BE833" s="795">
        <f t="shared" si="2462"/>
        <v>0</v>
      </c>
      <c r="BF833" s="795">
        <f t="shared" si="2462"/>
        <v>0</v>
      </c>
      <c r="BG833" s="795">
        <f t="shared" si="2462"/>
        <v>4.9579056217754852E-2</v>
      </c>
      <c r="BH833" s="795">
        <f t="shared" si="2462"/>
        <v>0</v>
      </c>
      <c r="BI833" s="795">
        <f t="shared" si="2462"/>
        <v>3.4705339352428401E-2</v>
      </c>
      <c r="BJ833" s="795">
        <f t="shared" si="2462"/>
        <v>2.8921116127023663E-2</v>
      </c>
      <c r="BK833" s="795">
        <f t="shared" si="2462"/>
        <v>0</v>
      </c>
      <c r="BL833" s="795">
        <f t="shared" si="2462"/>
        <v>0</v>
      </c>
      <c r="BM833" s="795">
        <f t="shared" si="2462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424"/>
        <v>5.7842232254047329E-3</v>
      </c>
      <c r="CA833" s="611">
        <f t="shared" si="2425"/>
        <v>5.7842232254047329E-3</v>
      </c>
      <c r="CB833" s="611">
        <f t="shared" si="2426"/>
        <v>8.2631760362924748E-3</v>
      </c>
      <c r="CC833" s="679">
        <f t="shared" si="2427"/>
        <v>7.9533069349315075E-3</v>
      </c>
      <c r="CD833" s="1319">
        <f t="shared" si="2453"/>
        <v>0</v>
      </c>
      <c r="CE833" s="1320">
        <f t="shared" si="2454"/>
        <v>0</v>
      </c>
      <c r="CF833" s="1320">
        <f t="shared" si="2454"/>
        <v>0</v>
      </c>
      <c r="CG833" s="1320">
        <f t="shared" si="2454"/>
        <v>0</v>
      </c>
      <c r="CH833" s="1321">
        <f t="shared" si="2454"/>
        <v>0</v>
      </c>
      <c r="CI833" s="1321">
        <f t="shared" si="2454"/>
        <v>0</v>
      </c>
      <c r="CJ833" s="1320">
        <f t="shared" si="2454"/>
        <v>0</v>
      </c>
      <c r="CK833" s="1320">
        <f t="shared" si="2454"/>
        <v>0</v>
      </c>
      <c r="CL833" s="1320">
        <f t="shared" si="2454"/>
        <v>6.6105408290339798E-2</v>
      </c>
      <c r="CM833" s="1319">
        <f t="shared" si="2454"/>
        <v>9.2547571606475712E-2</v>
      </c>
      <c r="CN833" s="526" t="str">
        <f t="shared" si="2429"/>
        <v/>
      </c>
      <c r="CO833" s="527" t="str">
        <f t="shared" si="2430"/>
        <v/>
      </c>
      <c r="CP833" s="527" t="str">
        <f t="shared" si="2431"/>
        <v/>
      </c>
      <c r="CQ833" s="527">
        <f t="shared" si="2432"/>
        <v>0</v>
      </c>
      <c r="CR833" s="527">
        <f t="shared" si="2433"/>
        <v>0</v>
      </c>
      <c r="CS833" s="527">
        <f t="shared" si="2434"/>
        <v>0</v>
      </c>
      <c r="CT833" s="528">
        <f t="shared" si="2435"/>
        <v>0</v>
      </c>
      <c r="CU833" s="528">
        <f t="shared" si="2436"/>
        <v>0</v>
      </c>
      <c r="CV833" s="528">
        <f t="shared" si="2437"/>
        <v>0</v>
      </c>
      <c r="CW833" s="527">
        <f t="shared" si="2438"/>
        <v>0</v>
      </c>
      <c r="CX833" s="527">
        <f t="shared" si="2439"/>
        <v>2.8921116127023663E-2</v>
      </c>
      <c r="CY833" s="527">
        <f t="shared" si="2440"/>
        <v>3.4705339352428401E-2</v>
      </c>
      <c r="CZ833" s="527">
        <f t="shared" si="2441"/>
        <v>4.9579056217754852E-2</v>
      </c>
      <c r="DA833" s="527" t="str">
        <f t="shared" si="2442"/>
        <v/>
      </c>
      <c r="DB833" s="526" t="str">
        <f t="shared" si="2443"/>
        <v/>
      </c>
      <c r="DC833" s="525" t="str">
        <f t="shared" si="2444"/>
        <v/>
      </c>
      <c r="DD833" s="641">
        <f t="shared" si="2445"/>
        <v>10</v>
      </c>
      <c r="DE833" s="95">
        <f t="shared" si="2446"/>
        <v>10</v>
      </c>
      <c r="DF833" s="95">
        <f t="shared" si="2447"/>
        <v>10</v>
      </c>
      <c r="DG833" s="95">
        <f t="shared" si="2448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63">SUM(B257)</f>
        <v>0</v>
      </c>
      <c r="C834" s="795">
        <f t="shared" si="2463"/>
        <v>0</v>
      </c>
      <c r="D834" s="795">
        <f t="shared" si="2463"/>
        <v>0</v>
      </c>
      <c r="E834" s="795">
        <f t="shared" si="2463"/>
        <v>0</v>
      </c>
      <c r="F834" s="795">
        <f t="shared" si="2463"/>
        <v>0</v>
      </c>
      <c r="G834" s="795">
        <f t="shared" si="2463"/>
        <v>0</v>
      </c>
      <c r="H834" s="795">
        <f t="shared" si="2463"/>
        <v>0</v>
      </c>
      <c r="I834" s="795">
        <f t="shared" si="2463"/>
        <v>0</v>
      </c>
      <c r="J834" s="795">
        <f t="shared" si="2463"/>
        <v>0</v>
      </c>
      <c r="K834" s="795">
        <f t="shared" si="2463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64">SUM(T257)</f>
        <v>0</v>
      </c>
      <c r="U834" s="795">
        <f t="shared" si="2464"/>
        <v>0</v>
      </c>
      <c r="V834" s="795">
        <f t="shared" si="2464"/>
        <v>0</v>
      </c>
      <c r="W834" s="795">
        <f t="shared" si="2464"/>
        <v>0</v>
      </c>
      <c r="X834" s="795">
        <f t="shared" si="2464"/>
        <v>0</v>
      </c>
      <c r="Y834" s="795">
        <f t="shared" si="2464"/>
        <v>0</v>
      </c>
      <c r="Z834" s="795">
        <f t="shared" si="2464"/>
        <v>0</v>
      </c>
      <c r="AA834" s="795">
        <f t="shared" si="2464"/>
        <v>0</v>
      </c>
      <c r="AB834" s="795">
        <f t="shared" si="2464"/>
        <v>0</v>
      </c>
      <c r="AC834" s="795">
        <f t="shared" si="2464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65">SUM(AL257)</f>
        <v>0</v>
      </c>
      <c r="AM834" s="795">
        <f t="shared" si="2465"/>
        <v>0</v>
      </c>
      <c r="AN834" s="795">
        <f t="shared" si="2465"/>
        <v>0</v>
      </c>
      <c r="AO834" s="795">
        <f t="shared" si="2465"/>
        <v>0</v>
      </c>
      <c r="AP834" s="795">
        <f t="shared" si="2465"/>
        <v>0</v>
      </c>
      <c r="AQ834" s="795">
        <f t="shared" si="2465"/>
        <v>0</v>
      </c>
      <c r="AR834" s="795">
        <f t="shared" si="2465"/>
        <v>0</v>
      </c>
      <c r="AS834" s="795">
        <f t="shared" si="2465"/>
        <v>0</v>
      </c>
      <c r="AT834" s="795">
        <f t="shared" si="2465"/>
        <v>0</v>
      </c>
      <c r="AU834" s="795">
        <f t="shared" si="2465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66">SUM(BD257)</f>
        <v>0</v>
      </c>
      <c r="BE834" s="795">
        <f t="shared" si="2466"/>
        <v>0</v>
      </c>
      <c r="BF834" s="795">
        <f t="shared" si="2466"/>
        <v>0</v>
      </c>
      <c r="BG834" s="795">
        <f t="shared" si="2466"/>
        <v>0</v>
      </c>
      <c r="BH834" s="795">
        <f t="shared" si="2466"/>
        <v>0</v>
      </c>
      <c r="BI834" s="795">
        <f t="shared" si="2466"/>
        <v>0</v>
      </c>
      <c r="BJ834" s="795">
        <f t="shared" si="2466"/>
        <v>0</v>
      </c>
      <c r="BK834" s="795">
        <f t="shared" si="2466"/>
        <v>0</v>
      </c>
      <c r="BL834" s="795">
        <f t="shared" si="2466"/>
        <v>0</v>
      </c>
      <c r="BM834" s="795">
        <f t="shared" si="2466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424"/>
        <v>0</v>
      </c>
      <c r="CA834" s="611">
        <f t="shared" si="2425"/>
        <v>0</v>
      </c>
      <c r="CB834" s="611">
        <f t="shared" si="2426"/>
        <v>0</v>
      </c>
      <c r="CC834" s="679">
        <f t="shared" si="2427"/>
        <v>0</v>
      </c>
      <c r="CD834" s="1319">
        <f t="shared" si="2453"/>
        <v>0</v>
      </c>
      <c r="CE834" s="1320">
        <f t="shared" si="2454"/>
        <v>0</v>
      </c>
      <c r="CF834" s="1320">
        <f t="shared" si="2454"/>
        <v>0</v>
      </c>
      <c r="CG834" s="1320">
        <f t="shared" si="2454"/>
        <v>0</v>
      </c>
      <c r="CH834" s="1321">
        <f t="shared" si="2454"/>
        <v>0</v>
      </c>
      <c r="CI834" s="1321">
        <f t="shared" si="2454"/>
        <v>0</v>
      </c>
      <c r="CJ834" s="1320">
        <f t="shared" si="2454"/>
        <v>0</v>
      </c>
      <c r="CK834" s="1320">
        <f t="shared" si="2454"/>
        <v>0</v>
      </c>
      <c r="CL834" s="1320">
        <f t="shared" si="2454"/>
        <v>0</v>
      </c>
      <c r="CM834" s="1319">
        <f t="shared" si="2454"/>
        <v>0</v>
      </c>
      <c r="CN834" s="526" t="str">
        <f t="shared" si="2429"/>
        <v/>
      </c>
      <c r="CO834" s="527" t="str">
        <f t="shared" si="2430"/>
        <v/>
      </c>
      <c r="CP834" s="527" t="str">
        <f t="shared" si="2431"/>
        <v/>
      </c>
      <c r="CQ834" s="527">
        <f t="shared" si="2432"/>
        <v>0</v>
      </c>
      <c r="CR834" s="527">
        <f t="shared" si="2433"/>
        <v>0</v>
      </c>
      <c r="CS834" s="527">
        <f t="shared" si="2434"/>
        <v>0</v>
      </c>
      <c r="CT834" s="528">
        <f t="shared" si="2435"/>
        <v>0</v>
      </c>
      <c r="CU834" s="528">
        <f t="shared" si="2436"/>
        <v>0</v>
      </c>
      <c r="CV834" s="528">
        <f t="shared" si="2437"/>
        <v>0</v>
      </c>
      <c r="CW834" s="527">
        <f t="shared" si="2438"/>
        <v>0</v>
      </c>
      <c r="CX834" s="527">
        <f t="shared" si="2439"/>
        <v>0</v>
      </c>
      <c r="CY834" s="527">
        <f t="shared" si="2440"/>
        <v>0</v>
      </c>
      <c r="CZ834" s="527">
        <f t="shared" si="2441"/>
        <v>0</v>
      </c>
      <c r="DA834" s="527" t="str">
        <f t="shared" si="2442"/>
        <v/>
      </c>
      <c r="DB834" s="526" t="str">
        <f t="shared" si="2443"/>
        <v/>
      </c>
      <c r="DC834" s="525" t="str">
        <f t="shared" si="2444"/>
        <v/>
      </c>
      <c r="DD834" s="641">
        <f t="shared" si="2445"/>
        <v>10</v>
      </c>
      <c r="DE834" s="95">
        <f t="shared" si="2446"/>
        <v>10</v>
      </c>
      <c r="DF834" s="95">
        <f t="shared" si="2447"/>
        <v>10</v>
      </c>
      <c r="DG834" s="95">
        <f t="shared" si="2448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67">SUM(B264)</f>
        <v>0</v>
      </c>
      <c r="C835" s="795">
        <f t="shared" si="2467"/>
        <v>0</v>
      </c>
      <c r="D835" s="795">
        <f t="shared" si="2467"/>
        <v>0</v>
      </c>
      <c r="E835" s="795">
        <f t="shared" si="2467"/>
        <v>0</v>
      </c>
      <c r="F835" s="795">
        <f t="shared" si="2467"/>
        <v>0</v>
      </c>
      <c r="G835" s="795">
        <f t="shared" si="2467"/>
        <v>0</v>
      </c>
      <c r="H835" s="795">
        <f t="shared" si="2467"/>
        <v>0</v>
      </c>
      <c r="I835" s="795">
        <f t="shared" si="2467"/>
        <v>0</v>
      </c>
      <c r="J835" s="795">
        <f t="shared" si="2467"/>
        <v>0</v>
      </c>
      <c r="K835" s="795">
        <f t="shared" si="2467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68">SUM(T264)</f>
        <v>0</v>
      </c>
      <c r="U835" s="795">
        <f t="shared" si="2468"/>
        <v>0</v>
      </c>
      <c r="V835" s="795">
        <f t="shared" si="2468"/>
        <v>0</v>
      </c>
      <c r="W835" s="795">
        <f t="shared" si="2468"/>
        <v>0</v>
      </c>
      <c r="X835" s="795">
        <f t="shared" si="2468"/>
        <v>0</v>
      </c>
      <c r="Y835" s="795">
        <f t="shared" si="2468"/>
        <v>0</v>
      </c>
      <c r="Z835" s="795">
        <f t="shared" si="2468"/>
        <v>0</v>
      </c>
      <c r="AA835" s="795">
        <f t="shared" si="2468"/>
        <v>0</v>
      </c>
      <c r="AB835" s="795">
        <f t="shared" si="2468"/>
        <v>0</v>
      </c>
      <c r="AC835" s="795">
        <f t="shared" si="2468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69">SUM(AL264)</f>
        <v>0</v>
      </c>
      <c r="AM835" s="795">
        <f t="shared" si="2469"/>
        <v>0</v>
      </c>
      <c r="AN835" s="795">
        <f t="shared" si="2469"/>
        <v>0</v>
      </c>
      <c r="AO835" s="795">
        <f t="shared" si="2469"/>
        <v>0</v>
      </c>
      <c r="AP835" s="795">
        <f t="shared" si="2469"/>
        <v>0</v>
      </c>
      <c r="AQ835" s="795">
        <f t="shared" si="2469"/>
        <v>0</v>
      </c>
      <c r="AR835" s="795">
        <f t="shared" si="2469"/>
        <v>0</v>
      </c>
      <c r="AS835" s="795">
        <f t="shared" si="2469"/>
        <v>0</v>
      </c>
      <c r="AT835" s="795">
        <f t="shared" si="2469"/>
        <v>0</v>
      </c>
      <c r="AU835" s="795">
        <f t="shared" si="2469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70">SUM(BD264)</f>
        <v>0</v>
      </c>
      <c r="BE835" s="795">
        <f t="shared" si="2470"/>
        <v>0</v>
      </c>
      <c r="BF835" s="795">
        <f t="shared" si="2470"/>
        <v>0</v>
      </c>
      <c r="BG835" s="795">
        <f t="shared" si="2470"/>
        <v>0</v>
      </c>
      <c r="BH835" s="795">
        <f t="shared" si="2470"/>
        <v>0</v>
      </c>
      <c r="BI835" s="795">
        <f t="shared" si="2470"/>
        <v>0</v>
      </c>
      <c r="BJ835" s="795">
        <f t="shared" si="2470"/>
        <v>0</v>
      </c>
      <c r="BK835" s="795">
        <f t="shared" si="2470"/>
        <v>0</v>
      </c>
      <c r="BL835" s="795">
        <f t="shared" si="2470"/>
        <v>0</v>
      </c>
      <c r="BM835" s="795">
        <f t="shared" si="2470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424"/>
        <v>0</v>
      </c>
      <c r="CA835" s="611">
        <f t="shared" si="2425"/>
        <v>0</v>
      </c>
      <c r="CB835" s="611">
        <f t="shared" si="2426"/>
        <v>0</v>
      </c>
      <c r="CC835" s="679">
        <f t="shared" si="2427"/>
        <v>0</v>
      </c>
      <c r="CD835" s="1319">
        <f t="shared" si="2453"/>
        <v>0</v>
      </c>
      <c r="CE835" s="1320">
        <f t="shared" si="2454"/>
        <v>0</v>
      </c>
      <c r="CF835" s="1320">
        <f t="shared" si="2454"/>
        <v>0</v>
      </c>
      <c r="CG835" s="1320">
        <f t="shared" si="2454"/>
        <v>0</v>
      </c>
      <c r="CH835" s="1321">
        <f t="shared" si="2454"/>
        <v>0</v>
      </c>
      <c r="CI835" s="1321">
        <f t="shared" si="2454"/>
        <v>0</v>
      </c>
      <c r="CJ835" s="1320">
        <f t="shared" si="2454"/>
        <v>0</v>
      </c>
      <c r="CK835" s="1320">
        <f t="shared" si="2454"/>
        <v>0</v>
      </c>
      <c r="CL835" s="1320">
        <f t="shared" si="2454"/>
        <v>0</v>
      </c>
      <c r="CM835" s="1319">
        <f t="shared" si="2454"/>
        <v>0</v>
      </c>
      <c r="CN835" s="526" t="str">
        <f t="shared" si="2429"/>
        <v/>
      </c>
      <c r="CO835" s="527" t="str">
        <f t="shared" si="2430"/>
        <v/>
      </c>
      <c r="CP835" s="527" t="str">
        <f t="shared" si="2431"/>
        <v/>
      </c>
      <c r="CQ835" s="527">
        <f t="shared" si="2432"/>
        <v>0</v>
      </c>
      <c r="CR835" s="527">
        <f t="shared" si="2433"/>
        <v>0</v>
      </c>
      <c r="CS835" s="527">
        <f t="shared" si="2434"/>
        <v>0</v>
      </c>
      <c r="CT835" s="528">
        <f t="shared" si="2435"/>
        <v>0</v>
      </c>
      <c r="CU835" s="528">
        <f t="shared" si="2436"/>
        <v>0</v>
      </c>
      <c r="CV835" s="528">
        <f t="shared" si="2437"/>
        <v>0</v>
      </c>
      <c r="CW835" s="527">
        <f t="shared" si="2438"/>
        <v>0</v>
      </c>
      <c r="CX835" s="527">
        <f t="shared" si="2439"/>
        <v>0</v>
      </c>
      <c r="CY835" s="527">
        <f t="shared" si="2440"/>
        <v>0</v>
      </c>
      <c r="CZ835" s="527">
        <f t="shared" si="2441"/>
        <v>0</v>
      </c>
      <c r="DA835" s="527" t="str">
        <f t="shared" si="2442"/>
        <v/>
      </c>
      <c r="DB835" s="526" t="str">
        <f t="shared" si="2443"/>
        <v/>
      </c>
      <c r="DC835" s="525" t="str">
        <f t="shared" si="2444"/>
        <v/>
      </c>
      <c r="DD835" s="641">
        <f t="shared" si="2445"/>
        <v>10</v>
      </c>
      <c r="DE835" s="95">
        <f t="shared" si="2446"/>
        <v>10</v>
      </c>
      <c r="DF835" s="95">
        <f t="shared" si="2447"/>
        <v>10</v>
      </c>
      <c r="DG835" s="95">
        <f t="shared" si="2448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71">SUM(B271)</f>
        <v>0</v>
      </c>
      <c r="C836" s="795">
        <f t="shared" si="2471"/>
        <v>0</v>
      </c>
      <c r="D836" s="795">
        <f t="shared" si="2471"/>
        <v>2.7699097135740969E-2</v>
      </c>
      <c r="E836" s="795">
        <f t="shared" si="2471"/>
        <v>0</v>
      </c>
      <c r="F836" s="795">
        <f t="shared" si="2471"/>
        <v>0</v>
      </c>
      <c r="G836" s="795">
        <f t="shared" si="2471"/>
        <v>0</v>
      </c>
      <c r="H836" s="795">
        <f t="shared" si="2471"/>
        <v>0</v>
      </c>
      <c r="I836" s="795">
        <f t="shared" si="2471"/>
        <v>0</v>
      </c>
      <c r="J836" s="795">
        <f t="shared" si="2471"/>
        <v>0</v>
      </c>
      <c r="K836" s="795">
        <f t="shared" si="2471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72">SUM(T271)</f>
        <v>1.9389367995018676E-2</v>
      </c>
      <c r="U836" s="795">
        <f t="shared" si="2472"/>
        <v>0</v>
      </c>
      <c r="V836" s="795">
        <f t="shared" si="2472"/>
        <v>7.386425902864259E-2</v>
      </c>
      <c r="W836" s="795">
        <f t="shared" si="2472"/>
        <v>0</v>
      </c>
      <c r="X836" s="795">
        <f t="shared" si="2472"/>
        <v>0</v>
      </c>
      <c r="Y836" s="795">
        <f t="shared" si="2472"/>
        <v>0</v>
      </c>
      <c r="Z836" s="795">
        <f t="shared" si="2472"/>
        <v>0</v>
      </c>
      <c r="AA836" s="795">
        <f t="shared" si="2472"/>
        <v>0</v>
      </c>
      <c r="AB836" s="795">
        <f t="shared" si="2472"/>
        <v>0</v>
      </c>
      <c r="AC836" s="795">
        <f t="shared" si="2472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73">SUM(AL271)</f>
        <v>3.1656111012275397E-2</v>
      </c>
      <c r="AM836" s="795">
        <f t="shared" si="2473"/>
        <v>0</v>
      </c>
      <c r="AN836" s="795">
        <f t="shared" si="2473"/>
        <v>0</v>
      </c>
      <c r="AO836" s="795">
        <f t="shared" si="2473"/>
        <v>0</v>
      </c>
      <c r="AP836" s="795">
        <f t="shared" si="2473"/>
        <v>0</v>
      </c>
      <c r="AQ836" s="795">
        <f t="shared" si="2473"/>
        <v>0</v>
      </c>
      <c r="AR836" s="795">
        <f t="shared" si="2473"/>
        <v>0</v>
      </c>
      <c r="AS836" s="795">
        <f t="shared" si="2473"/>
        <v>0</v>
      </c>
      <c r="AT836" s="795">
        <f t="shared" si="2473"/>
        <v>0</v>
      </c>
      <c r="AU836" s="795">
        <f t="shared" si="2473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74">SUM(BD271)</f>
        <v>1.4772851805728515E-2</v>
      </c>
      <c r="BE836" s="795">
        <f t="shared" si="2474"/>
        <v>0</v>
      </c>
      <c r="BF836" s="795">
        <f t="shared" si="2474"/>
        <v>1.1079638854296388E-2</v>
      </c>
      <c r="BG836" s="795">
        <f t="shared" si="2474"/>
        <v>0</v>
      </c>
      <c r="BH836" s="795">
        <f t="shared" si="2474"/>
        <v>0</v>
      </c>
      <c r="BI836" s="795">
        <f t="shared" si="2474"/>
        <v>0</v>
      </c>
      <c r="BJ836" s="795">
        <f t="shared" si="2474"/>
        <v>0</v>
      </c>
      <c r="BK836" s="795">
        <f t="shared" si="2474"/>
        <v>0</v>
      </c>
      <c r="BL836" s="795">
        <f t="shared" si="2474"/>
        <v>0</v>
      </c>
      <c r="BM836" s="795">
        <f t="shared" si="2474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2">
        <f>SUM(BX271)</f>
        <v>0</v>
      </c>
      <c r="BY836" s="795">
        <f>SUM(BY271)</f>
        <v>0</v>
      </c>
      <c r="BZ836" s="611">
        <f t="shared" si="2424"/>
        <v>0</v>
      </c>
      <c r="CA836" s="611">
        <f t="shared" si="2425"/>
        <v>2.4236709993773354E-3</v>
      </c>
      <c r="CB836" s="611">
        <f t="shared" si="2426"/>
        <v>0</v>
      </c>
      <c r="CC836" s="679">
        <f t="shared" si="2427"/>
        <v>1.3849548567870483E-3</v>
      </c>
      <c r="CD836" s="1319">
        <f t="shared" si="2453"/>
        <v>0</v>
      </c>
      <c r="CE836" s="1320">
        <f t="shared" si="2454"/>
        <v>0</v>
      </c>
      <c r="CF836" s="1320">
        <f t="shared" si="2454"/>
        <v>0</v>
      </c>
      <c r="CG836" s="1320">
        <f t="shared" si="2454"/>
        <v>0</v>
      </c>
      <c r="CH836" s="1321">
        <f t="shared" si="2454"/>
        <v>0</v>
      </c>
      <c r="CI836" s="1321">
        <f t="shared" si="2454"/>
        <v>0</v>
      </c>
      <c r="CJ836" s="1320">
        <f t="shared" si="2454"/>
        <v>0</v>
      </c>
      <c r="CK836" s="1320">
        <f t="shared" si="2454"/>
        <v>0</v>
      </c>
      <c r="CL836" s="1320">
        <f t="shared" si="2454"/>
        <v>0</v>
      </c>
      <c r="CM836" s="1319">
        <f t="shared" si="2454"/>
        <v>3.1656111012275397E-2</v>
      </c>
      <c r="CN836" s="526" t="str">
        <f t="shared" si="2429"/>
        <v/>
      </c>
      <c r="CO836" s="527" t="str">
        <f t="shared" si="2430"/>
        <v/>
      </c>
      <c r="CP836" s="527" t="str">
        <f t="shared" si="2431"/>
        <v/>
      </c>
      <c r="CQ836" s="527">
        <f t="shared" si="2432"/>
        <v>0</v>
      </c>
      <c r="CR836" s="527">
        <f t="shared" si="2433"/>
        <v>0</v>
      </c>
      <c r="CS836" s="527">
        <f t="shared" si="2434"/>
        <v>0</v>
      </c>
      <c r="CT836" s="528">
        <f t="shared" si="2435"/>
        <v>0</v>
      </c>
      <c r="CU836" s="528">
        <f t="shared" si="2436"/>
        <v>0</v>
      </c>
      <c r="CV836" s="528">
        <f t="shared" si="2437"/>
        <v>0</v>
      </c>
      <c r="CW836" s="527">
        <f t="shared" si="2438"/>
        <v>0</v>
      </c>
      <c r="CX836" s="527">
        <f t="shared" si="2439"/>
        <v>0</v>
      </c>
      <c r="CY836" s="527">
        <f t="shared" si="2440"/>
        <v>1.1079638854296388E-2</v>
      </c>
      <c r="CZ836" s="527">
        <f t="shared" si="2441"/>
        <v>1.4772851805728515E-2</v>
      </c>
      <c r="DA836" s="527" t="str">
        <f t="shared" si="2442"/>
        <v/>
      </c>
      <c r="DB836" s="526" t="str">
        <f t="shared" si="2443"/>
        <v/>
      </c>
      <c r="DC836" s="525" t="str">
        <f t="shared" si="2444"/>
        <v/>
      </c>
      <c r="DD836" s="641">
        <f t="shared" si="2445"/>
        <v>10</v>
      </c>
      <c r="DE836" s="95">
        <f t="shared" si="2446"/>
        <v>10</v>
      </c>
      <c r="DF836" s="95">
        <f t="shared" si="2447"/>
        <v>10</v>
      </c>
      <c r="DG836" s="95">
        <f t="shared" si="2448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75">SUM(B278)</f>
        <v>3.0931744707347449E-2</v>
      </c>
      <c r="C837" s="795">
        <f t="shared" si="2475"/>
        <v>0</v>
      </c>
      <c r="D837" s="795">
        <f t="shared" si="2475"/>
        <v>0</v>
      </c>
      <c r="E837" s="795">
        <f t="shared" si="2475"/>
        <v>0</v>
      </c>
      <c r="F837" s="795">
        <f t="shared" si="2475"/>
        <v>0</v>
      </c>
      <c r="G837" s="795">
        <f t="shared" si="2475"/>
        <v>0</v>
      </c>
      <c r="H837" s="795">
        <f t="shared" si="2475"/>
        <v>4.9098007471980072E-2</v>
      </c>
      <c r="I837" s="795">
        <f t="shared" si="2475"/>
        <v>4.4188206724782061E-2</v>
      </c>
      <c r="J837" s="795">
        <f t="shared" si="2475"/>
        <v>0.11047051681195516</v>
      </c>
      <c r="K837" s="795">
        <f t="shared" si="2475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76">SUM(T278)</f>
        <v>1.60182249377335E-2</v>
      </c>
      <c r="U837" s="795">
        <f t="shared" si="2476"/>
        <v>0</v>
      </c>
      <c r="V837" s="795">
        <f t="shared" si="2476"/>
        <v>2.4549003735990036E-2</v>
      </c>
      <c r="W837" s="795">
        <f t="shared" si="2476"/>
        <v>0</v>
      </c>
      <c r="X837" s="795">
        <f t="shared" si="2476"/>
        <v>2.761762920298879E-2</v>
      </c>
      <c r="Y837" s="795">
        <f t="shared" si="2476"/>
        <v>3.9769386052303859E-2</v>
      </c>
      <c r="Z837" s="795">
        <f t="shared" si="2476"/>
        <v>4.9098007471980072E-2</v>
      </c>
      <c r="AA837" s="795">
        <f t="shared" si="2476"/>
        <v>5.7444668742216695E-2</v>
      </c>
      <c r="AB837" s="795">
        <f t="shared" si="2476"/>
        <v>4.4188206724782075E-2</v>
      </c>
      <c r="AC837" s="795">
        <f t="shared" si="2476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77">SUM(AL278)</f>
        <v>6.3126009606831526E-2</v>
      </c>
      <c r="AM837" s="795">
        <f t="shared" si="2477"/>
        <v>0</v>
      </c>
      <c r="AN837" s="795">
        <f t="shared" si="2477"/>
        <v>0</v>
      </c>
      <c r="AO837" s="795">
        <f t="shared" si="2477"/>
        <v>0</v>
      </c>
      <c r="AP837" s="795">
        <f t="shared" si="2477"/>
        <v>6.4072899750933998E-2</v>
      </c>
      <c r="AQ837" s="795">
        <f t="shared" si="2477"/>
        <v>8.3957592777085935E-2</v>
      </c>
      <c r="AR837" s="795">
        <f t="shared" si="2477"/>
        <v>6.3126009606831526E-2</v>
      </c>
      <c r="AS837" s="795">
        <f t="shared" si="2477"/>
        <v>8.8376413449564123E-2</v>
      </c>
      <c r="AT837" s="795">
        <f t="shared" si="2477"/>
        <v>8.3957592777085935E-2</v>
      </c>
      <c r="AU837" s="795">
        <f t="shared" si="2477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78">SUM(BD278)</f>
        <v>1.4729402241594023E-2</v>
      </c>
      <c r="BE837" s="795">
        <f t="shared" si="2478"/>
        <v>0</v>
      </c>
      <c r="BF837" s="795">
        <f t="shared" si="2478"/>
        <v>0</v>
      </c>
      <c r="BG837" s="795">
        <f t="shared" si="2478"/>
        <v>0</v>
      </c>
      <c r="BH837" s="795">
        <f t="shared" si="2478"/>
        <v>5.0213871278161445E-2</v>
      </c>
      <c r="BI837" s="795">
        <f t="shared" si="2478"/>
        <v>9.5446526525529277E-2</v>
      </c>
      <c r="BJ837" s="795">
        <f t="shared" si="2478"/>
        <v>1.3808814601494395E-2</v>
      </c>
      <c r="BK837" s="795">
        <f t="shared" si="2478"/>
        <v>7.5751211528197832E-2</v>
      </c>
      <c r="BL837" s="795">
        <f t="shared" si="2478"/>
        <v>6.0256645533793743E-2</v>
      </c>
      <c r="BM837" s="795">
        <f t="shared" si="2478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2">
        <f>SUM(BX278)</f>
        <v>0.10770875389165629</v>
      </c>
      <c r="BY837" s="795">
        <f>SUM(BY278)</f>
        <v>6.6773290161892901E-2</v>
      </c>
      <c r="BZ837" s="611">
        <f t="shared" si="2424"/>
        <v>1.5921782423056394E-2</v>
      </c>
      <c r="CA837" s="611">
        <f t="shared" si="2425"/>
        <v>2.7609957639321295E-2</v>
      </c>
      <c r="CB837" s="611">
        <f t="shared" si="2426"/>
        <v>5.2954831308930791E-2</v>
      </c>
      <c r="CC837" s="679">
        <f t="shared" si="2427"/>
        <v>3.8681119949186091E-2</v>
      </c>
      <c r="CD837" s="1319">
        <f t="shared" si="2453"/>
        <v>0</v>
      </c>
      <c r="CE837" s="1320">
        <f t="shared" si="2454"/>
        <v>0</v>
      </c>
      <c r="CF837" s="1320">
        <f t="shared" si="2454"/>
        <v>0</v>
      </c>
      <c r="CG837" s="1320">
        <f t="shared" si="2454"/>
        <v>6.3126009606831526E-2</v>
      </c>
      <c r="CH837" s="1321">
        <f t="shared" si="2454"/>
        <v>6.3126009606831526E-2</v>
      </c>
      <c r="CI837" s="1321">
        <f t="shared" si="2454"/>
        <v>6.4072899750933998E-2</v>
      </c>
      <c r="CJ837" s="1320">
        <f t="shared" si="2454"/>
        <v>6.5398545952677467E-2</v>
      </c>
      <c r="CK837" s="1320">
        <f t="shared" si="2454"/>
        <v>8.3957592777085935E-2</v>
      </c>
      <c r="CL837" s="1320">
        <f t="shared" si="2454"/>
        <v>8.3957592777085935E-2</v>
      </c>
      <c r="CM837" s="1319">
        <f t="shared" si="2454"/>
        <v>8.8376413449564123E-2</v>
      </c>
      <c r="CN837" s="526" t="str">
        <f t="shared" si="2429"/>
        <v/>
      </c>
      <c r="CO837" s="527" t="str">
        <f t="shared" si="2430"/>
        <v/>
      </c>
      <c r="CP837" s="527" t="str">
        <f t="shared" si="2431"/>
        <v/>
      </c>
      <c r="CQ837" s="527">
        <f t="shared" si="2432"/>
        <v>0</v>
      </c>
      <c r="CR837" s="527">
        <f t="shared" si="2433"/>
        <v>0</v>
      </c>
      <c r="CS837" s="527">
        <f t="shared" si="2434"/>
        <v>0</v>
      </c>
      <c r="CT837" s="528">
        <f t="shared" si="2435"/>
        <v>1.3808814601494395E-2</v>
      </c>
      <c r="CU837" s="528">
        <f t="shared" si="2436"/>
        <v>1.4729402241594023E-2</v>
      </c>
      <c r="CV837" s="528">
        <f t="shared" si="2437"/>
        <v>5.0213871278161445E-2</v>
      </c>
      <c r="CW837" s="527">
        <f t="shared" si="2438"/>
        <v>6.0256645533793743E-2</v>
      </c>
      <c r="CX837" s="527">
        <f t="shared" si="2439"/>
        <v>7.5751211528197832E-2</v>
      </c>
      <c r="CY837" s="527">
        <f t="shared" si="2440"/>
        <v>9.468901441024731E-2</v>
      </c>
      <c r="CZ837" s="527">
        <f t="shared" si="2441"/>
        <v>9.5446526525529277E-2</v>
      </c>
      <c r="DA837" s="527" t="str">
        <f t="shared" si="2442"/>
        <v/>
      </c>
      <c r="DB837" s="526" t="str">
        <f t="shared" si="2443"/>
        <v/>
      </c>
      <c r="DC837" s="525" t="str">
        <f t="shared" si="2444"/>
        <v/>
      </c>
      <c r="DD837" s="641">
        <f t="shared" si="2445"/>
        <v>10</v>
      </c>
      <c r="DE837" s="95">
        <f t="shared" si="2446"/>
        <v>10</v>
      </c>
      <c r="DF837" s="95">
        <f t="shared" si="2447"/>
        <v>10</v>
      </c>
      <c r="DG837" s="95">
        <f t="shared" si="2448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79">SUM(B285)</f>
        <v>0</v>
      </c>
      <c r="C838" s="795">
        <f t="shared" si="2479"/>
        <v>0</v>
      </c>
      <c r="D838" s="795">
        <f t="shared" si="2479"/>
        <v>0</v>
      </c>
      <c r="E838" s="795">
        <f t="shared" si="2479"/>
        <v>0</v>
      </c>
      <c r="F838" s="795">
        <f t="shared" si="2479"/>
        <v>0</v>
      </c>
      <c r="G838" s="795">
        <f t="shared" si="2479"/>
        <v>0</v>
      </c>
      <c r="H838" s="795">
        <f t="shared" si="2479"/>
        <v>0</v>
      </c>
      <c r="I838" s="795">
        <f t="shared" si="2479"/>
        <v>0</v>
      </c>
      <c r="J838" s="795">
        <f t="shared" si="2479"/>
        <v>0</v>
      </c>
      <c r="K838" s="795">
        <f t="shared" si="2479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80">SUM(T285)</f>
        <v>0</v>
      </c>
      <c r="U838" s="795">
        <f t="shared" si="2480"/>
        <v>0</v>
      </c>
      <c r="V838" s="795">
        <f t="shared" si="2480"/>
        <v>0</v>
      </c>
      <c r="W838" s="795">
        <f t="shared" si="2480"/>
        <v>0</v>
      </c>
      <c r="X838" s="795">
        <f t="shared" si="2480"/>
        <v>0</v>
      </c>
      <c r="Y838" s="795">
        <f t="shared" si="2480"/>
        <v>0</v>
      </c>
      <c r="Z838" s="795">
        <f t="shared" si="2480"/>
        <v>0</v>
      </c>
      <c r="AA838" s="795">
        <f t="shared" si="2480"/>
        <v>0</v>
      </c>
      <c r="AB838" s="795">
        <f t="shared" si="2480"/>
        <v>0</v>
      </c>
      <c r="AC838" s="795">
        <f t="shared" si="2480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81">SUM(AL285)</f>
        <v>0</v>
      </c>
      <c r="AM838" s="795">
        <f t="shared" si="2481"/>
        <v>0</v>
      </c>
      <c r="AN838" s="795">
        <f t="shared" si="2481"/>
        <v>0</v>
      </c>
      <c r="AO838" s="795">
        <f t="shared" si="2481"/>
        <v>0</v>
      </c>
      <c r="AP838" s="795">
        <f t="shared" si="2481"/>
        <v>0</v>
      </c>
      <c r="AQ838" s="795">
        <f t="shared" si="2481"/>
        <v>0</v>
      </c>
      <c r="AR838" s="795">
        <f t="shared" si="2481"/>
        <v>0</v>
      </c>
      <c r="AS838" s="795">
        <f t="shared" si="2481"/>
        <v>0</v>
      </c>
      <c r="AT838" s="795">
        <f t="shared" si="2481"/>
        <v>0</v>
      </c>
      <c r="AU838" s="795">
        <f t="shared" si="2481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82">SUM(BD285)</f>
        <v>0</v>
      </c>
      <c r="BE838" s="795">
        <f t="shared" si="2482"/>
        <v>0</v>
      </c>
      <c r="BF838" s="795">
        <f t="shared" si="2482"/>
        <v>0</v>
      </c>
      <c r="BG838" s="795">
        <f t="shared" si="2482"/>
        <v>0</v>
      </c>
      <c r="BH838" s="795">
        <f t="shared" si="2482"/>
        <v>0</v>
      </c>
      <c r="BI838" s="795">
        <f t="shared" si="2482"/>
        <v>0</v>
      </c>
      <c r="BJ838" s="795">
        <f t="shared" si="2482"/>
        <v>0</v>
      </c>
      <c r="BK838" s="795">
        <f t="shared" si="2482"/>
        <v>0</v>
      </c>
      <c r="BL838" s="795">
        <f t="shared" si="2482"/>
        <v>0</v>
      </c>
      <c r="BM838" s="795">
        <f t="shared" si="2482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424"/>
        <v>0</v>
      </c>
      <c r="CA838" s="611">
        <f t="shared" si="2425"/>
        <v>0</v>
      </c>
      <c r="CB838" s="611">
        <f t="shared" si="2426"/>
        <v>0</v>
      </c>
      <c r="CC838" s="679">
        <f t="shared" si="2427"/>
        <v>0</v>
      </c>
      <c r="CD838" s="1319">
        <f t="shared" si="2453"/>
        <v>0</v>
      </c>
      <c r="CE838" s="1320">
        <f t="shared" si="2454"/>
        <v>0</v>
      </c>
      <c r="CF838" s="1320">
        <f t="shared" si="2454"/>
        <v>0</v>
      </c>
      <c r="CG838" s="1320">
        <f t="shared" si="2454"/>
        <v>0</v>
      </c>
      <c r="CH838" s="1321">
        <f t="shared" si="2454"/>
        <v>0</v>
      </c>
      <c r="CI838" s="1321">
        <f t="shared" si="2454"/>
        <v>0</v>
      </c>
      <c r="CJ838" s="1320">
        <f t="shared" si="2454"/>
        <v>0</v>
      </c>
      <c r="CK838" s="1320">
        <f t="shared" si="2454"/>
        <v>0</v>
      </c>
      <c r="CL838" s="1320">
        <f t="shared" si="2454"/>
        <v>0</v>
      </c>
      <c r="CM838" s="1319">
        <f t="shared" si="2454"/>
        <v>0</v>
      </c>
      <c r="CN838" s="526" t="str">
        <f t="shared" si="2429"/>
        <v/>
      </c>
      <c r="CO838" s="527" t="str">
        <f t="shared" si="2430"/>
        <v/>
      </c>
      <c r="CP838" s="527" t="str">
        <f t="shared" si="2431"/>
        <v/>
      </c>
      <c r="CQ838" s="527">
        <f t="shared" si="2432"/>
        <v>0</v>
      </c>
      <c r="CR838" s="527">
        <f t="shared" si="2433"/>
        <v>0</v>
      </c>
      <c r="CS838" s="527">
        <f t="shared" si="2434"/>
        <v>0</v>
      </c>
      <c r="CT838" s="528">
        <f t="shared" si="2435"/>
        <v>0</v>
      </c>
      <c r="CU838" s="528">
        <f t="shared" si="2436"/>
        <v>0</v>
      </c>
      <c r="CV838" s="528">
        <f t="shared" si="2437"/>
        <v>0</v>
      </c>
      <c r="CW838" s="527">
        <f t="shared" si="2438"/>
        <v>0</v>
      </c>
      <c r="CX838" s="527">
        <f t="shared" si="2439"/>
        <v>0</v>
      </c>
      <c r="CY838" s="527">
        <f t="shared" si="2440"/>
        <v>0</v>
      </c>
      <c r="CZ838" s="527">
        <f t="shared" si="2441"/>
        <v>0</v>
      </c>
      <c r="DA838" s="527" t="str">
        <f t="shared" si="2442"/>
        <v/>
      </c>
      <c r="DB838" s="526" t="str">
        <f t="shared" si="2443"/>
        <v/>
      </c>
      <c r="DC838" s="525" t="str">
        <f t="shared" si="2444"/>
        <v/>
      </c>
      <c r="DD838" s="641">
        <f t="shared" si="2445"/>
        <v>10</v>
      </c>
      <c r="DE838" s="95">
        <f t="shared" si="2446"/>
        <v>10</v>
      </c>
      <c r="DF838" s="95">
        <f t="shared" si="2447"/>
        <v>10</v>
      </c>
      <c r="DG838" s="95">
        <f t="shared" si="2448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83">SUM(B292)</f>
        <v>0</v>
      </c>
      <c r="C839" s="795">
        <f t="shared" si="2483"/>
        <v>0</v>
      </c>
      <c r="D839" s="795">
        <f t="shared" si="2483"/>
        <v>0</v>
      </c>
      <c r="E839" s="795">
        <f t="shared" si="2483"/>
        <v>0</v>
      </c>
      <c r="F839" s="795">
        <f t="shared" si="2483"/>
        <v>0</v>
      </c>
      <c r="G839" s="795">
        <f t="shared" si="2483"/>
        <v>0</v>
      </c>
      <c r="H839" s="795">
        <f t="shared" si="2483"/>
        <v>0</v>
      </c>
      <c r="I839" s="795">
        <f t="shared" si="2483"/>
        <v>0</v>
      </c>
      <c r="J839" s="795">
        <f t="shared" si="2483"/>
        <v>0</v>
      </c>
      <c r="K839" s="795">
        <f t="shared" si="2483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84">SUM(T292)</f>
        <v>0</v>
      </c>
      <c r="U839" s="795">
        <f t="shared" si="2484"/>
        <v>0</v>
      </c>
      <c r="V839" s="795">
        <f t="shared" si="2484"/>
        <v>0</v>
      </c>
      <c r="W839" s="795">
        <f t="shared" si="2484"/>
        <v>0</v>
      </c>
      <c r="X839" s="795">
        <f t="shared" si="2484"/>
        <v>0</v>
      </c>
      <c r="Y839" s="795">
        <f t="shared" si="2484"/>
        <v>0</v>
      </c>
      <c r="Z839" s="795">
        <f t="shared" si="2484"/>
        <v>0</v>
      </c>
      <c r="AA839" s="795">
        <f t="shared" si="2484"/>
        <v>0</v>
      </c>
      <c r="AB839" s="795">
        <f t="shared" si="2484"/>
        <v>0</v>
      </c>
      <c r="AC839" s="795">
        <f t="shared" si="2484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85">SUM(AL292)</f>
        <v>0</v>
      </c>
      <c r="AM839" s="795">
        <f t="shared" si="2485"/>
        <v>0</v>
      </c>
      <c r="AN839" s="795">
        <f t="shared" si="2485"/>
        <v>0</v>
      </c>
      <c r="AO839" s="795">
        <f t="shared" si="2485"/>
        <v>0</v>
      </c>
      <c r="AP839" s="795">
        <f t="shared" si="2485"/>
        <v>0</v>
      </c>
      <c r="AQ839" s="795">
        <f t="shared" si="2485"/>
        <v>0</v>
      </c>
      <c r="AR839" s="795">
        <f t="shared" si="2485"/>
        <v>0</v>
      </c>
      <c r="AS839" s="795">
        <f t="shared" si="2485"/>
        <v>0</v>
      </c>
      <c r="AT839" s="795">
        <f t="shared" si="2485"/>
        <v>0</v>
      </c>
      <c r="AU839" s="795">
        <f t="shared" si="2485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86">SUM(BD292)</f>
        <v>0</v>
      </c>
      <c r="BE839" s="795">
        <f t="shared" si="2486"/>
        <v>0</v>
      </c>
      <c r="BF839" s="795">
        <f t="shared" si="2486"/>
        <v>0</v>
      </c>
      <c r="BG839" s="795">
        <f t="shared" si="2486"/>
        <v>0</v>
      </c>
      <c r="BH839" s="795">
        <f t="shared" si="2486"/>
        <v>0</v>
      </c>
      <c r="BI839" s="795">
        <f t="shared" si="2486"/>
        <v>0</v>
      </c>
      <c r="BJ839" s="795">
        <f t="shared" si="2486"/>
        <v>0</v>
      </c>
      <c r="BK839" s="795">
        <f t="shared" si="2486"/>
        <v>0</v>
      </c>
      <c r="BL839" s="795">
        <f t="shared" si="2486"/>
        <v>0</v>
      </c>
      <c r="BM839" s="795">
        <f t="shared" si="2486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424"/>
        <v>0</v>
      </c>
      <c r="CA839" s="611">
        <f t="shared" si="2425"/>
        <v>0</v>
      </c>
      <c r="CB839" s="611">
        <f t="shared" si="2426"/>
        <v>0</v>
      </c>
      <c r="CC839" s="679">
        <f t="shared" si="2427"/>
        <v>0</v>
      </c>
      <c r="CD839" s="1319">
        <f t="shared" si="2453"/>
        <v>0</v>
      </c>
      <c r="CE839" s="1320">
        <f t="shared" si="2454"/>
        <v>0</v>
      </c>
      <c r="CF839" s="1320">
        <f t="shared" si="2454"/>
        <v>0</v>
      </c>
      <c r="CG839" s="1320">
        <f t="shared" si="2454"/>
        <v>0</v>
      </c>
      <c r="CH839" s="1321">
        <f t="shared" si="2454"/>
        <v>0</v>
      </c>
      <c r="CI839" s="1321">
        <f t="shared" si="2454"/>
        <v>0</v>
      </c>
      <c r="CJ839" s="1320">
        <f t="shared" si="2454"/>
        <v>0</v>
      </c>
      <c r="CK839" s="1320">
        <f t="shared" si="2454"/>
        <v>0</v>
      </c>
      <c r="CL839" s="1320">
        <f t="shared" si="2454"/>
        <v>0</v>
      </c>
      <c r="CM839" s="1319">
        <f t="shared" si="2454"/>
        <v>0</v>
      </c>
      <c r="CN839" s="526" t="str">
        <f t="shared" si="2429"/>
        <v/>
      </c>
      <c r="CO839" s="527" t="str">
        <f t="shared" si="2430"/>
        <v/>
      </c>
      <c r="CP839" s="527" t="str">
        <f t="shared" si="2431"/>
        <v/>
      </c>
      <c r="CQ839" s="527">
        <f t="shared" si="2432"/>
        <v>0</v>
      </c>
      <c r="CR839" s="527">
        <f t="shared" si="2433"/>
        <v>0</v>
      </c>
      <c r="CS839" s="527">
        <f t="shared" si="2434"/>
        <v>0</v>
      </c>
      <c r="CT839" s="528">
        <f t="shared" si="2435"/>
        <v>0</v>
      </c>
      <c r="CU839" s="528">
        <f t="shared" si="2436"/>
        <v>0</v>
      </c>
      <c r="CV839" s="528">
        <f t="shared" si="2437"/>
        <v>0</v>
      </c>
      <c r="CW839" s="527">
        <f t="shared" si="2438"/>
        <v>0</v>
      </c>
      <c r="CX839" s="527">
        <f t="shared" si="2439"/>
        <v>0</v>
      </c>
      <c r="CY839" s="527">
        <f t="shared" si="2440"/>
        <v>0</v>
      </c>
      <c r="CZ839" s="527">
        <f t="shared" si="2441"/>
        <v>0</v>
      </c>
      <c r="DA839" s="527" t="str">
        <f t="shared" si="2442"/>
        <v/>
      </c>
      <c r="DB839" s="526" t="str">
        <f t="shared" si="2443"/>
        <v/>
      </c>
      <c r="DC839" s="525" t="str">
        <f t="shared" si="2444"/>
        <v/>
      </c>
      <c r="DD839" s="641">
        <f t="shared" si="2445"/>
        <v>10</v>
      </c>
      <c r="DE839" s="95">
        <f t="shared" si="2446"/>
        <v>10</v>
      </c>
      <c r="DF839" s="95">
        <f t="shared" si="2447"/>
        <v>10</v>
      </c>
      <c r="DG839" s="95">
        <f t="shared" si="2448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87">SUM(B299)</f>
        <v>0</v>
      </c>
      <c r="C840" s="795">
        <f t="shared" si="2487"/>
        <v>0</v>
      </c>
      <c r="D840" s="795">
        <f t="shared" si="2487"/>
        <v>0</v>
      </c>
      <c r="E840" s="795">
        <f t="shared" si="2487"/>
        <v>0</v>
      </c>
      <c r="F840" s="795">
        <f t="shared" si="2487"/>
        <v>0</v>
      </c>
      <c r="G840" s="795">
        <f t="shared" si="2487"/>
        <v>0</v>
      </c>
      <c r="H840" s="795">
        <f t="shared" si="2487"/>
        <v>0</v>
      </c>
      <c r="I840" s="795">
        <f t="shared" si="2487"/>
        <v>0</v>
      </c>
      <c r="J840" s="795">
        <f t="shared" si="2487"/>
        <v>0</v>
      </c>
      <c r="K840" s="795">
        <f t="shared" si="2487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88">SUM(T299)</f>
        <v>0</v>
      </c>
      <c r="U840" s="795">
        <f t="shared" si="2488"/>
        <v>0</v>
      </c>
      <c r="V840" s="795">
        <f t="shared" si="2488"/>
        <v>0</v>
      </c>
      <c r="W840" s="795">
        <f t="shared" si="2488"/>
        <v>0</v>
      </c>
      <c r="X840" s="795">
        <f t="shared" si="2488"/>
        <v>0</v>
      </c>
      <c r="Y840" s="795">
        <f t="shared" si="2488"/>
        <v>0</v>
      </c>
      <c r="Z840" s="795">
        <f t="shared" si="2488"/>
        <v>0</v>
      </c>
      <c r="AA840" s="795">
        <f t="shared" si="2488"/>
        <v>0</v>
      </c>
      <c r="AB840" s="795">
        <f t="shared" si="2488"/>
        <v>0</v>
      </c>
      <c r="AC840" s="795">
        <f t="shared" si="2488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89">SUM(AL299)</f>
        <v>0</v>
      </c>
      <c r="AM840" s="795">
        <f t="shared" si="2489"/>
        <v>0</v>
      </c>
      <c r="AN840" s="795">
        <f t="shared" si="2489"/>
        <v>0</v>
      </c>
      <c r="AO840" s="795">
        <f t="shared" si="2489"/>
        <v>0</v>
      </c>
      <c r="AP840" s="795">
        <f t="shared" si="2489"/>
        <v>0</v>
      </c>
      <c r="AQ840" s="795">
        <f t="shared" si="2489"/>
        <v>0</v>
      </c>
      <c r="AR840" s="795">
        <f t="shared" si="2489"/>
        <v>0</v>
      </c>
      <c r="AS840" s="795">
        <f t="shared" si="2489"/>
        <v>0</v>
      </c>
      <c r="AT840" s="795">
        <f t="shared" si="2489"/>
        <v>0</v>
      </c>
      <c r="AU840" s="795">
        <f t="shared" si="2489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90">SUM(BD299)</f>
        <v>0</v>
      </c>
      <c r="BE840" s="795">
        <f t="shared" si="2490"/>
        <v>0</v>
      </c>
      <c r="BF840" s="795">
        <f t="shared" si="2490"/>
        <v>0</v>
      </c>
      <c r="BG840" s="795">
        <f t="shared" si="2490"/>
        <v>0</v>
      </c>
      <c r="BH840" s="795">
        <f t="shared" si="2490"/>
        <v>0</v>
      </c>
      <c r="BI840" s="795">
        <f t="shared" si="2490"/>
        <v>0</v>
      </c>
      <c r="BJ840" s="795">
        <f t="shared" si="2490"/>
        <v>0</v>
      </c>
      <c r="BK840" s="795">
        <f t="shared" si="2490"/>
        <v>0</v>
      </c>
      <c r="BL840" s="795">
        <f t="shared" si="2490"/>
        <v>0</v>
      </c>
      <c r="BM840" s="795">
        <f t="shared" si="2490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424"/>
        <v>0</v>
      </c>
      <c r="CA840" s="611">
        <f t="shared" si="2425"/>
        <v>0</v>
      </c>
      <c r="CB840" s="611">
        <f t="shared" si="2426"/>
        <v>0</v>
      </c>
      <c r="CC840" s="679">
        <f t="shared" si="2427"/>
        <v>0</v>
      </c>
      <c r="CD840" s="1319">
        <f t="shared" si="2453"/>
        <v>0</v>
      </c>
      <c r="CE840" s="1320">
        <f t="shared" si="2454"/>
        <v>0</v>
      </c>
      <c r="CF840" s="1320">
        <f t="shared" si="2454"/>
        <v>0</v>
      </c>
      <c r="CG840" s="1320">
        <f t="shared" si="2454"/>
        <v>0</v>
      </c>
      <c r="CH840" s="1321">
        <f t="shared" si="2454"/>
        <v>0</v>
      </c>
      <c r="CI840" s="1321">
        <f t="shared" si="2454"/>
        <v>0</v>
      </c>
      <c r="CJ840" s="1320">
        <f t="shared" si="2454"/>
        <v>0</v>
      </c>
      <c r="CK840" s="1320">
        <f t="shared" si="2454"/>
        <v>0</v>
      </c>
      <c r="CL840" s="1320">
        <f t="shared" si="2454"/>
        <v>0</v>
      </c>
      <c r="CM840" s="1319">
        <f t="shared" si="2454"/>
        <v>0</v>
      </c>
      <c r="CN840" s="526" t="str">
        <f t="shared" si="2429"/>
        <v/>
      </c>
      <c r="CO840" s="527" t="str">
        <f t="shared" si="2430"/>
        <v/>
      </c>
      <c r="CP840" s="527" t="str">
        <f t="shared" si="2431"/>
        <v/>
      </c>
      <c r="CQ840" s="527">
        <f t="shared" si="2432"/>
        <v>0</v>
      </c>
      <c r="CR840" s="527">
        <f t="shared" si="2433"/>
        <v>0</v>
      </c>
      <c r="CS840" s="527">
        <f t="shared" si="2434"/>
        <v>0</v>
      </c>
      <c r="CT840" s="528">
        <f t="shared" si="2435"/>
        <v>0</v>
      </c>
      <c r="CU840" s="528">
        <f t="shared" si="2436"/>
        <v>0</v>
      </c>
      <c r="CV840" s="528">
        <f t="shared" si="2437"/>
        <v>0</v>
      </c>
      <c r="CW840" s="527">
        <f t="shared" si="2438"/>
        <v>0</v>
      </c>
      <c r="CX840" s="527">
        <f t="shared" si="2439"/>
        <v>0</v>
      </c>
      <c r="CY840" s="527">
        <f t="shared" si="2440"/>
        <v>0</v>
      </c>
      <c r="CZ840" s="527">
        <f t="shared" si="2441"/>
        <v>0</v>
      </c>
      <c r="DA840" s="527" t="str">
        <f t="shared" si="2442"/>
        <v/>
      </c>
      <c r="DB840" s="526" t="str">
        <f t="shared" si="2443"/>
        <v/>
      </c>
      <c r="DC840" s="525" t="str">
        <f t="shared" si="2444"/>
        <v/>
      </c>
      <c r="DD840" s="641">
        <f t="shared" si="2445"/>
        <v>10</v>
      </c>
      <c r="DE840" s="95">
        <f t="shared" si="2446"/>
        <v>10</v>
      </c>
      <c r="DF840" s="95">
        <f t="shared" si="2447"/>
        <v>10</v>
      </c>
      <c r="DG840" s="95">
        <f t="shared" si="2448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91">SUM(B309)</f>
        <v>0</v>
      </c>
      <c r="C841" s="795">
        <f t="shared" si="2491"/>
        <v>2.564144991994307E-2</v>
      </c>
      <c r="D841" s="795">
        <f t="shared" si="2491"/>
        <v>1.2464593711083438E-2</v>
      </c>
      <c r="E841" s="795">
        <f t="shared" si="2491"/>
        <v>0</v>
      </c>
      <c r="F841" s="795">
        <f t="shared" si="2491"/>
        <v>0</v>
      </c>
      <c r="G841" s="795">
        <f t="shared" si="2491"/>
        <v>0</v>
      </c>
      <c r="H841" s="795">
        <f t="shared" si="2491"/>
        <v>0</v>
      </c>
      <c r="I841" s="795">
        <f t="shared" si="2491"/>
        <v>0</v>
      </c>
      <c r="J841" s="795">
        <f t="shared" si="2491"/>
        <v>0</v>
      </c>
      <c r="K841" s="795">
        <f t="shared" si="2491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92">SUM(T309)</f>
        <v>0</v>
      </c>
      <c r="U841" s="795">
        <f t="shared" si="2492"/>
        <v>2.1367874933285892E-2</v>
      </c>
      <c r="V841" s="795">
        <f t="shared" si="2492"/>
        <v>6.6477833125778334E-3</v>
      </c>
      <c r="W841" s="795">
        <f t="shared" si="2492"/>
        <v>0</v>
      </c>
      <c r="X841" s="795">
        <f t="shared" si="2492"/>
        <v>0</v>
      </c>
      <c r="Y841" s="795">
        <f t="shared" si="2492"/>
        <v>0</v>
      </c>
      <c r="Z841" s="795">
        <f t="shared" si="2492"/>
        <v>0</v>
      </c>
      <c r="AA841" s="795">
        <f t="shared" si="2492"/>
        <v>0</v>
      </c>
      <c r="AB841" s="795">
        <f t="shared" si="2492"/>
        <v>0</v>
      </c>
      <c r="AC841" s="795">
        <f t="shared" si="2492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93">SUM(AL309)</f>
        <v>0</v>
      </c>
      <c r="AM841" s="795">
        <f t="shared" si="2493"/>
        <v>-1.2464593711083438E-2</v>
      </c>
      <c r="AN841" s="795">
        <f t="shared" si="2493"/>
        <v>-7.9773399750934001E-3</v>
      </c>
      <c r="AO841" s="795">
        <f t="shared" si="2493"/>
        <v>0</v>
      </c>
      <c r="AP841" s="795">
        <f t="shared" si="2493"/>
        <v>0</v>
      </c>
      <c r="AQ841" s="795">
        <f t="shared" si="2493"/>
        <v>0</v>
      </c>
      <c r="AR841" s="795">
        <f t="shared" si="2493"/>
        <v>0</v>
      </c>
      <c r="AS841" s="795">
        <f t="shared" si="2493"/>
        <v>0</v>
      </c>
      <c r="AT841" s="795">
        <f t="shared" si="2493"/>
        <v>0</v>
      </c>
      <c r="AU841" s="795">
        <f t="shared" si="2493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94">SUM(BD309)</f>
        <v>0</v>
      </c>
      <c r="BE841" s="795">
        <f t="shared" si="2494"/>
        <v>0</v>
      </c>
      <c r="BF841" s="795">
        <f t="shared" si="2494"/>
        <v>9.8054803860523024E-2</v>
      </c>
      <c r="BG841" s="795">
        <f t="shared" si="2494"/>
        <v>0</v>
      </c>
      <c r="BH841" s="795">
        <f t="shared" si="2494"/>
        <v>0</v>
      </c>
      <c r="BI841" s="795">
        <f t="shared" si="2494"/>
        <v>0</v>
      </c>
      <c r="BJ841" s="795">
        <f t="shared" si="2494"/>
        <v>0</v>
      </c>
      <c r="BK841" s="795">
        <f t="shared" si="2494"/>
        <v>0</v>
      </c>
      <c r="BL841" s="795">
        <f t="shared" si="2494"/>
        <v>0</v>
      </c>
      <c r="BM841" s="795">
        <f t="shared" si="2494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424"/>
        <v>2.1278842121063872E-3</v>
      </c>
      <c r="CA841" s="611">
        <f t="shared" si="2425"/>
        <v>8.3097291407222907E-4</v>
      </c>
      <c r="CB841" s="611">
        <f t="shared" si="2426"/>
        <v>-9.9716749688667523E-4</v>
      </c>
      <c r="CC841" s="679">
        <f t="shared" si="2427"/>
        <v>0</v>
      </c>
      <c r="CD841" s="1319">
        <f t="shared" si="2453"/>
        <v>-1.2464593711083438E-2</v>
      </c>
      <c r="CE841" s="1320">
        <f t="shared" si="2454"/>
        <v>-7.9773399750934001E-3</v>
      </c>
      <c r="CF841" s="1320">
        <f t="shared" si="2454"/>
        <v>0</v>
      </c>
      <c r="CG841" s="1320">
        <f t="shared" si="2454"/>
        <v>0</v>
      </c>
      <c r="CH841" s="1321">
        <f t="shared" si="2454"/>
        <v>0</v>
      </c>
      <c r="CI841" s="1321">
        <f t="shared" si="2454"/>
        <v>0</v>
      </c>
      <c r="CJ841" s="1320">
        <f t="shared" si="2454"/>
        <v>0</v>
      </c>
      <c r="CK841" s="1320">
        <f t="shared" si="2454"/>
        <v>0</v>
      </c>
      <c r="CL841" s="1320">
        <f t="shared" si="2454"/>
        <v>0</v>
      </c>
      <c r="CM841" s="1319">
        <f t="shared" si="2454"/>
        <v>0</v>
      </c>
      <c r="CN841" s="526" t="str">
        <f t="shared" si="2429"/>
        <v/>
      </c>
      <c r="CO841" s="527" t="str">
        <f t="shared" si="2430"/>
        <v/>
      </c>
      <c r="CP841" s="527" t="str">
        <f t="shared" si="2431"/>
        <v/>
      </c>
      <c r="CQ841" s="527">
        <f t="shared" si="2432"/>
        <v>0</v>
      </c>
      <c r="CR841" s="527">
        <f t="shared" si="2433"/>
        <v>0</v>
      </c>
      <c r="CS841" s="527">
        <f t="shared" si="2434"/>
        <v>0</v>
      </c>
      <c r="CT841" s="528">
        <f t="shared" si="2435"/>
        <v>0</v>
      </c>
      <c r="CU841" s="528">
        <f t="shared" si="2436"/>
        <v>0</v>
      </c>
      <c r="CV841" s="528">
        <f t="shared" si="2437"/>
        <v>0</v>
      </c>
      <c r="CW841" s="527">
        <f t="shared" si="2438"/>
        <v>0</v>
      </c>
      <c r="CX841" s="527">
        <f t="shared" si="2439"/>
        <v>0</v>
      </c>
      <c r="CY841" s="527">
        <f t="shared" si="2440"/>
        <v>0</v>
      </c>
      <c r="CZ841" s="527">
        <f t="shared" si="2441"/>
        <v>9.8054803860523024E-2</v>
      </c>
      <c r="DA841" s="527" t="str">
        <f t="shared" si="2442"/>
        <v/>
      </c>
      <c r="DB841" s="526" t="str">
        <f t="shared" si="2443"/>
        <v/>
      </c>
      <c r="DC841" s="525" t="str">
        <f t="shared" si="2444"/>
        <v/>
      </c>
      <c r="DD841" s="641">
        <f t="shared" si="2445"/>
        <v>10</v>
      </c>
      <c r="DE841" s="95">
        <f t="shared" si="2446"/>
        <v>10</v>
      </c>
      <c r="DF841" s="95">
        <f t="shared" si="2447"/>
        <v>10</v>
      </c>
      <c r="DG841" s="95">
        <f t="shared" si="2448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95">SUM(B319)</f>
        <v>3.1479209215442088E-3</v>
      </c>
      <c r="C842" s="795">
        <f t="shared" si="2495"/>
        <v>0</v>
      </c>
      <c r="D842" s="795">
        <f t="shared" si="2495"/>
        <v>0</v>
      </c>
      <c r="E842" s="795">
        <f t="shared" si="2495"/>
        <v>0</v>
      </c>
      <c r="F842" s="795">
        <f t="shared" si="2495"/>
        <v>0</v>
      </c>
      <c r="G842" s="795">
        <f t="shared" si="2495"/>
        <v>0</v>
      </c>
      <c r="H842" s="795">
        <f t="shared" si="2495"/>
        <v>0</v>
      </c>
      <c r="I842" s="795">
        <f t="shared" si="2495"/>
        <v>0</v>
      </c>
      <c r="J842" s="795">
        <f t="shared" si="2495"/>
        <v>0</v>
      </c>
      <c r="K842" s="795">
        <f t="shared" si="2495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96">SUM(T319)</f>
        <v>0</v>
      </c>
      <c r="U842" s="795">
        <f t="shared" si="2496"/>
        <v>0</v>
      </c>
      <c r="V842" s="795">
        <f t="shared" si="2496"/>
        <v>0</v>
      </c>
      <c r="W842" s="795">
        <f t="shared" si="2496"/>
        <v>0</v>
      </c>
      <c r="X842" s="795">
        <f t="shared" si="2496"/>
        <v>0</v>
      </c>
      <c r="Y842" s="795">
        <f t="shared" si="2496"/>
        <v>0</v>
      </c>
      <c r="Z842" s="795">
        <f t="shared" si="2496"/>
        <v>0</v>
      </c>
      <c r="AA842" s="795">
        <f t="shared" si="2496"/>
        <v>0</v>
      </c>
      <c r="AB842" s="795">
        <f t="shared" si="2496"/>
        <v>0</v>
      </c>
      <c r="AC842" s="795">
        <f t="shared" si="2496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97">SUM(AL319)</f>
        <v>0</v>
      </c>
      <c r="AM842" s="795">
        <f t="shared" si="2497"/>
        <v>0</v>
      </c>
      <c r="AN842" s="795">
        <f t="shared" si="2497"/>
        <v>0</v>
      </c>
      <c r="AO842" s="795">
        <f t="shared" si="2497"/>
        <v>0</v>
      </c>
      <c r="AP842" s="795">
        <f t="shared" si="2497"/>
        <v>0</v>
      </c>
      <c r="AQ842" s="795">
        <f t="shared" si="2497"/>
        <v>7.794851805728518E-3</v>
      </c>
      <c r="AR842" s="795">
        <f t="shared" si="2497"/>
        <v>4.2828856075431418E-3</v>
      </c>
      <c r="AS842" s="795">
        <f t="shared" si="2497"/>
        <v>0</v>
      </c>
      <c r="AT842" s="795">
        <f t="shared" si="2497"/>
        <v>0</v>
      </c>
      <c r="AU842" s="795">
        <f t="shared" si="2497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98">SUM(BD319)</f>
        <v>1.3990759651307594E-3</v>
      </c>
      <c r="BE842" s="795">
        <f t="shared" si="2498"/>
        <v>0</v>
      </c>
      <c r="BF842" s="795">
        <f t="shared" si="2498"/>
        <v>0</v>
      </c>
      <c r="BG842" s="795">
        <f t="shared" si="2498"/>
        <v>2.5697313645258847E-3</v>
      </c>
      <c r="BH842" s="795">
        <f t="shared" si="2498"/>
        <v>2.0441044945092267E-3</v>
      </c>
      <c r="BI842" s="795">
        <f t="shared" si="2498"/>
        <v>0</v>
      </c>
      <c r="BJ842" s="795">
        <f t="shared" si="2498"/>
        <v>1.6863862079701121E-3</v>
      </c>
      <c r="BK842" s="795">
        <f t="shared" si="2498"/>
        <v>7.7091940935776558E-4</v>
      </c>
      <c r="BL842" s="795">
        <f t="shared" si="2498"/>
        <v>2.0441044945092267E-3</v>
      </c>
      <c r="BM842" s="795">
        <f t="shared" si="2498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2">
        <f>SUM(BX319)</f>
        <v>2.2485149439601493E-3</v>
      </c>
      <c r="BY842" s="795">
        <f>SUM(BY319)</f>
        <v>1.9986799501867992E-3</v>
      </c>
      <c r="BZ842" s="611">
        <f t="shared" si="2424"/>
        <v>0</v>
      </c>
      <c r="CA842" s="611">
        <f t="shared" si="2425"/>
        <v>0</v>
      </c>
      <c r="CB842" s="611">
        <f t="shared" si="2426"/>
        <v>8.1642506893791122E-4</v>
      </c>
      <c r="CC842" s="679">
        <f t="shared" si="2427"/>
        <v>1.1965108877929355E-3</v>
      </c>
      <c r="CD842" s="1319">
        <f t="shared" si="2453"/>
        <v>0</v>
      </c>
      <c r="CE842" s="1320">
        <f t="shared" si="2454"/>
        <v>0</v>
      </c>
      <c r="CF842" s="1320">
        <f t="shared" si="2454"/>
        <v>0</v>
      </c>
      <c r="CG842" s="1320">
        <f t="shared" si="2454"/>
        <v>0</v>
      </c>
      <c r="CH842" s="1321">
        <f t="shared" si="2454"/>
        <v>0</v>
      </c>
      <c r="CI842" s="1321">
        <f t="shared" si="2454"/>
        <v>0</v>
      </c>
      <c r="CJ842" s="1320">
        <f t="shared" si="2454"/>
        <v>0</v>
      </c>
      <c r="CK842" s="1320">
        <f t="shared" si="2454"/>
        <v>2.2485149439601488E-3</v>
      </c>
      <c r="CL842" s="1320">
        <f t="shared" si="2454"/>
        <v>4.2828856075431418E-3</v>
      </c>
      <c r="CM842" s="1319">
        <f t="shared" si="2454"/>
        <v>7.794851805728518E-3</v>
      </c>
      <c r="CN842" s="526" t="str">
        <f t="shared" si="2429"/>
        <v/>
      </c>
      <c r="CO842" s="527" t="str">
        <f t="shared" si="2430"/>
        <v/>
      </c>
      <c r="CP842" s="527" t="str">
        <f t="shared" si="2431"/>
        <v/>
      </c>
      <c r="CQ842" s="527">
        <f t="shared" si="2432"/>
        <v>0</v>
      </c>
      <c r="CR842" s="527">
        <f t="shared" si="2433"/>
        <v>0</v>
      </c>
      <c r="CS842" s="527">
        <f t="shared" si="2434"/>
        <v>0</v>
      </c>
      <c r="CT842" s="528">
        <f t="shared" si="2435"/>
        <v>7.7091940935776558E-4</v>
      </c>
      <c r="CU842" s="528">
        <f t="shared" si="2436"/>
        <v>1.3990759651307594E-3</v>
      </c>
      <c r="CV842" s="528">
        <f t="shared" si="2437"/>
        <v>1.6274965308663938E-3</v>
      </c>
      <c r="CW842" s="527">
        <f t="shared" si="2438"/>
        <v>1.6863862079701121E-3</v>
      </c>
      <c r="CX842" s="527">
        <f t="shared" si="2439"/>
        <v>2.0441044945092267E-3</v>
      </c>
      <c r="CY842" s="527">
        <f t="shared" si="2440"/>
        <v>2.0441044945092267E-3</v>
      </c>
      <c r="CZ842" s="527">
        <f t="shared" si="2441"/>
        <v>2.5697313645258847E-3</v>
      </c>
      <c r="DA842" s="527" t="str">
        <f t="shared" si="2442"/>
        <v/>
      </c>
      <c r="DB842" s="526" t="str">
        <f t="shared" si="2443"/>
        <v/>
      </c>
      <c r="DC842" s="525" t="str">
        <f t="shared" si="2444"/>
        <v/>
      </c>
      <c r="DD842" s="641">
        <f t="shared" si="2445"/>
        <v>10</v>
      </c>
      <c r="DE842" s="95">
        <f t="shared" si="2446"/>
        <v>10</v>
      </c>
      <c r="DF842" s="95">
        <f t="shared" si="2447"/>
        <v>10</v>
      </c>
      <c r="DG842" s="95">
        <f t="shared" si="2448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Pumpkin: no. local meas</v>
      </c>
      <c r="B843" s="795">
        <f t="shared" ref="B843:K843" si="2499">SUM(B329)</f>
        <v>5.7679296388542965E-3</v>
      </c>
      <c r="C843" s="795">
        <f t="shared" si="2499"/>
        <v>0</v>
      </c>
      <c r="D843" s="795">
        <f t="shared" si="2499"/>
        <v>0</v>
      </c>
      <c r="E843" s="795">
        <f t="shared" si="2499"/>
        <v>0</v>
      </c>
      <c r="F843" s="795">
        <f t="shared" si="2499"/>
        <v>0</v>
      </c>
      <c r="G843" s="795">
        <f t="shared" si="2499"/>
        <v>0</v>
      </c>
      <c r="H843" s="795">
        <f t="shared" si="2499"/>
        <v>0</v>
      </c>
      <c r="I843" s="795">
        <f t="shared" si="2499"/>
        <v>0</v>
      </c>
      <c r="J843" s="795">
        <f t="shared" si="2499"/>
        <v>0</v>
      </c>
      <c r="K843" s="795">
        <f t="shared" si="2499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500">SUM(T329)</f>
        <v>0</v>
      </c>
      <c r="U843" s="795">
        <f t="shared" si="2500"/>
        <v>0</v>
      </c>
      <c r="V843" s="795">
        <f t="shared" si="2500"/>
        <v>0</v>
      </c>
      <c r="W843" s="795">
        <f t="shared" si="2500"/>
        <v>0</v>
      </c>
      <c r="X843" s="795">
        <f t="shared" si="2500"/>
        <v>3.6660569738480695E-3</v>
      </c>
      <c r="Y843" s="795">
        <f t="shared" si="2500"/>
        <v>1.1731382316313821E-2</v>
      </c>
      <c r="Z843" s="795">
        <f t="shared" si="2500"/>
        <v>3.0414694894146947E-2</v>
      </c>
      <c r="AA843" s="795">
        <f t="shared" si="2500"/>
        <v>0</v>
      </c>
      <c r="AB843" s="795">
        <f t="shared" si="2500"/>
        <v>0</v>
      </c>
      <c r="AC843" s="795">
        <f t="shared" si="2500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501">SUM(AL329)</f>
        <v>0</v>
      </c>
      <c r="AM843" s="795">
        <f t="shared" si="2501"/>
        <v>0</v>
      </c>
      <c r="AN843" s="795">
        <f t="shared" si="2501"/>
        <v>0</v>
      </c>
      <c r="AO843" s="795">
        <f t="shared" si="2501"/>
        <v>0</v>
      </c>
      <c r="AP843" s="795">
        <f t="shared" si="2501"/>
        <v>0</v>
      </c>
      <c r="AQ843" s="795">
        <f t="shared" si="2501"/>
        <v>0</v>
      </c>
      <c r="AR843" s="795">
        <f t="shared" si="2501"/>
        <v>0</v>
      </c>
      <c r="AS843" s="795">
        <f t="shared" si="2501"/>
        <v>0</v>
      </c>
      <c r="AT843" s="795">
        <f t="shared" si="2501"/>
        <v>0</v>
      </c>
      <c r="AU843" s="795">
        <f t="shared" si="2501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502">SUM(BD329)</f>
        <v>0</v>
      </c>
      <c r="BE843" s="795">
        <f t="shared" si="2502"/>
        <v>0</v>
      </c>
      <c r="BF843" s="795">
        <f t="shared" si="2502"/>
        <v>0</v>
      </c>
      <c r="BG843" s="795">
        <f t="shared" si="2502"/>
        <v>0</v>
      </c>
      <c r="BH843" s="795">
        <f t="shared" si="2502"/>
        <v>0</v>
      </c>
      <c r="BI843" s="795">
        <f t="shared" si="2502"/>
        <v>5.8656911581569104E-3</v>
      </c>
      <c r="BJ843" s="795">
        <f t="shared" si="2502"/>
        <v>0</v>
      </c>
      <c r="BK843" s="795">
        <f t="shared" si="2502"/>
        <v>0</v>
      </c>
      <c r="BL843" s="795">
        <f t="shared" si="2502"/>
        <v>0</v>
      </c>
      <c r="BM843" s="795">
        <f t="shared" si="2502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2">
        <f>SUM(BX329)</f>
        <v>0</v>
      </c>
      <c r="BY843" s="795">
        <f>SUM(BY329)</f>
        <v>0</v>
      </c>
      <c r="BZ843" s="611">
        <f t="shared" si="2424"/>
        <v>0</v>
      </c>
      <c r="CA843" s="611">
        <f t="shared" si="2425"/>
        <v>3.9613782300747195E-3</v>
      </c>
      <c r="CB843" s="611">
        <f t="shared" si="2426"/>
        <v>0</v>
      </c>
      <c r="CC843" s="679">
        <f t="shared" si="2427"/>
        <v>0</v>
      </c>
      <c r="CD843" s="1319">
        <f t="shared" si="2453"/>
        <v>0</v>
      </c>
      <c r="CE843" s="1320">
        <f t="shared" si="2454"/>
        <v>0</v>
      </c>
      <c r="CF843" s="1320">
        <f t="shared" si="2454"/>
        <v>0</v>
      </c>
      <c r="CG843" s="1320">
        <f t="shared" si="2454"/>
        <v>0</v>
      </c>
      <c r="CH843" s="1321">
        <f t="shared" si="2454"/>
        <v>0</v>
      </c>
      <c r="CI843" s="1321">
        <f t="shared" si="2454"/>
        <v>0</v>
      </c>
      <c r="CJ843" s="1320">
        <f t="shared" si="2454"/>
        <v>0</v>
      </c>
      <c r="CK843" s="1320">
        <f t="shared" si="2454"/>
        <v>0</v>
      </c>
      <c r="CL843" s="1320">
        <f t="shared" si="2454"/>
        <v>0</v>
      </c>
      <c r="CM843" s="1319">
        <f t="shared" si="2454"/>
        <v>1.7597073474470735E-2</v>
      </c>
      <c r="CN843" s="526" t="str">
        <f t="shared" si="2429"/>
        <v/>
      </c>
      <c r="CO843" s="527" t="str">
        <f t="shared" si="2430"/>
        <v/>
      </c>
      <c r="CP843" s="527" t="str">
        <f t="shared" si="2431"/>
        <v/>
      </c>
      <c r="CQ843" s="527">
        <f t="shared" si="2432"/>
        <v>0</v>
      </c>
      <c r="CR843" s="527">
        <f t="shared" si="2433"/>
        <v>0</v>
      </c>
      <c r="CS843" s="527">
        <f t="shared" si="2434"/>
        <v>0</v>
      </c>
      <c r="CT843" s="528">
        <f t="shared" si="2435"/>
        <v>0</v>
      </c>
      <c r="CU843" s="528">
        <f t="shared" si="2436"/>
        <v>0</v>
      </c>
      <c r="CV843" s="528">
        <f t="shared" si="2437"/>
        <v>0</v>
      </c>
      <c r="CW843" s="527">
        <f t="shared" si="2438"/>
        <v>0</v>
      </c>
      <c r="CX843" s="527">
        <f t="shared" si="2439"/>
        <v>0</v>
      </c>
      <c r="CY843" s="527">
        <f t="shared" si="2440"/>
        <v>0</v>
      </c>
      <c r="CZ843" s="527">
        <f t="shared" si="2441"/>
        <v>5.8656911581569104E-3</v>
      </c>
      <c r="DA843" s="527" t="str">
        <f t="shared" si="2442"/>
        <v/>
      </c>
      <c r="DB843" s="526" t="str">
        <f t="shared" si="2443"/>
        <v/>
      </c>
      <c r="DC843" s="525" t="str">
        <f t="shared" si="2444"/>
        <v/>
      </c>
      <c r="DD843" s="641">
        <f t="shared" si="2445"/>
        <v>10</v>
      </c>
      <c r="DE843" s="95">
        <f t="shared" si="2446"/>
        <v>10</v>
      </c>
      <c r="DF843" s="95">
        <f t="shared" si="2447"/>
        <v>10</v>
      </c>
      <c r="DG843" s="95">
        <f t="shared" si="2448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Sweet poatato: no. local meas</v>
      </c>
      <c r="B844" s="795">
        <f t="shared" ref="B844:K844" si="2503">SUM(B339)</f>
        <v>0</v>
      </c>
      <c r="C844" s="795">
        <f t="shared" si="2503"/>
        <v>1.9093577655221492E-2</v>
      </c>
      <c r="D844" s="795">
        <f t="shared" si="2503"/>
        <v>1.8563200498132003E-2</v>
      </c>
      <c r="E844" s="795">
        <f t="shared" si="2503"/>
        <v>0</v>
      </c>
      <c r="F844" s="795">
        <f t="shared" si="2503"/>
        <v>0</v>
      </c>
      <c r="G844" s="795">
        <f t="shared" si="2503"/>
        <v>2.0419520547945203E-2</v>
      </c>
      <c r="H844" s="795">
        <f t="shared" si="2503"/>
        <v>0</v>
      </c>
      <c r="I844" s="795">
        <f t="shared" si="2503"/>
        <v>0</v>
      </c>
      <c r="J844" s="795">
        <f t="shared" si="2503"/>
        <v>2.9701120797011211E-2</v>
      </c>
      <c r="K844" s="795">
        <f t="shared" si="2503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504">SUM(T339)</f>
        <v>5.9402241594022414E-3</v>
      </c>
      <c r="U844" s="795">
        <f t="shared" si="2504"/>
        <v>1.4850560398505606E-2</v>
      </c>
      <c r="V844" s="795">
        <f t="shared" si="2504"/>
        <v>0</v>
      </c>
      <c r="W844" s="795">
        <f t="shared" si="2504"/>
        <v>0</v>
      </c>
      <c r="X844" s="795">
        <f t="shared" si="2504"/>
        <v>0</v>
      </c>
      <c r="Y844" s="795">
        <f t="shared" si="2504"/>
        <v>1.9305728518057286E-2</v>
      </c>
      <c r="Z844" s="795">
        <f t="shared" si="2504"/>
        <v>0</v>
      </c>
      <c r="AA844" s="795">
        <f t="shared" si="2504"/>
        <v>4.1581569115815689E-2</v>
      </c>
      <c r="AB844" s="795">
        <f t="shared" si="2504"/>
        <v>4.6408001245330011E-2</v>
      </c>
      <c r="AC844" s="795">
        <f t="shared" si="2504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505">SUM(AL339)</f>
        <v>6.7888276107454196E-2</v>
      </c>
      <c r="AM844" s="795">
        <f t="shared" si="2505"/>
        <v>7.2396481942714808E-2</v>
      </c>
      <c r="AN844" s="795">
        <f t="shared" si="2505"/>
        <v>0</v>
      </c>
      <c r="AO844" s="795">
        <f t="shared" si="2505"/>
        <v>0</v>
      </c>
      <c r="AP844" s="795">
        <f t="shared" si="2505"/>
        <v>5.1976961394769615E-2</v>
      </c>
      <c r="AQ844" s="795">
        <f t="shared" si="2505"/>
        <v>3.5641344956413454E-2</v>
      </c>
      <c r="AR844" s="795">
        <f t="shared" si="2505"/>
        <v>0</v>
      </c>
      <c r="AS844" s="795">
        <f t="shared" si="2505"/>
        <v>6.3857409713574093E-2</v>
      </c>
      <c r="AT844" s="795">
        <f t="shared" si="2505"/>
        <v>6.8312577833125776E-2</v>
      </c>
      <c r="AU844" s="795">
        <f t="shared" si="2505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506">SUM(BD339)</f>
        <v>0</v>
      </c>
      <c r="BE844" s="795">
        <f t="shared" si="2506"/>
        <v>4.6408001245330011E-2</v>
      </c>
      <c r="BF844" s="795">
        <f t="shared" si="2506"/>
        <v>0</v>
      </c>
      <c r="BG844" s="795">
        <f t="shared" si="2506"/>
        <v>0</v>
      </c>
      <c r="BH844" s="795">
        <f t="shared" si="2506"/>
        <v>6.0752292539341113E-2</v>
      </c>
      <c r="BI844" s="795">
        <f t="shared" si="2506"/>
        <v>6.6827521793275224E-2</v>
      </c>
      <c r="BJ844" s="795">
        <f t="shared" si="2506"/>
        <v>0</v>
      </c>
      <c r="BK844" s="795">
        <f t="shared" si="2506"/>
        <v>2.9701120797011211E-2</v>
      </c>
      <c r="BL844" s="795">
        <f t="shared" si="2506"/>
        <v>3.3751273632967281E-2</v>
      </c>
      <c r="BM844" s="795">
        <f t="shared" si="2506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424"/>
        <v>7.6838390633339271E-3</v>
      </c>
      <c r="CA844" s="611">
        <f t="shared" si="2425"/>
        <v>1.2169209215442092E-2</v>
      </c>
      <c r="CB844" s="611">
        <f t="shared" si="2426"/>
        <v>4.0600371375200138E-2</v>
      </c>
      <c r="CC844" s="679">
        <f t="shared" si="2427"/>
        <v>2.6630357597726063E-2</v>
      </c>
      <c r="CD844" s="1319">
        <f t="shared" si="2453"/>
        <v>0</v>
      </c>
      <c r="CE844" s="1320">
        <f t="shared" si="2454"/>
        <v>0</v>
      </c>
      <c r="CF844" s="1320">
        <f t="shared" si="2454"/>
        <v>0</v>
      </c>
      <c r="CG844" s="1320">
        <f t="shared" si="2454"/>
        <v>3.5641344956413454E-2</v>
      </c>
      <c r="CH844" s="1321">
        <f t="shared" si="2454"/>
        <v>3.7126400996264006E-2</v>
      </c>
      <c r="CI844" s="1321">
        <f t="shared" si="2454"/>
        <v>5.1976961394769615E-2</v>
      </c>
      <c r="CJ844" s="1320">
        <f t="shared" si="2454"/>
        <v>6.3857409713574093E-2</v>
      </c>
      <c r="CK844" s="1320">
        <f t="shared" si="2454"/>
        <v>6.7888276107454196E-2</v>
      </c>
      <c r="CL844" s="1320">
        <f t="shared" si="2454"/>
        <v>6.8312577833125776E-2</v>
      </c>
      <c r="CM844" s="1319">
        <f t="shared" si="2454"/>
        <v>7.2396481942714808E-2</v>
      </c>
      <c r="CN844" s="526" t="str">
        <f t="shared" si="2429"/>
        <v/>
      </c>
      <c r="CO844" s="527" t="str">
        <f t="shared" si="2430"/>
        <v/>
      </c>
      <c r="CP844" s="527" t="str">
        <f t="shared" si="2431"/>
        <v/>
      </c>
      <c r="CQ844" s="527">
        <f t="shared" si="2432"/>
        <v>0</v>
      </c>
      <c r="CR844" s="527">
        <f t="shared" si="2433"/>
        <v>0</v>
      </c>
      <c r="CS844" s="527">
        <f t="shared" si="2434"/>
        <v>0</v>
      </c>
      <c r="CT844" s="528">
        <f t="shared" si="2435"/>
        <v>0</v>
      </c>
      <c r="CU844" s="528">
        <f t="shared" si="2436"/>
        <v>2.9701120797011211E-2</v>
      </c>
      <c r="CV844" s="528">
        <f t="shared" si="2437"/>
        <v>3.3751273632967281E-2</v>
      </c>
      <c r="CW844" s="527">
        <f t="shared" si="2438"/>
        <v>4.2430172567158871E-2</v>
      </c>
      <c r="CX844" s="527">
        <f t="shared" si="2439"/>
        <v>4.6408001245330011E-2</v>
      </c>
      <c r="CY844" s="527">
        <f t="shared" si="2440"/>
        <v>6.0752292539341113E-2</v>
      </c>
      <c r="CZ844" s="527">
        <f t="shared" si="2441"/>
        <v>6.6827521793275224E-2</v>
      </c>
      <c r="DA844" s="527" t="str">
        <f t="shared" si="2442"/>
        <v/>
      </c>
      <c r="DB844" s="526" t="str">
        <f t="shared" si="2443"/>
        <v/>
      </c>
      <c r="DC844" s="525" t="str">
        <f t="shared" si="2444"/>
        <v/>
      </c>
      <c r="DD844" s="641">
        <f t="shared" si="2445"/>
        <v>10</v>
      </c>
      <c r="DE844" s="95">
        <f t="shared" si="2446"/>
        <v>10</v>
      </c>
      <c r="DF844" s="95">
        <f t="shared" si="2447"/>
        <v>10</v>
      </c>
      <c r="DG844" s="95">
        <f t="shared" si="2448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507">SUM(B349)</f>
        <v>0</v>
      </c>
      <c r="C845" s="795">
        <f t="shared" si="2507"/>
        <v>5.390849492972781E-2</v>
      </c>
      <c r="D845" s="795">
        <f t="shared" si="2507"/>
        <v>9.4339866127023678E-2</v>
      </c>
      <c r="E845" s="795">
        <f t="shared" si="2507"/>
        <v>0</v>
      </c>
      <c r="F845" s="795">
        <f t="shared" si="2507"/>
        <v>0</v>
      </c>
      <c r="G845" s="795">
        <f t="shared" si="2507"/>
        <v>9.4339866127023678E-2</v>
      </c>
      <c r="H845" s="795">
        <f t="shared" si="2507"/>
        <v>0</v>
      </c>
      <c r="I845" s="795">
        <f t="shared" si="2507"/>
        <v>0</v>
      </c>
      <c r="J845" s="795">
        <f t="shared" si="2507"/>
        <v>0</v>
      </c>
      <c r="K845" s="795">
        <f t="shared" si="2507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508">SUM(T349)</f>
        <v>0</v>
      </c>
      <c r="U845" s="795">
        <f t="shared" si="2508"/>
        <v>8.0862742394591708E-2</v>
      </c>
      <c r="V845" s="795">
        <f t="shared" si="2508"/>
        <v>4.19288293897883E-2</v>
      </c>
      <c r="W845" s="795">
        <f t="shared" si="2508"/>
        <v>0</v>
      </c>
      <c r="X845" s="795">
        <f t="shared" si="2508"/>
        <v>0</v>
      </c>
      <c r="Y845" s="795">
        <f t="shared" si="2508"/>
        <v>0.13584940722291405</v>
      </c>
      <c r="Z845" s="795">
        <f t="shared" si="2508"/>
        <v>0</v>
      </c>
      <c r="AA845" s="795">
        <f t="shared" si="2508"/>
        <v>6.037751432129515E-2</v>
      </c>
      <c r="AB845" s="795">
        <f t="shared" si="2508"/>
        <v>4.7169933063511839E-2</v>
      </c>
      <c r="AC845" s="795">
        <f t="shared" si="2508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509">SUM(AL349)</f>
        <v>0</v>
      </c>
      <c r="AM845" s="795">
        <f t="shared" si="2509"/>
        <v>0.1415097991905355</v>
      </c>
      <c r="AN845" s="795">
        <f t="shared" si="2509"/>
        <v>7.5471892901618945E-2</v>
      </c>
      <c r="AO845" s="795">
        <f t="shared" si="2509"/>
        <v>0</v>
      </c>
      <c r="AP845" s="795">
        <f t="shared" si="2509"/>
        <v>6.037751432129515E-2</v>
      </c>
      <c r="AQ845" s="795">
        <f t="shared" si="2509"/>
        <v>6.037751432129515E-2</v>
      </c>
      <c r="AR845" s="795">
        <f t="shared" si="2509"/>
        <v>0</v>
      </c>
      <c r="AS845" s="795">
        <f t="shared" si="2509"/>
        <v>7.5471892901618945E-2</v>
      </c>
      <c r="AT845" s="795">
        <f t="shared" si="2509"/>
        <v>0</v>
      </c>
      <c r="AU845" s="795">
        <f t="shared" si="2509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510">SUM(BD349)</f>
        <v>0</v>
      </c>
      <c r="BE845" s="795">
        <f t="shared" si="2510"/>
        <v>0.1415097991905355</v>
      </c>
      <c r="BF845" s="795">
        <f t="shared" si="2510"/>
        <v>0.15723311021170611</v>
      </c>
      <c r="BG845" s="795">
        <f t="shared" si="2510"/>
        <v>0</v>
      </c>
      <c r="BH845" s="795">
        <f t="shared" si="2510"/>
        <v>8.5763514660930615E-2</v>
      </c>
      <c r="BI845" s="795">
        <f t="shared" si="2510"/>
        <v>0.10566065006226651</v>
      </c>
      <c r="BJ845" s="795">
        <f t="shared" si="2510"/>
        <v>0</v>
      </c>
      <c r="BK845" s="795">
        <f t="shared" si="2510"/>
        <v>0</v>
      </c>
      <c r="BL845" s="795">
        <f t="shared" si="2510"/>
        <v>0</v>
      </c>
      <c r="BM845" s="795">
        <f t="shared" si="2510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2">
        <f>SUM(BX349)</f>
        <v>9.4339866127023678E-2</v>
      </c>
      <c r="BY845" s="795">
        <f>SUM(BY349)</f>
        <v>0.10482207347447074</v>
      </c>
      <c r="BZ845" s="611">
        <f t="shared" si="2424"/>
        <v>1.8531045132093936E-2</v>
      </c>
      <c r="CA845" s="611">
        <f t="shared" si="2425"/>
        <v>2.8792377396148379E-2</v>
      </c>
      <c r="CB845" s="611">
        <f t="shared" si="2426"/>
        <v>3.3962351805728513E-2</v>
      </c>
      <c r="CC845" s="679">
        <f t="shared" si="2427"/>
        <v>4.1616745489216574E-2</v>
      </c>
      <c r="CD845" s="1319">
        <f t="shared" si="2453"/>
        <v>0</v>
      </c>
      <c r="CE845" s="1320">
        <f t="shared" si="2454"/>
        <v>0</v>
      </c>
      <c r="CF845" s="1320">
        <f t="shared" si="2454"/>
        <v>0</v>
      </c>
      <c r="CG845" s="1320">
        <f t="shared" si="2454"/>
        <v>0</v>
      </c>
      <c r="CH845" s="1321">
        <f t="shared" si="2454"/>
        <v>0</v>
      </c>
      <c r="CI845" s="1321">
        <f t="shared" si="2454"/>
        <v>6.037751432129515E-2</v>
      </c>
      <c r="CJ845" s="1320">
        <f t="shared" si="2454"/>
        <v>6.037751432129515E-2</v>
      </c>
      <c r="CK845" s="1320">
        <f t="shared" si="2454"/>
        <v>7.5471892901618945E-2</v>
      </c>
      <c r="CL845" s="1320">
        <f t="shared" si="2454"/>
        <v>7.5471892901618945E-2</v>
      </c>
      <c r="CM845" s="1319">
        <f t="shared" si="2454"/>
        <v>0.1415097991905355</v>
      </c>
      <c r="CN845" s="526" t="str">
        <f t="shared" si="2429"/>
        <v/>
      </c>
      <c r="CO845" s="527" t="str">
        <f t="shared" si="2430"/>
        <v/>
      </c>
      <c r="CP845" s="527" t="str">
        <f t="shared" si="2431"/>
        <v/>
      </c>
      <c r="CQ845" s="527">
        <f t="shared" si="2432"/>
        <v>0</v>
      </c>
      <c r="CR845" s="527">
        <f t="shared" si="2433"/>
        <v>0</v>
      </c>
      <c r="CS845" s="527">
        <f t="shared" si="2434"/>
        <v>0</v>
      </c>
      <c r="CT845" s="528">
        <f t="shared" si="2435"/>
        <v>0</v>
      </c>
      <c r="CU845" s="528">
        <f t="shared" si="2436"/>
        <v>0</v>
      </c>
      <c r="CV845" s="528">
        <f t="shared" si="2437"/>
        <v>0</v>
      </c>
      <c r="CW845" s="527">
        <f t="shared" si="2438"/>
        <v>8.5763514660930615E-2</v>
      </c>
      <c r="CX845" s="527">
        <f t="shared" si="2439"/>
        <v>0.10566065006226651</v>
      </c>
      <c r="CY845" s="527">
        <f t="shared" si="2440"/>
        <v>0.1415097991905355</v>
      </c>
      <c r="CZ845" s="527">
        <f t="shared" si="2441"/>
        <v>0.15723311021170611</v>
      </c>
      <c r="DA845" s="527" t="str">
        <f t="shared" si="2442"/>
        <v/>
      </c>
      <c r="DB845" s="526" t="str">
        <f t="shared" si="2443"/>
        <v/>
      </c>
      <c r="DC845" s="525" t="str">
        <f t="shared" si="2444"/>
        <v/>
      </c>
      <c r="DD845" s="641">
        <f t="shared" si="2445"/>
        <v>10</v>
      </c>
      <c r="DE845" s="95">
        <f t="shared" si="2446"/>
        <v>10</v>
      </c>
      <c r="DF845" s="95">
        <f t="shared" si="2447"/>
        <v>10</v>
      </c>
      <c r="DG845" s="95">
        <f t="shared" si="2448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511">SUM(B359)</f>
        <v>0</v>
      </c>
      <c r="C846" s="795">
        <f t="shared" si="2511"/>
        <v>0</v>
      </c>
      <c r="D846" s="795">
        <f t="shared" si="2511"/>
        <v>0</v>
      </c>
      <c r="E846" s="795">
        <f t="shared" si="2511"/>
        <v>0</v>
      </c>
      <c r="F846" s="795">
        <f t="shared" si="2511"/>
        <v>0</v>
      </c>
      <c r="G846" s="795">
        <f t="shared" si="2511"/>
        <v>0</v>
      </c>
      <c r="H846" s="795">
        <f t="shared" si="2511"/>
        <v>0</v>
      </c>
      <c r="I846" s="795">
        <f t="shared" si="2511"/>
        <v>0</v>
      </c>
      <c r="J846" s="795">
        <f t="shared" si="2511"/>
        <v>0</v>
      </c>
      <c r="K846" s="795">
        <f t="shared" si="2511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512">SUM(T359)</f>
        <v>0</v>
      </c>
      <c r="U846" s="795">
        <f t="shared" si="2512"/>
        <v>0</v>
      </c>
      <c r="V846" s="795">
        <f t="shared" si="2512"/>
        <v>0</v>
      </c>
      <c r="W846" s="795">
        <f t="shared" si="2512"/>
        <v>0</v>
      </c>
      <c r="X846" s="795">
        <f t="shared" si="2512"/>
        <v>0</v>
      </c>
      <c r="Y846" s="795">
        <f t="shared" si="2512"/>
        <v>0</v>
      </c>
      <c r="Z846" s="795">
        <f t="shared" si="2512"/>
        <v>0</v>
      </c>
      <c r="AA846" s="795">
        <f t="shared" si="2512"/>
        <v>0</v>
      </c>
      <c r="AB846" s="795">
        <f t="shared" si="2512"/>
        <v>0</v>
      </c>
      <c r="AC846" s="795">
        <f t="shared" si="2512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513">SUM(AL359)</f>
        <v>0</v>
      </c>
      <c r="AM846" s="795">
        <f t="shared" si="2513"/>
        <v>0</v>
      </c>
      <c r="AN846" s="795">
        <f t="shared" si="2513"/>
        <v>0</v>
      </c>
      <c r="AO846" s="795">
        <f t="shared" si="2513"/>
        <v>0</v>
      </c>
      <c r="AP846" s="795">
        <f t="shared" si="2513"/>
        <v>0</v>
      </c>
      <c r="AQ846" s="795">
        <f t="shared" si="2513"/>
        <v>0</v>
      </c>
      <c r="AR846" s="795">
        <f t="shared" si="2513"/>
        <v>0</v>
      </c>
      <c r="AS846" s="795">
        <f t="shared" si="2513"/>
        <v>0</v>
      </c>
      <c r="AT846" s="795">
        <f t="shared" si="2513"/>
        <v>0</v>
      </c>
      <c r="AU846" s="795">
        <f t="shared" si="2513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514">SUM(BD359)</f>
        <v>0</v>
      </c>
      <c r="BE846" s="795">
        <f t="shared" si="2514"/>
        <v>0</v>
      </c>
      <c r="BF846" s="795">
        <f t="shared" si="2514"/>
        <v>0</v>
      </c>
      <c r="BG846" s="795">
        <f t="shared" si="2514"/>
        <v>0</v>
      </c>
      <c r="BH846" s="795">
        <f t="shared" si="2514"/>
        <v>0</v>
      </c>
      <c r="BI846" s="795">
        <f t="shared" si="2514"/>
        <v>0</v>
      </c>
      <c r="BJ846" s="795">
        <f t="shared" si="2514"/>
        <v>0</v>
      </c>
      <c r="BK846" s="795">
        <f t="shared" si="2514"/>
        <v>0</v>
      </c>
      <c r="BL846" s="795">
        <f t="shared" si="2514"/>
        <v>0</v>
      </c>
      <c r="BM846" s="795">
        <f t="shared" si="2514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2">
        <f>SUM(BX359)</f>
        <v>0</v>
      </c>
      <c r="BY846" s="795">
        <f>SUM(BY359)</f>
        <v>0</v>
      </c>
      <c r="BZ846" s="611">
        <f t="shared" si="2424"/>
        <v>0</v>
      </c>
      <c r="CA846" s="611">
        <f t="shared" si="2425"/>
        <v>0</v>
      </c>
      <c r="CB846" s="611">
        <f t="shared" si="2426"/>
        <v>0</v>
      </c>
      <c r="CC846" s="679">
        <f t="shared" si="2427"/>
        <v>0</v>
      </c>
      <c r="CD846" s="1319">
        <f t="shared" si="2453"/>
        <v>0</v>
      </c>
      <c r="CE846" s="1320">
        <f t="shared" si="2454"/>
        <v>0</v>
      </c>
      <c r="CF846" s="1320">
        <f t="shared" si="2454"/>
        <v>0</v>
      </c>
      <c r="CG846" s="1320">
        <f t="shared" si="2454"/>
        <v>0</v>
      </c>
      <c r="CH846" s="1321">
        <f t="shared" si="2454"/>
        <v>0</v>
      </c>
      <c r="CI846" s="1321">
        <f t="shared" si="2454"/>
        <v>0</v>
      </c>
      <c r="CJ846" s="1320">
        <f t="shared" si="2454"/>
        <v>0</v>
      </c>
      <c r="CK846" s="1320">
        <f t="shared" si="2454"/>
        <v>0</v>
      </c>
      <c r="CL846" s="1320">
        <f t="shared" si="2454"/>
        <v>0</v>
      </c>
      <c r="CM846" s="1319">
        <f t="shared" si="2454"/>
        <v>0</v>
      </c>
      <c r="CN846" s="526" t="str">
        <f t="shared" si="2429"/>
        <v/>
      </c>
      <c r="CO846" s="527" t="str">
        <f t="shared" si="2430"/>
        <v/>
      </c>
      <c r="CP846" s="527" t="str">
        <f t="shared" si="2431"/>
        <v/>
      </c>
      <c r="CQ846" s="527">
        <f t="shared" si="2432"/>
        <v>0</v>
      </c>
      <c r="CR846" s="527">
        <f t="shared" si="2433"/>
        <v>0</v>
      </c>
      <c r="CS846" s="527">
        <f t="shared" si="2434"/>
        <v>0</v>
      </c>
      <c r="CT846" s="528">
        <f t="shared" si="2435"/>
        <v>0</v>
      </c>
      <c r="CU846" s="528">
        <f t="shared" si="2436"/>
        <v>0</v>
      </c>
      <c r="CV846" s="528">
        <f t="shared" si="2437"/>
        <v>0</v>
      </c>
      <c r="CW846" s="527">
        <f t="shared" si="2438"/>
        <v>0</v>
      </c>
      <c r="CX846" s="527">
        <f t="shared" si="2439"/>
        <v>0</v>
      </c>
      <c r="CY846" s="527">
        <f t="shared" si="2440"/>
        <v>0</v>
      </c>
      <c r="CZ846" s="527">
        <f t="shared" si="2441"/>
        <v>0</v>
      </c>
      <c r="DA846" s="527" t="str">
        <f t="shared" si="2442"/>
        <v/>
      </c>
      <c r="DB846" s="526" t="str">
        <f t="shared" si="2443"/>
        <v/>
      </c>
      <c r="DC846" s="525" t="str">
        <f t="shared" si="2444"/>
        <v/>
      </c>
      <c r="DD846" s="641">
        <f t="shared" si="2445"/>
        <v>10</v>
      </c>
      <c r="DE846" s="95">
        <f t="shared" si="2446"/>
        <v>10</v>
      </c>
      <c r="DF846" s="95">
        <f t="shared" si="2447"/>
        <v>10</v>
      </c>
      <c r="DG846" s="95">
        <f t="shared" si="2448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515">SUM(B370)</f>
        <v>0</v>
      </c>
      <c r="C847" s="795">
        <f t="shared" si="2515"/>
        <v>0</v>
      </c>
      <c r="D847" s="795">
        <f t="shared" si="2515"/>
        <v>0</v>
      </c>
      <c r="E847" s="795">
        <f t="shared" si="2515"/>
        <v>0</v>
      </c>
      <c r="F847" s="795">
        <f t="shared" si="2515"/>
        <v>0</v>
      </c>
      <c r="G847" s="795">
        <f t="shared" si="2515"/>
        <v>1.2219800747198008E-2</v>
      </c>
      <c r="H847" s="795">
        <f t="shared" si="2515"/>
        <v>3.2586135325861354E-2</v>
      </c>
      <c r="I847" s="795">
        <f t="shared" si="2515"/>
        <v>7.820672478206725E-3</v>
      </c>
      <c r="J847" s="795">
        <f t="shared" si="2515"/>
        <v>1.8329701120797012E-2</v>
      </c>
      <c r="K847" s="795">
        <f t="shared" si="2515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516">SUM(T370)</f>
        <v>1.1608810709838107E-2</v>
      </c>
      <c r="U847" s="795">
        <f t="shared" si="2516"/>
        <v>0</v>
      </c>
      <c r="V847" s="795">
        <f t="shared" si="2516"/>
        <v>0</v>
      </c>
      <c r="W847" s="795">
        <f t="shared" si="2516"/>
        <v>0</v>
      </c>
      <c r="X847" s="795">
        <f t="shared" si="2516"/>
        <v>0</v>
      </c>
      <c r="Y847" s="795">
        <f t="shared" si="2516"/>
        <v>2.4439601494396015E-2</v>
      </c>
      <c r="Z847" s="795">
        <f t="shared" si="2516"/>
        <v>1.6836169918361701E-2</v>
      </c>
      <c r="AA847" s="795">
        <f t="shared" si="2516"/>
        <v>1.6618929016189291E-2</v>
      </c>
      <c r="AB847" s="795">
        <f t="shared" si="2516"/>
        <v>1.1608810709838107E-2</v>
      </c>
      <c r="AC847" s="795">
        <f t="shared" si="2516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517">SUM(AL370)</f>
        <v>1.3965486568226293E-2</v>
      </c>
      <c r="AM847" s="795">
        <f t="shared" si="2517"/>
        <v>0</v>
      </c>
      <c r="AN847" s="795">
        <f t="shared" si="2517"/>
        <v>0</v>
      </c>
      <c r="AO847" s="795">
        <f t="shared" si="2517"/>
        <v>0</v>
      </c>
      <c r="AP847" s="795">
        <f t="shared" si="2517"/>
        <v>0</v>
      </c>
      <c r="AQ847" s="795">
        <f t="shared" si="2517"/>
        <v>3.4215442092154422E-2</v>
      </c>
      <c r="AR847" s="795">
        <f t="shared" si="2517"/>
        <v>5.2370574630848599E-2</v>
      </c>
      <c r="AS847" s="795">
        <f t="shared" si="2517"/>
        <v>2.9132004981320053E-2</v>
      </c>
      <c r="AT847" s="795">
        <f t="shared" si="2517"/>
        <v>2.2484433374844334E-2</v>
      </c>
      <c r="AU847" s="795">
        <f t="shared" si="2517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518">SUM(BD370)</f>
        <v>8.1465338314653385E-3</v>
      </c>
      <c r="BE847" s="795">
        <f t="shared" si="2518"/>
        <v>0</v>
      </c>
      <c r="BF847" s="795">
        <f t="shared" si="2518"/>
        <v>0</v>
      </c>
      <c r="BG847" s="795">
        <f t="shared" si="2518"/>
        <v>0</v>
      </c>
      <c r="BH847" s="795">
        <f t="shared" si="2518"/>
        <v>0</v>
      </c>
      <c r="BI847" s="795">
        <f t="shared" si="2518"/>
        <v>9.7758405977584062E-3</v>
      </c>
      <c r="BJ847" s="795">
        <f t="shared" si="2518"/>
        <v>1.2219800747198008E-2</v>
      </c>
      <c r="BK847" s="795">
        <f t="shared" si="2518"/>
        <v>4.8879202988792031E-2</v>
      </c>
      <c r="BL847" s="795">
        <f t="shared" si="2518"/>
        <v>2.2217819540360013E-2</v>
      </c>
      <c r="BM847" s="795">
        <f t="shared" si="2518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424"/>
        <v>5.4945461216865318E-3</v>
      </c>
      <c r="CA847" s="611">
        <f t="shared" si="2425"/>
        <v>7.8647995364604945E-3</v>
      </c>
      <c r="CB847" s="611">
        <f t="shared" si="2426"/>
        <v>1.7851383205835257E-2</v>
      </c>
      <c r="CC847" s="679">
        <f t="shared" si="2427"/>
        <v>1.1345635347425508E-2</v>
      </c>
      <c r="CD847" s="1319">
        <f t="shared" si="2453"/>
        <v>0</v>
      </c>
      <c r="CE847" s="1320">
        <f t="shared" ref="CE847:CM849" si="251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0">
        <f t="shared" si="2519"/>
        <v>0</v>
      </c>
      <c r="CG847" s="1320">
        <f t="shared" si="2519"/>
        <v>0</v>
      </c>
      <c r="CH847" s="1321">
        <f t="shared" si="2519"/>
        <v>1.3965486568226293E-2</v>
      </c>
      <c r="CI847" s="1321">
        <f t="shared" si="2519"/>
        <v>2.2484433374844334E-2</v>
      </c>
      <c r="CJ847" s="1320">
        <f t="shared" si="2519"/>
        <v>2.9132004981320053E-2</v>
      </c>
      <c r="CK847" s="1320">
        <f t="shared" si="2519"/>
        <v>3.4215442092154422E-2</v>
      </c>
      <c r="CL847" s="1320">
        <f t="shared" si="2519"/>
        <v>4.3013698630136987E-2</v>
      </c>
      <c r="CM847" s="1319">
        <f t="shared" si="2519"/>
        <v>5.2370574630848599E-2</v>
      </c>
      <c r="CN847" s="526" t="str">
        <f t="shared" si="2429"/>
        <v/>
      </c>
      <c r="CO847" s="527" t="str">
        <f t="shared" si="2430"/>
        <v/>
      </c>
      <c r="CP847" s="527" t="str">
        <f t="shared" si="2431"/>
        <v/>
      </c>
      <c r="CQ847" s="527">
        <f t="shared" si="2432"/>
        <v>0</v>
      </c>
      <c r="CR847" s="527">
        <f t="shared" si="2433"/>
        <v>0</v>
      </c>
      <c r="CS847" s="527">
        <f t="shared" si="2434"/>
        <v>0</v>
      </c>
      <c r="CT847" s="528">
        <f t="shared" si="2435"/>
        <v>0</v>
      </c>
      <c r="CU847" s="528">
        <f t="shared" si="2436"/>
        <v>8.1465338314653385E-3</v>
      </c>
      <c r="CV847" s="528">
        <f t="shared" si="2437"/>
        <v>9.7758405977584062E-3</v>
      </c>
      <c r="CW847" s="527">
        <f t="shared" si="2438"/>
        <v>1.2219800747198008E-2</v>
      </c>
      <c r="CX847" s="527">
        <f t="shared" si="2439"/>
        <v>2.2217819540360013E-2</v>
      </c>
      <c r="CY847" s="527">
        <f t="shared" si="2440"/>
        <v>3.8405088062622307E-2</v>
      </c>
      <c r="CZ847" s="527">
        <f t="shared" si="2441"/>
        <v>4.8879202988792031E-2</v>
      </c>
      <c r="DA847" s="527" t="str">
        <f t="shared" si="2442"/>
        <v/>
      </c>
      <c r="DB847" s="526" t="str">
        <f t="shared" si="2443"/>
        <v/>
      </c>
      <c r="DC847" s="525" t="str">
        <f t="shared" si="2444"/>
        <v/>
      </c>
      <c r="DD847" s="641">
        <f t="shared" si="2445"/>
        <v>10</v>
      </c>
      <c r="DE847" s="95">
        <f t="shared" si="2446"/>
        <v>10</v>
      </c>
      <c r="DF847" s="95">
        <f t="shared" si="2447"/>
        <v>10</v>
      </c>
      <c r="DG847" s="95">
        <f t="shared" si="2448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520">SUM(B381)</f>
        <v>3.0924657534246575E-2</v>
      </c>
      <c r="C848" s="795">
        <f t="shared" si="2520"/>
        <v>0</v>
      </c>
      <c r="D848" s="795">
        <f t="shared" si="2520"/>
        <v>0.13805650684931506</v>
      </c>
      <c r="E848" s="795">
        <f t="shared" si="2520"/>
        <v>0</v>
      </c>
      <c r="F848" s="795">
        <f t="shared" si="2520"/>
        <v>0</v>
      </c>
      <c r="G848" s="795">
        <f t="shared" si="2520"/>
        <v>0</v>
      </c>
      <c r="H848" s="795">
        <f t="shared" si="2520"/>
        <v>0</v>
      </c>
      <c r="I848" s="795">
        <f t="shared" si="2520"/>
        <v>0</v>
      </c>
      <c r="J848" s="795">
        <f t="shared" si="2520"/>
        <v>0</v>
      </c>
      <c r="K848" s="795">
        <f t="shared" si="2520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521">SUM(T381)</f>
        <v>0</v>
      </c>
      <c r="U848" s="795">
        <f t="shared" si="2521"/>
        <v>0</v>
      </c>
      <c r="V848" s="795">
        <f t="shared" si="2521"/>
        <v>0</v>
      </c>
      <c r="W848" s="795">
        <f t="shared" si="2521"/>
        <v>0</v>
      </c>
      <c r="X848" s="795">
        <f t="shared" si="2521"/>
        <v>0</v>
      </c>
      <c r="Y848" s="795">
        <f t="shared" si="2521"/>
        <v>0</v>
      </c>
      <c r="Z848" s="795">
        <f t="shared" si="2521"/>
        <v>0</v>
      </c>
      <c r="AA848" s="795">
        <f t="shared" si="2521"/>
        <v>0</v>
      </c>
      <c r="AB848" s="795">
        <f t="shared" si="2521"/>
        <v>0</v>
      </c>
      <c r="AC848" s="795">
        <f t="shared" si="2521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522">SUM(AL381)</f>
        <v>0</v>
      </c>
      <c r="AM848" s="795">
        <f t="shared" si="2522"/>
        <v>0</v>
      </c>
      <c r="AN848" s="795">
        <f t="shared" si="2522"/>
        <v>0</v>
      </c>
      <c r="AO848" s="795">
        <f t="shared" si="2522"/>
        <v>0</v>
      </c>
      <c r="AP848" s="795">
        <f t="shared" si="2522"/>
        <v>0</v>
      </c>
      <c r="AQ848" s="795">
        <f t="shared" si="2522"/>
        <v>0</v>
      </c>
      <c r="AR848" s="795">
        <f t="shared" si="2522"/>
        <v>0</v>
      </c>
      <c r="AS848" s="795">
        <f t="shared" si="2522"/>
        <v>0</v>
      </c>
      <c r="AT848" s="795">
        <f t="shared" si="2522"/>
        <v>0</v>
      </c>
      <c r="AU848" s="795">
        <f t="shared" si="2522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523">SUM(BD381)</f>
        <v>2.5770547945205481E-2</v>
      </c>
      <c r="BE848" s="795">
        <f t="shared" si="2523"/>
        <v>0</v>
      </c>
      <c r="BF848" s="795">
        <f t="shared" si="2523"/>
        <v>0</v>
      </c>
      <c r="BG848" s="795">
        <f t="shared" si="2523"/>
        <v>6.3111545988258314E-2</v>
      </c>
      <c r="BH848" s="795">
        <f t="shared" si="2523"/>
        <v>0</v>
      </c>
      <c r="BI848" s="795">
        <f t="shared" si="2523"/>
        <v>0</v>
      </c>
      <c r="BJ848" s="795">
        <f t="shared" si="2523"/>
        <v>0</v>
      </c>
      <c r="BK848" s="795">
        <f t="shared" si="2523"/>
        <v>0</v>
      </c>
      <c r="BL848" s="795">
        <f t="shared" si="2523"/>
        <v>2.0080946450809465E-2</v>
      </c>
      <c r="BM848" s="795">
        <f t="shared" si="2523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2">
        <f>SUM(BX381)</f>
        <v>0</v>
      </c>
      <c r="BY848" s="795">
        <f>SUM(BY381)</f>
        <v>0</v>
      </c>
      <c r="BZ848" s="611">
        <f t="shared" si="2424"/>
        <v>3.8655821917808232E-3</v>
      </c>
      <c r="CA848" s="611">
        <f t="shared" si="2425"/>
        <v>0</v>
      </c>
      <c r="CB848" s="611">
        <f t="shared" si="2426"/>
        <v>0</v>
      </c>
      <c r="CC848" s="679">
        <f t="shared" si="2427"/>
        <v>5.7314367995018687E-3</v>
      </c>
      <c r="CD848" s="1319">
        <f t="shared" si="2453"/>
        <v>0</v>
      </c>
      <c r="CE848" s="1320">
        <f t="shared" si="2519"/>
        <v>0</v>
      </c>
      <c r="CF848" s="1320">
        <f t="shared" si="2519"/>
        <v>0</v>
      </c>
      <c r="CG848" s="1320">
        <f t="shared" si="2519"/>
        <v>0</v>
      </c>
      <c r="CH848" s="1321">
        <f t="shared" si="2519"/>
        <v>0</v>
      </c>
      <c r="CI848" s="1321">
        <f t="shared" si="2519"/>
        <v>0</v>
      </c>
      <c r="CJ848" s="1320">
        <f t="shared" si="2519"/>
        <v>0</v>
      </c>
      <c r="CK848" s="1320">
        <f t="shared" si="2519"/>
        <v>0</v>
      </c>
      <c r="CL848" s="1320">
        <f t="shared" si="2519"/>
        <v>0</v>
      </c>
      <c r="CM848" s="1319">
        <f t="shared" si="2519"/>
        <v>0</v>
      </c>
      <c r="CN848" s="526" t="str">
        <f t="shared" si="2429"/>
        <v/>
      </c>
      <c r="CO848" s="527" t="str">
        <f t="shared" si="2430"/>
        <v/>
      </c>
      <c r="CP848" s="527" t="str">
        <f t="shared" si="2431"/>
        <v/>
      </c>
      <c r="CQ848" s="527">
        <f t="shared" si="2432"/>
        <v>0</v>
      </c>
      <c r="CR848" s="527">
        <f t="shared" si="2433"/>
        <v>0</v>
      </c>
      <c r="CS848" s="527">
        <f t="shared" si="2434"/>
        <v>0</v>
      </c>
      <c r="CT848" s="528">
        <f t="shared" si="2435"/>
        <v>0</v>
      </c>
      <c r="CU848" s="528">
        <f t="shared" si="2436"/>
        <v>0</v>
      </c>
      <c r="CV848" s="528">
        <f t="shared" si="2437"/>
        <v>0</v>
      </c>
      <c r="CW848" s="527">
        <f t="shared" si="2438"/>
        <v>0</v>
      </c>
      <c r="CX848" s="527">
        <f t="shared" si="2439"/>
        <v>2.0080946450809465E-2</v>
      </c>
      <c r="CY848" s="527">
        <f t="shared" si="2440"/>
        <v>2.5770547945205481E-2</v>
      </c>
      <c r="CZ848" s="527">
        <f t="shared" si="2441"/>
        <v>6.3111545988258314E-2</v>
      </c>
      <c r="DA848" s="527" t="str">
        <f t="shared" si="2442"/>
        <v/>
      </c>
      <c r="DB848" s="526" t="str">
        <f t="shared" si="2443"/>
        <v/>
      </c>
      <c r="DC848" s="525" t="str">
        <f t="shared" si="2444"/>
        <v/>
      </c>
      <c r="DD848" s="641">
        <f t="shared" si="2445"/>
        <v>10</v>
      </c>
      <c r="DE848" s="95">
        <f t="shared" si="2446"/>
        <v>10</v>
      </c>
      <c r="DF848" s="95">
        <f t="shared" si="2447"/>
        <v>10</v>
      </c>
      <c r="DG848" s="95">
        <f t="shared" si="2448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524">SUM(B391)</f>
        <v>0</v>
      </c>
      <c r="C849" s="795">
        <f t="shared" si="2524"/>
        <v>2.9020636897349225E-2</v>
      </c>
      <c r="D849" s="795">
        <f t="shared" si="2524"/>
        <v>0</v>
      </c>
      <c r="E849" s="795">
        <f t="shared" si="2524"/>
        <v>0</v>
      </c>
      <c r="F849" s="795">
        <f t="shared" si="2524"/>
        <v>0</v>
      </c>
      <c r="G849" s="795">
        <f t="shared" si="2524"/>
        <v>3.3857409713574101E-2</v>
      </c>
      <c r="H849" s="795">
        <f t="shared" si="2524"/>
        <v>0</v>
      </c>
      <c r="I849" s="795">
        <f t="shared" si="2524"/>
        <v>7.5840597758405973E-3</v>
      </c>
      <c r="J849" s="795">
        <f t="shared" si="2524"/>
        <v>1.692870485678705E-2</v>
      </c>
      <c r="K849" s="795">
        <f t="shared" si="2524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525">SUM(T391)</f>
        <v>0</v>
      </c>
      <c r="U849" s="795">
        <f t="shared" si="2525"/>
        <v>2.9020636897349227E-3</v>
      </c>
      <c r="V849" s="795">
        <f t="shared" si="2525"/>
        <v>0</v>
      </c>
      <c r="W849" s="795">
        <f t="shared" si="2525"/>
        <v>0</v>
      </c>
      <c r="X849" s="795">
        <f t="shared" si="2525"/>
        <v>1.6928704856787047E-3</v>
      </c>
      <c r="Y849" s="795">
        <f t="shared" si="2525"/>
        <v>5.9589041095890409E-2</v>
      </c>
      <c r="Z849" s="795">
        <f t="shared" si="2525"/>
        <v>0</v>
      </c>
      <c r="AA849" s="795">
        <f t="shared" si="2525"/>
        <v>1.0834371108343711E-2</v>
      </c>
      <c r="AB849" s="795">
        <f t="shared" si="2525"/>
        <v>2.5393057285180574E-2</v>
      </c>
      <c r="AC849" s="795">
        <f t="shared" si="2525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526">SUM(AL391)</f>
        <v>0</v>
      </c>
      <c r="AM849" s="795">
        <f t="shared" si="2526"/>
        <v>4.2321762141967626E-3</v>
      </c>
      <c r="AN849" s="795">
        <f t="shared" si="2526"/>
        <v>0</v>
      </c>
      <c r="AO849" s="795">
        <f t="shared" si="2526"/>
        <v>0</v>
      </c>
      <c r="AP849" s="795">
        <f t="shared" si="2526"/>
        <v>2.031444582814446E-2</v>
      </c>
      <c r="AQ849" s="795">
        <f t="shared" si="2526"/>
        <v>0</v>
      </c>
      <c r="AR849" s="795">
        <f t="shared" si="2526"/>
        <v>0</v>
      </c>
      <c r="AS849" s="795">
        <f t="shared" si="2526"/>
        <v>3.7649439601494396E-2</v>
      </c>
      <c r="AT849" s="795">
        <f t="shared" si="2526"/>
        <v>0</v>
      </c>
      <c r="AU849" s="795">
        <f t="shared" si="2526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527">SUM(BD391)</f>
        <v>2.8214508094645081E-3</v>
      </c>
      <c r="BE849" s="795">
        <f t="shared" si="2527"/>
        <v>8.4643524283935252E-3</v>
      </c>
      <c r="BF849" s="795">
        <f t="shared" si="2527"/>
        <v>0</v>
      </c>
      <c r="BG849" s="795">
        <f t="shared" si="2527"/>
        <v>0</v>
      </c>
      <c r="BH849" s="795">
        <f t="shared" si="2527"/>
        <v>4.3091248726367035E-2</v>
      </c>
      <c r="BI849" s="795">
        <f t="shared" si="2527"/>
        <v>3.3857409713574094E-3</v>
      </c>
      <c r="BJ849" s="795">
        <f t="shared" si="2527"/>
        <v>0</v>
      </c>
      <c r="BK849" s="795">
        <f t="shared" si="2527"/>
        <v>1.9347091264899485E-2</v>
      </c>
      <c r="BL849" s="795">
        <f t="shared" si="2527"/>
        <v>0</v>
      </c>
      <c r="BM849" s="795">
        <f t="shared" si="2527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424"/>
        <v>7.6590297544920838E-3</v>
      </c>
      <c r="CA849" s="611">
        <f t="shared" si="2425"/>
        <v>6.0432789242720738E-3</v>
      </c>
      <c r="CB849" s="611">
        <f t="shared" si="2426"/>
        <v>5.6076334838107101E-3</v>
      </c>
      <c r="CC849" s="679">
        <f t="shared" si="2427"/>
        <v>7.8799090464330198E-3</v>
      </c>
      <c r="CD849" s="1319">
        <f t="shared" si="2453"/>
        <v>0</v>
      </c>
      <c r="CE849" s="1320">
        <f t="shared" si="2519"/>
        <v>0</v>
      </c>
      <c r="CF849" s="1320">
        <f t="shared" si="2519"/>
        <v>0</v>
      </c>
      <c r="CG849" s="1320">
        <f t="shared" si="2519"/>
        <v>0</v>
      </c>
      <c r="CH849" s="1321">
        <f t="shared" si="2519"/>
        <v>0</v>
      </c>
      <c r="CI849" s="1321">
        <f t="shared" si="2519"/>
        <v>0</v>
      </c>
      <c r="CJ849" s="1320">
        <f t="shared" si="2519"/>
        <v>4.2321762141967626E-3</v>
      </c>
      <c r="CK849" s="1320">
        <f t="shared" si="2519"/>
        <v>2.031444582814446E-2</v>
      </c>
      <c r="CL849" s="1320">
        <f t="shared" si="2519"/>
        <v>2.031444582814446E-2</v>
      </c>
      <c r="CM849" s="1319">
        <f t="shared" si="2519"/>
        <v>3.7649439601494396E-2</v>
      </c>
      <c r="CN849" s="526" t="str">
        <f t="shared" si="2429"/>
        <v/>
      </c>
      <c r="CO849" s="527" t="str">
        <f t="shared" si="2430"/>
        <v/>
      </c>
      <c r="CP849" s="527" t="str">
        <f t="shared" si="2431"/>
        <v/>
      </c>
      <c r="CQ849" s="527">
        <f t="shared" si="2432"/>
        <v>0</v>
      </c>
      <c r="CR849" s="527">
        <f t="shared" si="2433"/>
        <v>0</v>
      </c>
      <c r="CS849" s="527">
        <f t="shared" si="2434"/>
        <v>0</v>
      </c>
      <c r="CT849" s="528">
        <f t="shared" si="2435"/>
        <v>0</v>
      </c>
      <c r="CU849" s="528">
        <f t="shared" si="2436"/>
        <v>2.8214508094645081E-3</v>
      </c>
      <c r="CV849" s="528">
        <f t="shared" si="2437"/>
        <v>3.3857409713574094E-3</v>
      </c>
      <c r="CW849" s="527">
        <f t="shared" si="2438"/>
        <v>8.4643524283935252E-3</v>
      </c>
      <c r="CX849" s="527">
        <f t="shared" si="2439"/>
        <v>1.9347091264899485E-2</v>
      </c>
      <c r="CY849" s="527">
        <f t="shared" si="2440"/>
        <v>2.9020636897349225E-2</v>
      </c>
      <c r="CZ849" s="527">
        <f t="shared" si="2441"/>
        <v>4.3091248726367035E-2</v>
      </c>
      <c r="DA849" s="527" t="str">
        <f t="shared" si="2442"/>
        <v/>
      </c>
      <c r="DB849" s="526" t="str">
        <f t="shared" si="2443"/>
        <v/>
      </c>
      <c r="DC849" s="525" t="str">
        <f t="shared" si="2444"/>
        <v/>
      </c>
      <c r="DD849" s="641">
        <f t="shared" si="2445"/>
        <v>10</v>
      </c>
      <c r="DE849" s="95">
        <f t="shared" si="2446"/>
        <v>10</v>
      </c>
      <c r="DF849" s="95">
        <f t="shared" si="2447"/>
        <v>10</v>
      </c>
      <c r="DG849" s="95">
        <f t="shared" si="2448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387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3"/>
      <c r="CE850" s="1323"/>
      <c r="CF850" s="1323"/>
      <c r="CG850" s="1323"/>
      <c r="CH850" s="1323"/>
      <c r="CI850" s="1323"/>
      <c r="CJ850" s="1323"/>
      <c r="CK850" s="1323"/>
      <c r="CL850" s="1323"/>
      <c r="CM850" s="1323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528">SUM(B437)</f>
        <v>0</v>
      </c>
      <c r="C851" s="795">
        <f t="shared" si="2528"/>
        <v>0</v>
      </c>
      <c r="D851" s="795">
        <f t="shared" si="2528"/>
        <v>0</v>
      </c>
      <c r="E851" s="795">
        <f t="shared" si="2528"/>
        <v>0</v>
      </c>
      <c r="F851" s="795">
        <f t="shared" si="2528"/>
        <v>0</v>
      </c>
      <c r="G851" s="795">
        <f t="shared" si="2528"/>
        <v>0</v>
      </c>
      <c r="H851" s="795">
        <f t="shared" si="2528"/>
        <v>0</v>
      </c>
      <c r="I851" s="795">
        <f t="shared" si="2528"/>
        <v>0</v>
      </c>
      <c r="J851" s="795">
        <f t="shared" si="2528"/>
        <v>0</v>
      </c>
      <c r="K851" s="795">
        <f t="shared" si="2528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529">SUM(T437)</f>
        <v>2.3704856787048569E-2</v>
      </c>
      <c r="U851" s="795">
        <f t="shared" si="2529"/>
        <v>1.6982572495997154E-2</v>
      </c>
      <c r="V851" s="795">
        <f t="shared" si="2529"/>
        <v>0</v>
      </c>
      <c r="W851" s="795">
        <f t="shared" si="2529"/>
        <v>0</v>
      </c>
      <c r="X851" s="795">
        <f t="shared" si="2529"/>
        <v>0</v>
      </c>
      <c r="Y851" s="795">
        <f t="shared" si="2529"/>
        <v>0</v>
      </c>
      <c r="Z851" s="795">
        <f t="shared" si="2529"/>
        <v>0</v>
      </c>
      <c r="AA851" s="795">
        <f t="shared" si="2529"/>
        <v>0</v>
      </c>
      <c r="AB851" s="795">
        <f t="shared" si="2529"/>
        <v>0</v>
      </c>
      <c r="AC851" s="795">
        <f t="shared" si="2529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30">SUM(AL437)</f>
        <v>0</v>
      </c>
      <c r="AM851" s="795">
        <f t="shared" si="2530"/>
        <v>0</v>
      </c>
      <c r="AN851" s="795">
        <f t="shared" si="2530"/>
        <v>0</v>
      </c>
      <c r="AO851" s="795">
        <f t="shared" si="2530"/>
        <v>5.1124651307596514E-3</v>
      </c>
      <c r="AP851" s="795">
        <f t="shared" si="2530"/>
        <v>0</v>
      </c>
      <c r="AQ851" s="795">
        <f t="shared" si="2530"/>
        <v>0</v>
      </c>
      <c r="AR851" s="795">
        <f t="shared" si="2530"/>
        <v>0</v>
      </c>
      <c r="AS851" s="795">
        <f t="shared" si="2530"/>
        <v>0</v>
      </c>
      <c r="AT851" s="795">
        <f t="shared" si="2530"/>
        <v>0</v>
      </c>
      <c r="AU851" s="795">
        <f t="shared" si="2530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31">SUM(BD437)</f>
        <v>0</v>
      </c>
      <c r="BE851" s="795">
        <f t="shared" si="2531"/>
        <v>1.5478907222914073E-2</v>
      </c>
      <c r="BF851" s="795">
        <f t="shared" si="2531"/>
        <v>0</v>
      </c>
      <c r="BG851" s="795">
        <f t="shared" si="2531"/>
        <v>1.3941553993951254E-2</v>
      </c>
      <c r="BH851" s="795">
        <f t="shared" si="2531"/>
        <v>1.9155439827918033E-2</v>
      </c>
      <c r="BI851" s="795">
        <f t="shared" si="2531"/>
        <v>0</v>
      </c>
      <c r="BJ851" s="795">
        <f t="shared" si="2531"/>
        <v>1.316936488169365E-2</v>
      </c>
      <c r="BK851" s="795">
        <f t="shared" si="2531"/>
        <v>0</v>
      </c>
      <c r="BL851" s="795">
        <f t="shared" si="2531"/>
        <v>0</v>
      </c>
      <c r="BM851" s="795">
        <f t="shared" si="2531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19">
        <f t="shared" ref="CD851:CM852" si="253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0">
        <f t="shared" si="2532"/>
        <v>0</v>
      </c>
      <c r="CF851" s="1320">
        <f t="shared" si="2532"/>
        <v>0</v>
      </c>
      <c r="CG851" s="1320">
        <f t="shared" si="2532"/>
        <v>0</v>
      </c>
      <c r="CH851" s="1321">
        <f t="shared" si="2532"/>
        <v>0</v>
      </c>
      <c r="CI851" s="1321">
        <f t="shared" si="2532"/>
        <v>0</v>
      </c>
      <c r="CJ851" s="1320">
        <f t="shared" si="2532"/>
        <v>0</v>
      </c>
      <c r="CK851" s="1320">
        <f t="shared" si="2532"/>
        <v>0</v>
      </c>
      <c r="CL851" s="1320">
        <f t="shared" si="2532"/>
        <v>0</v>
      </c>
      <c r="CM851" s="1319">
        <f t="shared" si="2532"/>
        <v>5.1124651307596514E-3</v>
      </c>
      <c r="CN851" s="526" t="str">
        <f t="shared" ref="CN851:CV852" si="253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33"/>
        <v/>
      </c>
      <c r="CP851" s="527" t="str">
        <f t="shared" si="2533"/>
        <v/>
      </c>
      <c r="CQ851" s="527">
        <f t="shared" si="2533"/>
        <v>0</v>
      </c>
      <c r="CR851" s="527">
        <f t="shared" si="2533"/>
        <v>0</v>
      </c>
      <c r="CS851" s="527">
        <f t="shared" si="2533"/>
        <v>0</v>
      </c>
      <c r="CT851" s="528">
        <f t="shared" si="2533"/>
        <v>0</v>
      </c>
      <c r="CU851" s="528">
        <f t="shared" si="2533"/>
        <v>0</v>
      </c>
      <c r="CV851" s="528">
        <f t="shared" si="2533"/>
        <v>1.1288027041451697E-2</v>
      </c>
      <c r="CW851" s="527">
        <f t="shared" ref="CW851:DC852" si="2534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34"/>
        <v>1.3941553993951254E-2</v>
      </c>
      <c r="CY851" s="527">
        <f t="shared" si="2534"/>
        <v>1.5478907222914073E-2</v>
      </c>
      <c r="CZ851" s="527">
        <f t="shared" si="2534"/>
        <v>1.9155439827918033E-2</v>
      </c>
      <c r="DA851" s="527" t="str">
        <f t="shared" si="2534"/>
        <v/>
      </c>
      <c r="DB851" s="526" t="str">
        <f t="shared" si="2534"/>
        <v/>
      </c>
      <c r="DC851" s="525" t="str">
        <f t="shared" si="2534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35">SUM(B447)</f>
        <v>0</v>
      </c>
      <c r="C852" s="795">
        <f t="shared" si="2535"/>
        <v>0</v>
      </c>
      <c r="D852" s="795">
        <f t="shared" si="2535"/>
        <v>0</v>
      </c>
      <c r="E852" s="795">
        <f t="shared" si="2535"/>
        <v>0</v>
      </c>
      <c r="F852" s="795">
        <f t="shared" si="2535"/>
        <v>0</v>
      </c>
      <c r="G852" s="795">
        <f t="shared" si="2535"/>
        <v>0</v>
      </c>
      <c r="H852" s="795">
        <f t="shared" si="2535"/>
        <v>0</v>
      </c>
      <c r="I852" s="795">
        <f t="shared" si="2535"/>
        <v>0</v>
      </c>
      <c r="J852" s="795">
        <f t="shared" si="2535"/>
        <v>0</v>
      </c>
      <c r="K852" s="795">
        <f t="shared" si="2535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36">SUM(T447)</f>
        <v>0</v>
      </c>
      <c r="U852" s="795">
        <f t="shared" si="2536"/>
        <v>0</v>
      </c>
      <c r="V852" s="795">
        <f t="shared" si="2536"/>
        <v>0</v>
      </c>
      <c r="W852" s="795">
        <f t="shared" si="2536"/>
        <v>0</v>
      </c>
      <c r="X852" s="795">
        <f t="shared" si="2536"/>
        <v>0</v>
      </c>
      <c r="Y852" s="795">
        <f t="shared" si="2536"/>
        <v>0</v>
      </c>
      <c r="Z852" s="795">
        <f t="shared" si="2536"/>
        <v>0</v>
      </c>
      <c r="AA852" s="795">
        <f t="shared" si="2536"/>
        <v>0</v>
      </c>
      <c r="AB852" s="795">
        <f t="shared" si="2536"/>
        <v>0</v>
      </c>
      <c r="AC852" s="795">
        <f t="shared" si="2536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37">SUM(AL447)</f>
        <v>0</v>
      </c>
      <c r="AM852" s="795">
        <f t="shared" si="2537"/>
        <v>0</v>
      </c>
      <c r="AN852" s="795">
        <f t="shared" si="2537"/>
        <v>0</v>
      </c>
      <c r="AO852" s="795">
        <f t="shared" si="2537"/>
        <v>0</v>
      </c>
      <c r="AP852" s="795">
        <f t="shared" si="2537"/>
        <v>0</v>
      </c>
      <c r="AQ852" s="795">
        <f t="shared" si="2537"/>
        <v>0</v>
      </c>
      <c r="AR852" s="795">
        <f t="shared" si="2537"/>
        <v>0</v>
      </c>
      <c r="AS852" s="795">
        <f t="shared" si="2537"/>
        <v>0</v>
      </c>
      <c r="AT852" s="795">
        <f t="shared" si="2537"/>
        <v>0</v>
      </c>
      <c r="AU852" s="795">
        <f t="shared" si="2537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38">SUM(BD447)</f>
        <v>0</v>
      </c>
      <c r="BE852" s="795">
        <f t="shared" si="2538"/>
        <v>0</v>
      </c>
      <c r="BF852" s="795">
        <f t="shared" si="2538"/>
        <v>0</v>
      </c>
      <c r="BG852" s="795">
        <f t="shared" si="2538"/>
        <v>0</v>
      </c>
      <c r="BH852" s="795">
        <f t="shared" si="2538"/>
        <v>0</v>
      </c>
      <c r="BI852" s="795">
        <f t="shared" si="2538"/>
        <v>0</v>
      </c>
      <c r="BJ852" s="795">
        <f t="shared" si="2538"/>
        <v>0</v>
      </c>
      <c r="BK852" s="795">
        <f t="shared" si="2538"/>
        <v>0</v>
      </c>
      <c r="BL852" s="795">
        <f t="shared" si="2538"/>
        <v>0</v>
      </c>
      <c r="BM852" s="795">
        <f t="shared" si="2538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19">
        <f t="shared" si="2532"/>
        <v>0</v>
      </c>
      <c r="CE852" s="1320">
        <f t="shared" ref="CE852:CM852" si="253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0">
        <f t="shared" si="2539"/>
        <v>0</v>
      </c>
      <c r="CG852" s="1320">
        <f t="shared" si="2539"/>
        <v>0</v>
      </c>
      <c r="CH852" s="1321">
        <f t="shared" si="2539"/>
        <v>0</v>
      </c>
      <c r="CI852" s="1321">
        <f t="shared" si="2539"/>
        <v>0</v>
      </c>
      <c r="CJ852" s="1320">
        <f t="shared" si="2539"/>
        <v>0</v>
      </c>
      <c r="CK852" s="1320">
        <f t="shared" si="2539"/>
        <v>0</v>
      </c>
      <c r="CL852" s="1320">
        <f t="shared" si="2539"/>
        <v>0</v>
      </c>
      <c r="CM852" s="1319">
        <f t="shared" si="2539"/>
        <v>0</v>
      </c>
      <c r="CN852" s="526" t="str">
        <f t="shared" si="2533"/>
        <v/>
      </c>
      <c r="CO852" s="527" t="str">
        <f t="shared" si="2533"/>
        <v/>
      </c>
      <c r="CP852" s="527" t="str">
        <f t="shared" si="2533"/>
        <v/>
      </c>
      <c r="CQ852" s="527">
        <f t="shared" si="2533"/>
        <v>0</v>
      </c>
      <c r="CR852" s="527">
        <f t="shared" si="2533"/>
        <v>0</v>
      </c>
      <c r="CS852" s="527">
        <f t="shared" si="2533"/>
        <v>0</v>
      </c>
      <c r="CT852" s="528">
        <f t="shared" si="2533"/>
        <v>0</v>
      </c>
      <c r="CU852" s="528">
        <f t="shared" si="2533"/>
        <v>0</v>
      </c>
      <c r="CV852" s="528">
        <f t="shared" si="2533"/>
        <v>0</v>
      </c>
      <c r="CW852" s="527">
        <f t="shared" si="2534"/>
        <v>0</v>
      </c>
      <c r="CX852" s="527">
        <f t="shared" si="2534"/>
        <v>0</v>
      </c>
      <c r="CY852" s="527">
        <f t="shared" si="2534"/>
        <v>0</v>
      </c>
      <c r="CZ852" s="527">
        <f t="shared" si="2534"/>
        <v>0</v>
      </c>
      <c r="DA852" s="527" t="str">
        <f t="shared" si="2534"/>
        <v/>
      </c>
      <c r="DB852" s="526" t="str">
        <f t="shared" si="2534"/>
        <v/>
      </c>
      <c r="DC852" s="525" t="str">
        <f t="shared" si="2534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0"/>
      <c r="CE853" s="1340"/>
      <c r="CF853" s="1340"/>
      <c r="CG853" s="1340"/>
      <c r="CH853" s="1340"/>
      <c r="CI853" s="1340"/>
      <c r="CJ853" s="1340"/>
      <c r="CK853" s="1340"/>
      <c r="CL853" s="1340"/>
      <c r="CM853" s="1340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40">SUM(B649)</f>
        <v>0</v>
      </c>
      <c r="C854" s="795">
        <f t="shared" si="2540"/>
        <v>0</v>
      </c>
      <c r="D854" s="795">
        <f t="shared" si="2540"/>
        <v>0</v>
      </c>
      <c r="E854" s="795">
        <f t="shared" si="2540"/>
        <v>0</v>
      </c>
      <c r="F854" s="795">
        <f t="shared" si="2540"/>
        <v>0</v>
      </c>
      <c r="G854" s="795">
        <f t="shared" si="2540"/>
        <v>0</v>
      </c>
      <c r="H854" s="795">
        <f t="shared" si="2540"/>
        <v>0</v>
      </c>
      <c r="I854" s="795">
        <f t="shared" si="2540"/>
        <v>0</v>
      </c>
      <c r="J854" s="795">
        <f t="shared" si="2540"/>
        <v>0</v>
      </c>
      <c r="K854" s="795">
        <f t="shared" si="2540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41">SUM(T649)</f>
        <v>0</v>
      </c>
      <c r="U854" s="795">
        <f t="shared" si="2541"/>
        <v>5.4076086105675145E-2</v>
      </c>
      <c r="V854" s="795">
        <f t="shared" si="2541"/>
        <v>0</v>
      </c>
      <c r="W854" s="795">
        <f t="shared" si="2541"/>
        <v>0</v>
      </c>
      <c r="X854" s="795">
        <f t="shared" si="2541"/>
        <v>0</v>
      </c>
      <c r="Y854" s="795">
        <f t="shared" si="2541"/>
        <v>0</v>
      </c>
      <c r="Z854" s="795">
        <f t="shared" si="2541"/>
        <v>0</v>
      </c>
      <c r="AA854" s="795">
        <f t="shared" si="2541"/>
        <v>7.5706520547945202E-2</v>
      </c>
      <c r="AB854" s="795">
        <f t="shared" si="2541"/>
        <v>6.3877376712328765E-2</v>
      </c>
      <c r="AC854" s="795">
        <f t="shared" si="2541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42">SUM(AL649)</f>
        <v>0</v>
      </c>
      <c r="AM854" s="795">
        <f t="shared" si="2542"/>
        <v>0</v>
      </c>
      <c r="AN854" s="795">
        <f t="shared" si="2542"/>
        <v>0</v>
      </c>
      <c r="AO854" s="795">
        <f t="shared" si="2542"/>
        <v>0</v>
      </c>
      <c r="AP854" s="795">
        <f t="shared" si="2542"/>
        <v>0</v>
      </c>
      <c r="AQ854" s="795">
        <f t="shared" si="2542"/>
        <v>0</v>
      </c>
      <c r="AR854" s="795">
        <f t="shared" si="2542"/>
        <v>0</v>
      </c>
      <c r="AS854" s="795">
        <f t="shared" si="2542"/>
        <v>0</v>
      </c>
      <c r="AT854" s="795">
        <f t="shared" si="2542"/>
        <v>0</v>
      </c>
      <c r="AU854" s="795">
        <f t="shared" si="2542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43">SUM(BD649)</f>
        <v>0</v>
      </c>
      <c r="BE854" s="795">
        <f t="shared" si="2543"/>
        <v>0</v>
      </c>
      <c r="BF854" s="795">
        <f t="shared" si="2543"/>
        <v>0</v>
      </c>
      <c r="BG854" s="795">
        <f t="shared" si="2543"/>
        <v>0</v>
      </c>
      <c r="BH854" s="795">
        <f t="shared" si="2543"/>
        <v>0</v>
      </c>
      <c r="BI854" s="795">
        <f t="shared" si="2543"/>
        <v>0</v>
      </c>
      <c r="BJ854" s="795">
        <f t="shared" si="2543"/>
        <v>0</v>
      </c>
      <c r="BK854" s="795">
        <f t="shared" si="2543"/>
        <v>0</v>
      </c>
      <c r="BL854" s="795">
        <f t="shared" si="2543"/>
        <v>0</v>
      </c>
      <c r="BM854" s="795">
        <f t="shared" si="2543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19">
        <f t="shared" ref="CD854:CM854" si="254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0">
        <f t="shared" si="2544"/>
        <v>0</v>
      </c>
      <c r="CF854" s="1320">
        <f t="shared" si="2544"/>
        <v>0</v>
      </c>
      <c r="CG854" s="1320">
        <f t="shared" si="2544"/>
        <v>0</v>
      </c>
      <c r="CH854" s="1321">
        <f t="shared" si="2544"/>
        <v>0</v>
      </c>
      <c r="CI854" s="1321">
        <f t="shared" si="2544"/>
        <v>0</v>
      </c>
      <c r="CJ854" s="1320">
        <f t="shared" si="2544"/>
        <v>0</v>
      </c>
      <c r="CK854" s="1320">
        <f t="shared" si="2544"/>
        <v>0</v>
      </c>
      <c r="CL854" s="1320">
        <f t="shared" si="2544"/>
        <v>0</v>
      </c>
      <c r="CM854" s="1319">
        <f t="shared" si="2544"/>
        <v>0</v>
      </c>
      <c r="CN854" s="526" t="str">
        <f t="shared" ref="CN854:CV857" si="254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45"/>
        <v/>
      </c>
      <c r="CP854" s="527" t="str">
        <f t="shared" si="2545"/>
        <v/>
      </c>
      <c r="CQ854" s="527">
        <f t="shared" si="2545"/>
        <v>0</v>
      </c>
      <c r="CR854" s="527">
        <f t="shared" si="2545"/>
        <v>0</v>
      </c>
      <c r="CS854" s="527">
        <f t="shared" si="2545"/>
        <v>0</v>
      </c>
      <c r="CT854" s="528">
        <f t="shared" si="2545"/>
        <v>0</v>
      </c>
      <c r="CU854" s="528">
        <f t="shared" si="2545"/>
        <v>0</v>
      </c>
      <c r="CV854" s="528">
        <f t="shared" si="2545"/>
        <v>0</v>
      </c>
      <c r="CW854" s="527">
        <f t="shared" ref="CW854:DC857" si="2546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46"/>
        <v>0</v>
      </c>
      <c r="CY854" s="527">
        <f t="shared" si="2546"/>
        <v>0</v>
      </c>
      <c r="CZ854" s="527">
        <f t="shared" si="2546"/>
        <v>0</v>
      </c>
      <c r="DA854" s="527" t="str">
        <f t="shared" si="2546"/>
        <v/>
      </c>
      <c r="DB854" s="526" t="str">
        <f t="shared" si="2546"/>
        <v/>
      </c>
      <c r="DC854" s="525" t="str">
        <f t="shared" si="2546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47">SUM(B655)</f>
        <v>0</v>
      </c>
      <c r="C855" s="795">
        <f t="shared" si="2547"/>
        <v>0</v>
      </c>
      <c r="D855" s="795">
        <f t="shared" si="2547"/>
        <v>0</v>
      </c>
      <c r="E855" s="795">
        <f t="shared" si="2547"/>
        <v>0</v>
      </c>
      <c r="F855" s="795">
        <f t="shared" si="2547"/>
        <v>0</v>
      </c>
      <c r="G855" s="795">
        <f t="shared" si="2547"/>
        <v>0</v>
      </c>
      <c r="H855" s="795">
        <f t="shared" si="2547"/>
        <v>0</v>
      </c>
      <c r="I855" s="795">
        <f t="shared" si="2547"/>
        <v>0</v>
      </c>
      <c r="J855" s="795">
        <f t="shared" si="2547"/>
        <v>0</v>
      </c>
      <c r="K855" s="795">
        <f t="shared" si="2547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48">SUM(T655)</f>
        <v>0</v>
      </c>
      <c r="U855" s="795">
        <f t="shared" si="2548"/>
        <v>4.3260868884540116E-2</v>
      </c>
      <c r="V855" s="795">
        <f t="shared" si="2548"/>
        <v>0</v>
      </c>
      <c r="W855" s="795">
        <f t="shared" si="2548"/>
        <v>0</v>
      </c>
      <c r="X855" s="795">
        <f t="shared" si="2548"/>
        <v>3.7853260273972601E-2</v>
      </c>
      <c r="Y855" s="795">
        <f t="shared" si="2548"/>
        <v>0</v>
      </c>
      <c r="Z855" s="795">
        <f t="shared" si="2548"/>
        <v>0</v>
      </c>
      <c r="AA855" s="795">
        <f t="shared" si="2548"/>
        <v>3.7853260273972601E-2</v>
      </c>
      <c r="AB855" s="795">
        <f t="shared" si="2548"/>
        <v>1.8926630136986301E-2</v>
      </c>
      <c r="AC855" s="795">
        <f t="shared" si="2548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49">SUM(AL655)</f>
        <v>0</v>
      </c>
      <c r="AM855" s="795">
        <f t="shared" si="2549"/>
        <v>0</v>
      </c>
      <c r="AN855" s="795">
        <f t="shared" si="2549"/>
        <v>0</v>
      </c>
      <c r="AO855" s="795">
        <f t="shared" si="2549"/>
        <v>0</v>
      </c>
      <c r="AP855" s="795">
        <f t="shared" si="2549"/>
        <v>0</v>
      </c>
      <c r="AQ855" s="795">
        <f t="shared" si="2549"/>
        <v>0</v>
      </c>
      <c r="AR855" s="795">
        <f t="shared" si="2549"/>
        <v>0</v>
      </c>
      <c r="AS855" s="795">
        <f t="shared" si="2549"/>
        <v>0</v>
      </c>
      <c r="AT855" s="795">
        <f t="shared" si="2549"/>
        <v>0</v>
      </c>
      <c r="AU855" s="795">
        <f t="shared" si="2549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50">SUM(BD655)</f>
        <v>0</v>
      </c>
      <c r="BE855" s="795">
        <f t="shared" si="2550"/>
        <v>0</v>
      </c>
      <c r="BF855" s="795">
        <f t="shared" si="2550"/>
        <v>0</v>
      </c>
      <c r="BG855" s="795">
        <f t="shared" si="2550"/>
        <v>0</v>
      </c>
      <c r="BH855" s="795">
        <f t="shared" si="2550"/>
        <v>0</v>
      </c>
      <c r="BI855" s="795">
        <f t="shared" si="2550"/>
        <v>0</v>
      </c>
      <c r="BJ855" s="795">
        <f t="shared" si="2550"/>
        <v>0</v>
      </c>
      <c r="BK855" s="795">
        <f t="shared" si="2550"/>
        <v>0</v>
      </c>
      <c r="BL855" s="795">
        <f t="shared" si="2550"/>
        <v>0</v>
      </c>
      <c r="BM855" s="795">
        <f t="shared" si="2550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1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0">
        <f t="shared" ref="CE855:CM857" si="255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0">
        <f t="shared" si="2551"/>
        <v>0</v>
      </c>
      <c r="CG855" s="1320">
        <f t="shared" si="2551"/>
        <v>0</v>
      </c>
      <c r="CH855" s="1321">
        <f t="shared" si="2551"/>
        <v>0</v>
      </c>
      <c r="CI855" s="1321">
        <f t="shared" si="2551"/>
        <v>0</v>
      </c>
      <c r="CJ855" s="1320">
        <f t="shared" si="2551"/>
        <v>0</v>
      </c>
      <c r="CK855" s="1320">
        <f t="shared" si="2551"/>
        <v>0</v>
      </c>
      <c r="CL855" s="1320">
        <f t="shared" si="2551"/>
        <v>0</v>
      </c>
      <c r="CM855" s="1319">
        <f t="shared" si="2551"/>
        <v>0</v>
      </c>
      <c r="CN855" s="526" t="str">
        <f t="shared" si="2545"/>
        <v/>
      </c>
      <c r="CO855" s="527" t="str">
        <f t="shared" si="2545"/>
        <v/>
      </c>
      <c r="CP855" s="527" t="str">
        <f t="shared" si="2545"/>
        <v/>
      </c>
      <c r="CQ855" s="527">
        <f t="shared" si="2545"/>
        <v>0</v>
      </c>
      <c r="CR855" s="527">
        <f t="shared" si="2545"/>
        <v>0</v>
      </c>
      <c r="CS855" s="527">
        <f t="shared" si="2545"/>
        <v>0</v>
      </c>
      <c r="CT855" s="528">
        <f t="shared" si="2545"/>
        <v>0</v>
      </c>
      <c r="CU855" s="528">
        <f t="shared" si="2545"/>
        <v>0</v>
      </c>
      <c r="CV855" s="528">
        <f t="shared" si="2545"/>
        <v>0</v>
      </c>
      <c r="CW855" s="527">
        <f t="shared" si="2546"/>
        <v>0</v>
      </c>
      <c r="CX855" s="527">
        <f t="shared" si="2546"/>
        <v>0</v>
      </c>
      <c r="CY855" s="527">
        <f t="shared" si="2546"/>
        <v>0</v>
      </c>
      <c r="CZ855" s="527">
        <f t="shared" si="2546"/>
        <v>0</v>
      </c>
      <c r="DA855" s="527" t="str">
        <f t="shared" si="2546"/>
        <v/>
      </c>
      <c r="DB855" s="526" t="str">
        <f t="shared" si="2546"/>
        <v/>
      </c>
      <c r="DC855" s="525" t="str">
        <f t="shared" si="2546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52">SUM(B661)</f>
        <v>0</v>
      </c>
      <c r="C856" s="795">
        <f t="shared" si="2552"/>
        <v>0</v>
      </c>
      <c r="D856" s="795">
        <f t="shared" si="2552"/>
        <v>0</v>
      </c>
      <c r="E856" s="795">
        <f t="shared" si="2552"/>
        <v>0</v>
      </c>
      <c r="F856" s="795">
        <f t="shared" si="2552"/>
        <v>0</v>
      </c>
      <c r="G856" s="795">
        <f t="shared" si="2552"/>
        <v>0</v>
      </c>
      <c r="H856" s="795">
        <f t="shared" si="2552"/>
        <v>0</v>
      </c>
      <c r="I856" s="795">
        <f t="shared" si="2552"/>
        <v>0</v>
      </c>
      <c r="J856" s="795">
        <f t="shared" si="2552"/>
        <v>0</v>
      </c>
      <c r="K856" s="795">
        <f t="shared" si="2552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53">SUM(T661)</f>
        <v>0</v>
      </c>
      <c r="U856" s="795">
        <f t="shared" si="2553"/>
        <v>0</v>
      </c>
      <c r="V856" s="795">
        <f t="shared" si="2553"/>
        <v>0</v>
      </c>
      <c r="W856" s="795">
        <f t="shared" si="2553"/>
        <v>0</v>
      </c>
      <c r="X856" s="795">
        <f t="shared" si="2553"/>
        <v>0</v>
      </c>
      <c r="Y856" s="795">
        <f t="shared" si="2553"/>
        <v>0</v>
      </c>
      <c r="Z856" s="795">
        <f t="shared" si="2553"/>
        <v>0</v>
      </c>
      <c r="AA856" s="795">
        <f t="shared" si="2553"/>
        <v>0</v>
      </c>
      <c r="AB856" s="795">
        <f t="shared" si="2553"/>
        <v>1.8926630136986301E-2</v>
      </c>
      <c r="AC856" s="795">
        <f t="shared" si="2553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54">SUM(AL661)</f>
        <v>0</v>
      </c>
      <c r="AM856" s="795">
        <f t="shared" si="2554"/>
        <v>0</v>
      </c>
      <c r="AN856" s="795">
        <f t="shared" si="2554"/>
        <v>0</v>
      </c>
      <c r="AO856" s="795">
        <f t="shared" si="2554"/>
        <v>0</v>
      </c>
      <c r="AP856" s="795">
        <f t="shared" si="2554"/>
        <v>0</v>
      </c>
      <c r="AQ856" s="795">
        <f t="shared" si="2554"/>
        <v>0</v>
      </c>
      <c r="AR856" s="795">
        <f t="shared" si="2554"/>
        <v>0</v>
      </c>
      <c r="AS856" s="795">
        <f t="shared" si="2554"/>
        <v>0</v>
      </c>
      <c r="AT856" s="795">
        <f t="shared" si="2554"/>
        <v>0</v>
      </c>
      <c r="AU856" s="795">
        <f t="shared" si="2554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55">SUM(BD661)</f>
        <v>0</v>
      </c>
      <c r="BE856" s="795">
        <f t="shared" si="2555"/>
        <v>0</v>
      </c>
      <c r="BF856" s="795">
        <f t="shared" si="2555"/>
        <v>0</v>
      </c>
      <c r="BG856" s="795">
        <f t="shared" si="2555"/>
        <v>0</v>
      </c>
      <c r="BH856" s="795">
        <f t="shared" si="2555"/>
        <v>0</v>
      </c>
      <c r="BI856" s="795">
        <f t="shared" si="2555"/>
        <v>0</v>
      </c>
      <c r="BJ856" s="795">
        <f t="shared" si="2555"/>
        <v>0</v>
      </c>
      <c r="BK856" s="795">
        <f t="shared" si="2555"/>
        <v>0</v>
      </c>
      <c r="BL856" s="795">
        <f t="shared" si="2555"/>
        <v>0</v>
      </c>
      <c r="BM856" s="795">
        <f t="shared" si="2555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1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0">
        <f t="shared" si="2551"/>
        <v>0</v>
      </c>
      <c r="CF856" s="1320">
        <f t="shared" si="2551"/>
        <v>0</v>
      </c>
      <c r="CG856" s="1320">
        <f t="shared" si="2551"/>
        <v>0</v>
      </c>
      <c r="CH856" s="1321">
        <f t="shared" si="2551"/>
        <v>0</v>
      </c>
      <c r="CI856" s="1321">
        <f t="shared" si="2551"/>
        <v>0</v>
      </c>
      <c r="CJ856" s="1320">
        <f t="shared" si="2551"/>
        <v>0</v>
      </c>
      <c r="CK856" s="1320">
        <f t="shared" si="2551"/>
        <v>0</v>
      </c>
      <c r="CL856" s="1320">
        <f t="shared" si="2551"/>
        <v>0</v>
      </c>
      <c r="CM856" s="1319">
        <f t="shared" si="2551"/>
        <v>0</v>
      </c>
      <c r="CN856" s="526" t="str">
        <f t="shared" si="2545"/>
        <v/>
      </c>
      <c r="CO856" s="527" t="str">
        <f t="shared" si="2545"/>
        <v/>
      </c>
      <c r="CP856" s="527" t="str">
        <f t="shared" si="2545"/>
        <v/>
      </c>
      <c r="CQ856" s="527">
        <f t="shared" si="2545"/>
        <v>0</v>
      </c>
      <c r="CR856" s="527">
        <f t="shared" si="2545"/>
        <v>0</v>
      </c>
      <c r="CS856" s="527">
        <f t="shared" si="2545"/>
        <v>0</v>
      </c>
      <c r="CT856" s="528">
        <f t="shared" si="2545"/>
        <v>0</v>
      </c>
      <c r="CU856" s="528">
        <f t="shared" si="2545"/>
        <v>0</v>
      </c>
      <c r="CV856" s="528">
        <f t="shared" si="2545"/>
        <v>0</v>
      </c>
      <c r="CW856" s="527">
        <f t="shared" si="2546"/>
        <v>0</v>
      </c>
      <c r="CX856" s="527">
        <f t="shared" si="2546"/>
        <v>0</v>
      </c>
      <c r="CY856" s="527">
        <f t="shared" si="2546"/>
        <v>0</v>
      </c>
      <c r="CZ856" s="527">
        <f t="shared" si="2546"/>
        <v>0</v>
      </c>
      <c r="DA856" s="527" t="str">
        <f t="shared" si="2546"/>
        <v/>
      </c>
      <c r="DB856" s="526" t="str">
        <f t="shared" si="2546"/>
        <v/>
      </c>
      <c r="DC856" s="525" t="str">
        <f t="shared" si="2546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56">SUM(B664)</f>
        <v>0</v>
      </c>
      <c r="C857" s="795">
        <f t="shared" si="2556"/>
        <v>0</v>
      </c>
      <c r="D857" s="795">
        <f t="shared" si="2556"/>
        <v>0</v>
      </c>
      <c r="E857" s="795">
        <f t="shared" si="2556"/>
        <v>0</v>
      </c>
      <c r="F857" s="795">
        <f t="shared" si="2556"/>
        <v>0</v>
      </c>
      <c r="G857" s="795">
        <f t="shared" si="2556"/>
        <v>0</v>
      </c>
      <c r="H857" s="795">
        <f t="shared" si="2556"/>
        <v>0</v>
      </c>
      <c r="I857" s="795">
        <f t="shared" si="2556"/>
        <v>0</v>
      </c>
      <c r="J857" s="795">
        <f t="shared" si="2556"/>
        <v>0</v>
      </c>
      <c r="K857" s="795">
        <f t="shared" si="2556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57">SUM(T664)</f>
        <v>0</v>
      </c>
      <c r="U857" s="795">
        <f t="shared" si="2557"/>
        <v>0</v>
      </c>
      <c r="V857" s="795">
        <f t="shared" si="2557"/>
        <v>0</v>
      </c>
      <c r="W857" s="795">
        <f t="shared" si="2557"/>
        <v>0</v>
      </c>
      <c r="X857" s="795">
        <f t="shared" si="2557"/>
        <v>0</v>
      </c>
      <c r="Y857" s="795">
        <f t="shared" si="2557"/>
        <v>0</v>
      </c>
      <c r="Z857" s="795">
        <f t="shared" si="2557"/>
        <v>0</v>
      </c>
      <c r="AA857" s="795">
        <f t="shared" si="2557"/>
        <v>0</v>
      </c>
      <c r="AB857" s="795">
        <f t="shared" si="2557"/>
        <v>0</v>
      </c>
      <c r="AC857" s="795">
        <f t="shared" si="2557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58">SUM(AL664)</f>
        <v>0</v>
      </c>
      <c r="AM857" s="795">
        <f t="shared" si="2558"/>
        <v>0</v>
      </c>
      <c r="AN857" s="795">
        <f t="shared" si="2558"/>
        <v>0</v>
      </c>
      <c r="AO857" s="795">
        <f t="shared" si="2558"/>
        <v>0</v>
      </c>
      <c r="AP857" s="795">
        <f t="shared" si="2558"/>
        <v>0</v>
      </c>
      <c r="AQ857" s="795">
        <f t="shared" si="2558"/>
        <v>0</v>
      </c>
      <c r="AR857" s="795">
        <f t="shared" si="2558"/>
        <v>0</v>
      </c>
      <c r="AS857" s="795">
        <f t="shared" si="2558"/>
        <v>0</v>
      </c>
      <c r="AT857" s="795">
        <f t="shared" si="2558"/>
        <v>0</v>
      </c>
      <c r="AU857" s="795">
        <f t="shared" si="2558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59">SUM(BD664)</f>
        <v>0</v>
      </c>
      <c r="BE857" s="795">
        <f t="shared" si="2559"/>
        <v>0</v>
      </c>
      <c r="BF857" s="795">
        <f t="shared" si="2559"/>
        <v>0</v>
      </c>
      <c r="BG857" s="795">
        <f t="shared" si="2559"/>
        <v>0</v>
      </c>
      <c r="BH857" s="795">
        <f t="shared" si="2559"/>
        <v>0</v>
      </c>
      <c r="BI857" s="795">
        <f t="shared" si="2559"/>
        <v>0</v>
      </c>
      <c r="BJ857" s="795">
        <f t="shared" si="2559"/>
        <v>0</v>
      </c>
      <c r="BK857" s="795">
        <f t="shared" si="2559"/>
        <v>0</v>
      </c>
      <c r="BL857" s="795">
        <f t="shared" si="2559"/>
        <v>0</v>
      </c>
      <c r="BM857" s="795">
        <f t="shared" si="2559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19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0">
        <f t="shared" si="2551"/>
        <v>0</v>
      </c>
      <c r="CF857" s="1320">
        <f t="shared" si="2551"/>
        <v>0</v>
      </c>
      <c r="CG857" s="1320">
        <f t="shared" si="2551"/>
        <v>0</v>
      </c>
      <c r="CH857" s="1321">
        <f t="shared" si="2551"/>
        <v>0</v>
      </c>
      <c r="CI857" s="1321">
        <f t="shared" si="2551"/>
        <v>0</v>
      </c>
      <c r="CJ857" s="1320">
        <f t="shared" si="2551"/>
        <v>0</v>
      </c>
      <c r="CK857" s="1320">
        <f t="shared" si="2551"/>
        <v>0</v>
      </c>
      <c r="CL857" s="1320">
        <f t="shared" si="2551"/>
        <v>0</v>
      </c>
      <c r="CM857" s="1319">
        <f t="shared" si="2551"/>
        <v>0</v>
      </c>
      <c r="CN857" s="526" t="str">
        <f t="shared" si="2545"/>
        <v/>
      </c>
      <c r="CO857" s="527" t="str">
        <f t="shared" si="2545"/>
        <v/>
      </c>
      <c r="CP857" s="527" t="str">
        <f t="shared" si="2545"/>
        <v/>
      </c>
      <c r="CQ857" s="527">
        <f t="shared" si="2545"/>
        <v>0</v>
      </c>
      <c r="CR857" s="527">
        <f t="shared" si="2545"/>
        <v>0</v>
      </c>
      <c r="CS857" s="527">
        <f t="shared" si="2545"/>
        <v>0</v>
      </c>
      <c r="CT857" s="528">
        <f t="shared" si="2545"/>
        <v>0</v>
      </c>
      <c r="CU857" s="528">
        <f t="shared" si="2545"/>
        <v>0</v>
      </c>
      <c r="CV857" s="528">
        <f t="shared" si="2545"/>
        <v>0</v>
      </c>
      <c r="CW857" s="527">
        <f t="shared" si="2546"/>
        <v>0</v>
      </c>
      <c r="CX857" s="527">
        <f t="shared" si="2546"/>
        <v>0</v>
      </c>
      <c r="CY857" s="527">
        <f t="shared" si="2546"/>
        <v>0</v>
      </c>
      <c r="CZ857" s="527">
        <f t="shared" si="2546"/>
        <v>0</v>
      </c>
      <c r="DA857" s="527" t="str">
        <f t="shared" si="2546"/>
        <v/>
      </c>
      <c r="DB857" s="526" t="str">
        <f t="shared" si="2546"/>
        <v/>
      </c>
      <c r="DC857" s="525" t="str">
        <f t="shared" si="2546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0"/>
      <c r="CE858" s="1340"/>
      <c r="CF858" s="1340"/>
      <c r="CG858" s="1340"/>
      <c r="CH858" s="1340"/>
      <c r="CI858" s="1340"/>
      <c r="CJ858" s="1340"/>
      <c r="CK858" s="1340"/>
      <c r="CL858" s="1340"/>
      <c r="CM858" s="1340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60">SUM(C455)</f>
        <v>0.20222668564312399</v>
      </c>
      <c r="D859" s="795">
        <f t="shared" si="2560"/>
        <v>0.17694834993773351</v>
      </c>
      <c r="E859" s="795">
        <f t="shared" si="2560"/>
        <v>0.45298777584059774</v>
      </c>
      <c r="F859" s="795">
        <f t="shared" si="2560"/>
        <v>0.20222668564312399</v>
      </c>
      <c r="G859" s="795">
        <f t="shared" si="2560"/>
        <v>0.17694834993773351</v>
      </c>
      <c r="H859" s="795">
        <f t="shared" si="2560"/>
        <v>0.31457484433374844</v>
      </c>
      <c r="I859" s="795">
        <f t="shared" si="2560"/>
        <v>0.11324694396014943</v>
      </c>
      <c r="J859" s="795">
        <f t="shared" si="2560"/>
        <v>0.17694834993773351</v>
      </c>
      <c r="K859" s="795">
        <f t="shared" si="2560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61">SUM(U455)</f>
        <v>0.20222668564312399</v>
      </c>
      <c r="V859" s="795">
        <f t="shared" si="2561"/>
        <v>0.31457484433374844</v>
      </c>
      <c r="W859" s="795">
        <f t="shared" si="2561"/>
        <v>0.45298777584059774</v>
      </c>
      <c r="X859" s="795">
        <f t="shared" si="2561"/>
        <v>0.35389669987546701</v>
      </c>
      <c r="Y859" s="795">
        <f t="shared" si="2561"/>
        <v>0.28311735990037362</v>
      </c>
      <c r="Z859" s="795">
        <f t="shared" si="2561"/>
        <v>0.31457484433374844</v>
      </c>
      <c r="AA859" s="795">
        <f t="shared" si="2561"/>
        <v>0.28311735990037362</v>
      </c>
      <c r="AB859" s="795">
        <f t="shared" si="2561"/>
        <v>0.35389669987546701</v>
      </c>
      <c r="AC859" s="795">
        <f t="shared" si="2561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62">SUM(AM455)</f>
        <v>0.35389669987546701</v>
      </c>
      <c r="AN859" s="795">
        <f t="shared" si="2562"/>
        <v>0.28311735990037362</v>
      </c>
      <c r="AO859" s="795">
        <f t="shared" si="2562"/>
        <v>0.45298777584059774</v>
      </c>
      <c r="AP859" s="795">
        <f t="shared" si="2562"/>
        <v>0.28311735990037362</v>
      </c>
      <c r="AQ859" s="795">
        <f t="shared" si="2562"/>
        <v>0.11324694396014943</v>
      </c>
      <c r="AR859" s="795">
        <f t="shared" si="2562"/>
        <v>0.40445337128624798</v>
      </c>
      <c r="AS859" s="795">
        <f t="shared" si="2562"/>
        <v>0.28311735990037362</v>
      </c>
      <c r="AT859" s="795">
        <f t="shared" si="2562"/>
        <v>0.28311735990037362</v>
      </c>
      <c r="AU859" s="795">
        <f t="shared" si="2562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63">SUM(BE455)</f>
        <v>0.35389669987546701</v>
      </c>
      <c r="BF859" s="795">
        <f t="shared" si="2563"/>
        <v>0.23593113325031131</v>
      </c>
      <c r="BG859" s="795">
        <f t="shared" si="2563"/>
        <v>0.20222668564312399</v>
      </c>
      <c r="BH859" s="795">
        <f t="shared" si="2563"/>
        <v>0.25737941809124876</v>
      </c>
      <c r="BI859" s="795">
        <f t="shared" si="2563"/>
        <v>0.23593113325031134</v>
      </c>
      <c r="BJ859" s="795">
        <f t="shared" si="2563"/>
        <v>0.35389669987546701</v>
      </c>
      <c r="BK859" s="795">
        <f t="shared" si="2563"/>
        <v>0.20222668564312399</v>
      </c>
      <c r="BL859" s="795">
        <f t="shared" si="2563"/>
        <v>0.30885530170949843</v>
      </c>
      <c r="BM859" s="795">
        <f t="shared" si="2563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64">IF(DD859&lt;3,"",(SUM(B859:R859)-MIN(B859:R859)-MAX(B859:R859))/(DD859-2))</f>
        <v>0.21690216387208683</v>
      </c>
      <c r="CA859" s="611">
        <f t="shared" ref="CA859:CA887" si="2565">IF(DE859&lt;3,"",(SUM(T859:AJ859)-MIN(T859:AJ859)-MAX(T859:AJ859))/(DE859-2))</f>
        <v>0.32145616905354923</v>
      </c>
      <c r="CB859" s="611">
        <f t="shared" ref="CB859:CB887" si="2566">IF(DF859&lt;3,"",(SUM(AL859:BB859)-MIN(AL859:BB859)-MAX(AL859:BB859))/(DF859-2))</f>
        <v>0.32229878024372893</v>
      </c>
      <c r="CC859" s="679">
        <f t="shared" ref="CC859:CC887" si="2567">IF(DG859&lt;3,"",(SUM(BD859:BT859)-MIN(BD859:BT859)-MAX(BD859:BT859))/(DG859-2))</f>
        <v>0.26668644169186978</v>
      </c>
      <c r="CD859" s="1319">
        <f t="shared" ref="CD859:CM874" si="256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0">
        <f t="shared" si="2568"/>
        <v>0.28311735990037362</v>
      </c>
      <c r="CF859" s="1320">
        <f t="shared" si="2568"/>
        <v>0.28311735990037362</v>
      </c>
      <c r="CG859" s="1320">
        <f t="shared" si="2568"/>
        <v>0.28311735990037362</v>
      </c>
      <c r="CH859" s="1321">
        <f t="shared" si="2568"/>
        <v>0.28311735990037362</v>
      </c>
      <c r="CI859" s="1321">
        <f t="shared" si="2568"/>
        <v>0.28311735990037362</v>
      </c>
      <c r="CJ859" s="1320">
        <f t="shared" si="2568"/>
        <v>0.35389669987546701</v>
      </c>
      <c r="CK859" s="1320">
        <f t="shared" si="2568"/>
        <v>0.40445337128624798</v>
      </c>
      <c r="CL859" s="1320">
        <f t="shared" si="2568"/>
        <v>0.40445337128624798</v>
      </c>
      <c r="CM859" s="1319">
        <f t="shared" si="2568"/>
        <v>0.45298777584059774</v>
      </c>
      <c r="CN859" s="1325" t="str">
        <f t="shared" ref="CN859:DB874" si="2569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26" t="str">
        <f t="shared" si="2569"/>
        <v/>
      </c>
      <c r="CP859" s="1326" t="str">
        <f t="shared" si="2569"/>
        <v/>
      </c>
      <c r="CQ859" s="1326">
        <f t="shared" si="2569"/>
        <v>0.20222668564312399</v>
      </c>
      <c r="CR859" s="1326">
        <f t="shared" si="2569"/>
        <v>0.20222668564312399</v>
      </c>
      <c r="CS859" s="1326">
        <f t="shared" si="2569"/>
        <v>0.23593113325031131</v>
      </c>
      <c r="CT859" s="1327">
        <f t="shared" si="2569"/>
        <v>0.23593113325031131</v>
      </c>
      <c r="CU859" s="1327">
        <f t="shared" si="2569"/>
        <v>0.23593113325031134</v>
      </c>
      <c r="CV859" s="1327">
        <f t="shared" si="2569"/>
        <v>0.25737941809124876</v>
      </c>
      <c r="CW859" s="1326">
        <f t="shared" si="2569"/>
        <v>0.30334002846468605</v>
      </c>
      <c r="CX859" s="1326">
        <f t="shared" si="2569"/>
        <v>0.30885530170949843</v>
      </c>
      <c r="CY859" s="1326">
        <f t="shared" si="2569"/>
        <v>0.35389669987546701</v>
      </c>
      <c r="CZ859" s="1326">
        <f t="shared" si="2569"/>
        <v>0.35389669987546701</v>
      </c>
      <c r="DA859" s="1326" t="str">
        <f t="shared" si="2569"/>
        <v/>
      </c>
      <c r="DB859" s="1325" t="str">
        <f t="shared" si="2569"/>
        <v/>
      </c>
      <c r="DC859" s="1381" t="str">
        <f t="shared" ref="DC859:DC887" si="2570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71">COUNT(B859:R859)</f>
        <v>10</v>
      </c>
      <c r="DE859" s="95">
        <f t="shared" ref="DE859:DE887" si="2572">COUNT(T859:AJ859)</f>
        <v>10</v>
      </c>
      <c r="DF859" s="95">
        <f t="shared" ref="DF859:DF887" si="2573">COUNT(AL859:BB859)</f>
        <v>10</v>
      </c>
      <c r="DG859" s="95">
        <f t="shared" ref="DG859:DG887" si="2574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75">SUM(C464)</f>
        <v>8.111412915851271E-2</v>
      </c>
      <c r="D860" s="795">
        <f t="shared" si="2575"/>
        <v>3.5487431506849312E-2</v>
      </c>
      <c r="E860" s="795">
        <f t="shared" si="2575"/>
        <v>5.6779890410958891E-2</v>
      </c>
      <c r="F860" s="795">
        <f t="shared" si="2575"/>
        <v>8.111412915851271E-2</v>
      </c>
      <c r="G860" s="795">
        <f t="shared" si="2575"/>
        <v>7.0974863013698625E-2</v>
      </c>
      <c r="H860" s="795">
        <f t="shared" si="2575"/>
        <v>6.3088767123287662E-2</v>
      </c>
      <c r="I860" s="795">
        <f t="shared" si="2575"/>
        <v>5.6779890410958891E-2</v>
      </c>
      <c r="J860" s="795">
        <f t="shared" si="2575"/>
        <v>3.5487431506849312E-2</v>
      </c>
      <c r="K860" s="795">
        <f t="shared" si="2575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76">SUM(T464)</f>
        <v>3.5487431506849312E-2</v>
      </c>
      <c r="U860" s="795">
        <f t="shared" si="2576"/>
        <v>4.0557064579256355E-2</v>
      </c>
      <c r="V860" s="795">
        <f t="shared" si="2576"/>
        <v>6.3088767123287662E-2</v>
      </c>
      <c r="W860" s="795">
        <f t="shared" si="2576"/>
        <v>2.8389945205479446E-2</v>
      </c>
      <c r="X860" s="795">
        <f t="shared" si="2576"/>
        <v>7.0974863013698625E-2</v>
      </c>
      <c r="Y860" s="795">
        <f t="shared" si="2576"/>
        <v>5.6779890410958891E-2</v>
      </c>
      <c r="Z860" s="795">
        <f t="shared" si="2576"/>
        <v>6.3088767123287662E-2</v>
      </c>
      <c r="AA860" s="795">
        <f t="shared" si="2576"/>
        <v>3.7853260273972601E-2</v>
      </c>
      <c r="AB860" s="795">
        <f t="shared" si="2576"/>
        <v>2.6615573630136984E-2</v>
      </c>
      <c r="AC860" s="795">
        <f t="shared" si="2576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77">SUM(AL464)</f>
        <v>8.111412915851271E-2</v>
      </c>
      <c r="AM860" s="795">
        <f t="shared" si="2577"/>
        <v>3.5487431506849312E-2</v>
      </c>
      <c r="AN860" s="795">
        <f t="shared" si="2577"/>
        <v>4.731657534246575E-2</v>
      </c>
      <c r="AO860" s="795">
        <f t="shared" si="2577"/>
        <v>5.6779890410958891E-2</v>
      </c>
      <c r="AP860" s="795">
        <f t="shared" si="2577"/>
        <v>5.6779890410958891E-2</v>
      </c>
      <c r="AQ860" s="795">
        <f t="shared" si="2577"/>
        <v>7.5706520547945202E-2</v>
      </c>
      <c r="AR860" s="795">
        <f t="shared" si="2577"/>
        <v>6.759510763209392E-2</v>
      </c>
      <c r="AS860" s="795">
        <f t="shared" si="2577"/>
        <v>4.731657534246575E-2</v>
      </c>
      <c r="AT860" s="795">
        <f t="shared" si="2577"/>
        <v>0.11355978082191778</v>
      </c>
      <c r="AU860" s="795">
        <f t="shared" si="2577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78">SUM(BD464)</f>
        <v>4.731657534246575E-2</v>
      </c>
      <c r="BE860" s="795">
        <f t="shared" si="2578"/>
        <v>7.0974863013698625E-2</v>
      </c>
      <c r="BF860" s="795">
        <f t="shared" si="2578"/>
        <v>4.731657534246575E-2</v>
      </c>
      <c r="BG860" s="795">
        <f t="shared" si="2578"/>
        <v>8.111412915851271E-2</v>
      </c>
      <c r="BH860" s="795">
        <f t="shared" si="2578"/>
        <v>5.1618082191780823E-2</v>
      </c>
      <c r="BI860" s="795">
        <f t="shared" si="2578"/>
        <v>5.6779890410958891E-2</v>
      </c>
      <c r="BJ860" s="795">
        <f t="shared" si="2578"/>
        <v>7.0974863013698625E-2</v>
      </c>
      <c r="BK860" s="795">
        <f t="shared" si="2578"/>
        <v>8.111412915851271E-2</v>
      </c>
      <c r="BL860" s="795">
        <f t="shared" si="2578"/>
        <v>5.1618082191780823E-2</v>
      </c>
      <c r="BM860" s="795">
        <f t="shared" si="2578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64"/>
        <v>5.7695240826810171E-2</v>
      </c>
      <c r="CA860" s="611">
        <f t="shared" si="2565"/>
        <v>4.8541736668297447E-2</v>
      </c>
      <c r="CB860" s="611">
        <f t="shared" si="2566"/>
        <v>6.1173572407045004E-2</v>
      </c>
      <c r="CC860" s="679">
        <f t="shared" si="2567"/>
        <v>6.3938826810176097E-2</v>
      </c>
      <c r="CD860" s="1319">
        <f t="shared" si="2568"/>
        <v>3.5487431506849312E-2</v>
      </c>
      <c r="CE860" s="1320">
        <f t="shared" si="2568"/>
        <v>4.731657534246575E-2</v>
      </c>
      <c r="CF860" s="1320">
        <f t="shared" si="2568"/>
        <v>4.731657534246575E-2</v>
      </c>
      <c r="CG860" s="1320">
        <f t="shared" si="2568"/>
        <v>5.6779890410958891E-2</v>
      </c>
      <c r="CH860" s="1321">
        <f t="shared" si="2568"/>
        <v>5.6779890410958891E-2</v>
      </c>
      <c r="CI860" s="1321">
        <f t="shared" si="2568"/>
        <v>5.6779890410958891E-2</v>
      </c>
      <c r="CJ860" s="1320">
        <f t="shared" si="2568"/>
        <v>6.759510763209392E-2</v>
      </c>
      <c r="CK860" s="1320">
        <f t="shared" si="2568"/>
        <v>7.5706520547945202E-2</v>
      </c>
      <c r="CL860" s="1320">
        <f t="shared" si="2568"/>
        <v>8.111412915851271E-2</v>
      </c>
      <c r="CM860" s="1319">
        <f t="shared" si="2568"/>
        <v>0.11355978082191778</v>
      </c>
      <c r="CN860" s="1325" t="str">
        <f t="shared" si="2569"/>
        <v/>
      </c>
      <c r="CO860" s="1326" t="str">
        <f t="shared" si="2569"/>
        <v/>
      </c>
      <c r="CP860" s="1326" t="str">
        <f t="shared" si="2569"/>
        <v/>
      </c>
      <c r="CQ860" s="1326">
        <f t="shared" si="2569"/>
        <v>4.731657534246575E-2</v>
      </c>
      <c r="CR860" s="1326">
        <f t="shared" si="2569"/>
        <v>4.731657534246575E-2</v>
      </c>
      <c r="CS860" s="1326">
        <f t="shared" si="2569"/>
        <v>5.1618082191780823E-2</v>
      </c>
      <c r="CT860" s="1327">
        <f t="shared" si="2569"/>
        <v>5.1618082191780823E-2</v>
      </c>
      <c r="CU860" s="1327">
        <f t="shared" si="2569"/>
        <v>5.6779890410958891E-2</v>
      </c>
      <c r="CV860" s="1327">
        <f t="shared" si="2569"/>
        <v>7.0974863013698625E-2</v>
      </c>
      <c r="CW860" s="1326">
        <f t="shared" si="2569"/>
        <v>7.0974863013698625E-2</v>
      </c>
      <c r="CX860" s="1326">
        <f t="shared" si="2569"/>
        <v>8.111412915851271E-2</v>
      </c>
      <c r="CY860" s="1326">
        <f t="shared" si="2569"/>
        <v>8.111412915851271E-2</v>
      </c>
      <c r="CZ860" s="1326">
        <f t="shared" si="2569"/>
        <v>8.111412915851271E-2</v>
      </c>
      <c r="DA860" s="1326" t="str">
        <f t="shared" si="2569"/>
        <v/>
      </c>
      <c r="DB860" s="1325" t="str">
        <f t="shared" si="2569"/>
        <v/>
      </c>
      <c r="DC860" s="1381" t="str">
        <f t="shared" si="2570"/>
        <v/>
      </c>
      <c r="DD860" s="641">
        <f t="shared" si="2571"/>
        <v>10</v>
      </c>
      <c r="DE860" s="95">
        <f t="shared" si="2572"/>
        <v>10</v>
      </c>
      <c r="DF860" s="95">
        <f t="shared" si="2573"/>
        <v>10</v>
      </c>
      <c r="DG860" s="95">
        <f t="shared" si="2574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79">SUM(C473)</f>
        <v>7.9103035047144624E-2</v>
      </c>
      <c r="D861" s="795">
        <f t="shared" si="2579"/>
        <v>6.9215155666251554E-2</v>
      </c>
      <c r="E861" s="795">
        <f t="shared" si="2579"/>
        <v>5.5372124533001242E-2</v>
      </c>
      <c r="F861" s="795">
        <f t="shared" si="2579"/>
        <v>0.19775758761786158</v>
      </c>
      <c r="G861" s="795">
        <f t="shared" si="2579"/>
        <v>0.1730378891656289</v>
      </c>
      <c r="H861" s="795">
        <f t="shared" si="2579"/>
        <v>6.1524582814445818E-2</v>
      </c>
      <c r="I861" s="795">
        <f t="shared" si="2579"/>
        <v>0.11074424906600248</v>
      </c>
      <c r="J861" s="795">
        <f t="shared" si="2579"/>
        <v>6.9215155666251554E-2</v>
      </c>
      <c r="K861" s="795">
        <f t="shared" si="2579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80">SUM(U473)</f>
        <v>9.887879380893079E-2</v>
      </c>
      <c r="V861" s="795">
        <f t="shared" si="2580"/>
        <v>6.1524582814445818E-2</v>
      </c>
      <c r="W861" s="795">
        <f t="shared" si="2580"/>
        <v>5.5372124533001242E-2</v>
      </c>
      <c r="X861" s="795">
        <f t="shared" si="2580"/>
        <v>6.9215155666251554E-2</v>
      </c>
      <c r="Y861" s="795">
        <f t="shared" si="2580"/>
        <v>6.9215155666251554E-2</v>
      </c>
      <c r="Z861" s="795">
        <f t="shared" si="2580"/>
        <v>0.15381145703611457</v>
      </c>
      <c r="AA861" s="795">
        <f t="shared" si="2580"/>
        <v>0.13843031133250311</v>
      </c>
      <c r="AB861" s="795">
        <f t="shared" si="2580"/>
        <v>6.9215155666251554E-2</v>
      </c>
      <c r="AC861" s="795">
        <f t="shared" si="2580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81">SUM(AM473)</f>
        <v>0.1730378891656289</v>
      </c>
      <c r="AN861" s="795">
        <f t="shared" si="2581"/>
        <v>0.11074424906600248</v>
      </c>
      <c r="AO861" s="795">
        <f t="shared" si="2581"/>
        <v>5.5372124533001242E-2</v>
      </c>
      <c r="AP861" s="795">
        <f t="shared" si="2581"/>
        <v>0.13843031133250311</v>
      </c>
      <c r="AQ861" s="795">
        <f t="shared" si="2581"/>
        <v>0.11074424906600248</v>
      </c>
      <c r="AR861" s="795">
        <f t="shared" si="2581"/>
        <v>9.887879380893079E-2</v>
      </c>
      <c r="AS861" s="795">
        <f t="shared" si="2581"/>
        <v>0.13843031133250311</v>
      </c>
      <c r="AT861" s="795">
        <f t="shared" si="2581"/>
        <v>0.11074424906600248</v>
      </c>
      <c r="AU861" s="795">
        <f t="shared" si="2581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82">SUM(BE473)</f>
        <v>8.651894458281445E-2</v>
      </c>
      <c r="BF861" s="795">
        <f t="shared" si="2582"/>
        <v>5.767929638854296E-2</v>
      </c>
      <c r="BG861" s="795">
        <f t="shared" si="2582"/>
        <v>3.9551517523572312E-2</v>
      </c>
      <c r="BH861" s="795">
        <f t="shared" si="2582"/>
        <v>0.12584573757500281</v>
      </c>
      <c r="BI861" s="795">
        <f t="shared" si="2582"/>
        <v>6.9215155666251554E-2</v>
      </c>
      <c r="BJ861" s="795">
        <f t="shared" si="2582"/>
        <v>8.651894458281445E-2</v>
      </c>
      <c r="BK861" s="795">
        <f t="shared" si="2582"/>
        <v>9.887879380893079E-2</v>
      </c>
      <c r="BL861" s="795">
        <f t="shared" si="2582"/>
        <v>0.12584573757500281</v>
      </c>
      <c r="BM861" s="795">
        <f t="shared" si="2582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64"/>
        <v>9.7546676725671591E-2</v>
      </c>
      <c r="CA861" s="611">
        <f t="shared" si="2565"/>
        <v>9.1188220957125074E-2</v>
      </c>
      <c r="CB861" s="611">
        <f t="shared" si="2566"/>
        <v>0.1181601586016723</v>
      </c>
      <c r="CC861" s="679">
        <f t="shared" si="2567"/>
        <v>8.4945872863126909E-2</v>
      </c>
      <c r="CD861" s="1319">
        <f t="shared" si="2568"/>
        <v>5.5372124533001242E-2</v>
      </c>
      <c r="CE861" s="1320">
        <f t="shared" si="2568"/>
        <v>9.887879380893079E-2</v>
      </c>
      <c r="CF861" s="1320">
        <f t="shared" si="2568"/>
        <v>9.887879380893079E-2</v>
      </c>
      <c r="CG861" s="1320">
        <f t="shared" si="2568"/>
        <v>0.11074424906600248</v>
      </c>
      <c r="CH861" s="1321">
        <f t="shared" si="2568"/>
        <v>0.11074424906600248</v>
      </c>
      <c r="CI861" s="1321">
        <f t="shared" si="2568"/>
        <v>0.11074424906600248</v>
      </c>
      <c r="CJ861" s="1320">
        <f t="shared" si="2568"/>
        <v>0.13843031133250311</v>
      </c>
      <c r="CK861" s="1320">
        <f t="shared" si="2568"/>
        <v>0.13843031133250311</v>
      </c>
      <c r="CL861" s="1320">
        <f t="shared" si="2568"/>
        <v>0.13843031133250311</v>
      </c>
      <c r="CM861" s="1319">
        <f t="shared" si="2568"/>
        <v>0.1730378891656289</v>
      </c>
      <c r="CN861" s="1325" t="str">
        <f t="shared" si="2569"/>
        <v/>
      </c>
      <c r="CO861" s="1326" t="str">
        <f t="shared" si="2569"/>
        <v/>
      </c>
      <c r="CP861" s="1326" t="str">
        <f t="shared" si="2569"/>
        <v/>
      </c>
      <c r="CQ861" s="1326">
        <f t="shared" si="2569"/>
        <v>3.9551517523572312E-2</v>
      </c>
      <c r="CR861" s="1326">
        <f t="shared" si="2569"/>
        <v>3.9551517523572312E-2</v>
      </c>
      <c r="CS861" s="1326">
        <f t="shared" si="2569"/>
        <v>5.767929638854296E-2</v>
      </c>
      <c r="CT861" s="1327">
        <f t="shared" si="2569"/>
        <v>6.9215155666251554E-2</v>
      </c>
      <c r="CU861" s="1327">
        <f t="shared" si="2569"/>
        <v>8.651894458281445E-2</v>
      </c>
      <c r="CV861" s="1327">
        <f t="shared" si="2569"/>
        <v>8.651894458281445E-2</v>
      </c>
      <c r="CW861" s="1326">
        <f t="shared" si="2569"/>
        <v>9.887879380893079E-2</v>
      </c>
      <c r="CX861" s="1326">
        <f t="shared" si="2569"/>
        <v>0.11535859277708592</v>
      </c>
      <c r="CY861" s="1326">
        <f t="shared" si="2569"/>
        <v>0.12584573757500281</v>
      </c>
      <c r="CZ861" s="1326">
        <f t="shared" si="2569"/>
        <v>0.12584573757500281</v>
      </c>
      <c r="DA861" s="1326" t="str">
        <f t="shared" si="2569"/>
        <v/>
      </c>
      <c r="DB861" s="1325" t="str">
        <f t="shared" si="2569"/>
        <v/>
      </c>
      <c r="DC861" s="1381" t="str">
        <f t="shared" si="2570"/>
        <v/>
      </c>
      <c r="DD861" s="641">
        <f t="shared" si="2571"/>
        <v>10</v>
      </c>
      <c r="DE861" s="95">
        <f t="shared" si="2572"/>
        <v>10</v>
      </c>
      <c r="DF861" s="95">
        <f t="shared" si="2573"/>
        <v>10</v>
      </c>
      <c r="DG861" s="95">
        <f t="shared" si="2574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83">SUM(C482)</f>
        <v>1.6759117594734033E-2</v>
      </c>
      <c r="D862" s="795">
        <f t="shared" si="2583"/>
        <v>1.4664227895392278E-2</v>
      </c>
      <c r="E862" s="795">
        <f t="shared" si="2583"/>
        <v>1.1731382316313821E-2</v>
      </c>
      <c r="F862" s="795">
        <f t="shared" si="2583"/>
        <v>1.6759117594734033E-2</v>
      </c>
      <c r="G862" s="795">
        <f t="shared" si="2583"/>
        <v>1.4664227895392278E-2</v>
      </c>
      <c r="H862" s="795">
        <f t="shared" si="2583"/>
        <v>1.3034869240348693E-2</v>
      </c>
      <c r="I862" s="795">
        <f t="shared" si="2583"/>
        <v>2.3462764632627642E-2</v>
      </c>
      <c r="J862" s="795">
        <f t="shared" si="2583"/>
        <v>7.3321139476961389E-3</v>
      </c>
      <c r="K862" s="795">
        <f t="shared" si="2583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84">SUM(T482)</f>
        <v>1.22201899128269E-2</v>
      </c>
      <c r="U862" s="795">
        <f t="shared" si="2584"/>
        <v>1.6759117594734033E-2</v>
      </c>
      <c r="V862" s="795">
        <f t="shared" si="2584"/>
        <v>1.3034869240348693E-2</v>
      </c>
      <c r="W862" s="795">
        <f t="shared" si="2584"/>
        <v>1.1731382316313821E-2</v>
      </c>
      <c r="X862" s="795">
        <f t="shared" si="2584"/>
        <v>1.4664227895392278E-2</v>
      </c>
      <c r="Y862" s="795">
        <f t="shared" si="2584"/>
        <v>1.1731382316313821E-2</v>
      </c>
      <c r="Z862" s="795">
        <f t="shared" si="2584"/>
        <v>1.3034869240348693E-2</v>
      </c>
      <c r="AA862" s="795">
        <f t="shared" si="2584"/>
        <v>1.0753767123287671E-2</v>
      </c>
      <c r="AB862" s="795">
        <f t="shared" si="2584"/>
        <v>1.22201899128269E-2</v>
      </c>
      <c r="AC862" s="795">
        <f t="shared" si="2584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85">SUM(AL482)</f>
        <v>1.6759117594734033E-2</v>
      </c>
      <c r="AM862" s="795">
        <f t="shared" si="2585"/>
        <v>1.4664227895392278E-2</v>
      </c>
      <c r="AN862" s="795">
        <f t="shared" si="2585"/>
        <v>2.3462764632627642E-2</v>
      </c>
      <c r="AO862" s="795">
        <f t="shared" si="2585"/>
        <v>1.1731382316313821E-2</v>
      </c>
      <c r="AP862" s="795">
        <f t="shared" si="2585"/>
        <v>1.1731382316313821E-2</v>
      </c>
      <c r="AQ862" s="795">
        <f t="shared" si="2585"/>
        <v>2.3462764632627642E-2</v>
      </c>
      <c r="AR862" s="795">
        <f t="shared" si="2585"/>
        <v>1.6759117594734033E-2</v>
      </c>
      <c r="AS862" s="795">
        <f t="shared" si="2585"/>
        <v>1.1731382316313821E-2</v>
      </c>
      <c r="AT862" s="795">
        <f t="shared" si="2585"/>
        <v>2.3462764632627642E-2</v>
      </c>
      <c r="AU862" s="795">
        <f t="shared" si="2585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86">SUM(BD482)</f>
        <v>9.7761519302615191E-3</v>
      </c>
      <c r="BE862" s="795">
        <f t="shared" si="2586"/>
        <v>1.4664227895392278E-2</v>
      </c>
      <c r="BF862" s="795">
        <f t="shared" si="2586"/>
        <v>9.7761519302615191E-3</v>
      </c>
      <c r="BG862" s="795">
        <f t="shared" si="2586"/>
        <v>1.6759117594734033E-2</v>
      </c>
      <c r="BH862" s="795">
        <f t="shared" si="2586"/>
        <v>1.0664893014830746E-2</v>
      </c>
      <c r="BI862" s="795">
        <f t="shared" si="2586"/>
        <v>1.1731382316313821E-2</v>
      </c>
      <c r="BJ862" s="795">
        <f t="shared" si="2586"/>
        <v>1.4664227895392278E-2</v>
      </c>
      <c r="BK862" s="795">
        <f t="shared" si="2586"/>
        <v>1.6759117594734033E-2</v>
      </c>
      <c r="BL862" s="795">
        <f t="shared" si="2586"/>
        <v>1.0664893014830746E-2</v>
      </c>
      <c r="BM862" s="795">
        <f t="shared" si="2586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64"/>
        <v>1.3465485456324495E-2</v>
      </c>
      <c r="CA862" s="611">
        <f t="shared" si="2565"/>
        <v>1.2708997509339974E-2</v>
      </c>
      <c r="CB862" s="611">
        <f t="shared" si="2566"/>
        <v>1.6287767412382137E-2</v>
      </c>
      <c r="CC862" s="679">
        <f t="shared" si="2567"/>
        <v>1.3210501407061183E-2</v>
      </c>
      <c r="CD862" s="1319">
        <f t="shared" si="2568"/>
        <v>1.1731382316313821E-2</v>
      </c>
      <c r="CE862" s="1320">
        <f t="shared" si="2568"/>
        <v>1.1731382316313821E-2</v>
      </c>
      <c r="CF862" s="1320">
        <f t="shared" si="2568"/>
        <v>1.1731382316313821E-2</v>
      </c>
      <c r="CG862" s="1320">
        <f t="shared" si="2568"/>
        <v>1.1731382316313821E-2</v>
      </c>
      <c r="CH862" s="1321">
        <f t="shared" si="2568"/>
        <v>1.4664227895392278E-2</v>
      </c>
      <c r="CI862" s="1321">
        <f t="shared" si="2568"/>
        <v>1.6759117594734033E-2</v>
      </c>
      <c r="CJ862" s="1320">
        <f t="shared" si="2568"/>
        <v>1.6759117594734033E-2</v>
      </c>
      <c r="CK862" s="1320">
        <f t="shared" si="2568"/>
        <v>2.3462764632627642E-2</v>
      </c>
      <c r="CL862" s="1320">
        <f t="shared" si="2568"/>
        <v>2.3462764632627642E-2</v>
      </c>
      <c r="CM862" s="1319">
        <f t="shared" si="2568"/>
        <v>2.3462764632627642E-2</v>
      </c>
      <c r="CN862" s="1325" t="str">
        <f t="shared" si="2569"/>
        <v/>
      </c>
      <c r="CO862" s="1326" t="str">
        <f t="shared" si="2569"/>
        <v/>
      </c>
      <c r="CP862" s="1326" t="str">
        <f t="shared" si="2569"/>
        <v/>
      </c>
      <c r="CQ862" s="1326">
        <f t="shared" si="2569"/>
        <v>9.7761519302615191E-3</v>
      </c>
      <c r="CR862" s="1326">
        <f t="shared" si="2569"/>
        <v>9.7761519302615191E-3</v>
      </c>
      <c r="CS862" s="1326">
        <f t="shared" si="2569"/>
        <v>1.0664893014830746E-2</v>
      </c>
      <c r="CT862" s="1327">
        <f t="shared" si="2569"/>
        <v>1.0664893014830746E-2</v>
      </c>
      <c r="CU862" s="1327">
        <f t="shared" si="2569"/>
        <v>1.1731382316313821E-2</v>
      </c>
      <c r="CV862" s="1327">
        <f t="shared" si="2569"/>
        <v>1.4664227895392278E-2</v>
      </c>
      <c r="CW862" s="1326">
        <f t="shared" si="2569"/>
        <v>1.4664227895392278E-2</v>
      </c>
      <c r="CX862" s="1326">
        <f t="shared" si="2569"/>
        <v>1.6759117594734033E-2</v>
      </c>
      <c r="CY862" s="1326">
        <f t="shared" si="2569"/>
        <v>1.6759117594734033E-2</v>
      </c>
      <c r="CZ862" s="1326">
        <f t="shared" si="2569"/>
        <v>1.6759117594734033E-2</v>
      </c>
      <c r="DA862" s="1326" t="str">
        <f t="shared" si="2569"/>
        <v/>
      </c>
      <c r="DB862" s="1325" t="str">
        <f t="shared" si="2569"/>
        <v/>
      </c>
      <c r="DC862" s="1381" t="str">
        <f t="shared" si="2570"/>
        <v/>
      </c>
      <c r="DD862" s="641">
        <f t="shared" si="2571"/>
        <v>10</v>
      </c>
      <c r="DE862" s="95">
        <f t="shared" si="2572"/>
        <v>10</v>
      </c>
      <c r="DF862" s="95">
        <f t="shared" si="2573"/>
        <v>10</v>
      </c>
      <c r="DG862" s="95">
        <f t="shared" si="2574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87">SUM(C491)</f>
        <v>0</v>
      </c>
      <c r="D863" s="795">
        <f t="shared" si="2587"/>
        <v>0</v>
      </c>
      <c r="E863" s="795">
        <f t="shared" si="2587"/>
        <v>0</v>
      </c>
      <c r="F863" s="795">
        <f t="shared" si="2587"/>
        <v>0</v>
      </c>
      <c r="G863" s="795">
        <f t="shared" si="2587"/>
        <v>0</v>
      </c>
      <c r="H863" s="795">
        <f t="shared" si="2587"/>
        <v>0</v>
      </c>
      <c r="I863" s="795">
        <f t="shared" si="2587"/>
        <v>0.1596406505603985</v>
      </c>
      <c r="J863" s="795">
        <f t="shared" si="2587"/>
        <v>0</v>
      </c>
      <c r="K863" s="795">
        <f t="shared" si="2587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88">SUM(U491)</f>
        <v>0</v>
      </c>
      <c r="V863" s="795">
        <f t="shared" si="2588"/>
        <v>0</v>
      </c>
      <c r="W863" s="795">
        <f t="shared" si="2588"/>
        <v>0</v>
      </c>
      <c r="X863" s="795">
        <f t="shared" si="2588"/>
        <v>0</v>
      </c>
      <c r="Y863" s="795">
        <f t="shared" si="2588"/>
        <v>0</v>
      </c>
      <c r="Z863" s="795">
        <f t="shared" si="2588"/>
        <v>0</v>
      </c>
      <c r="AA863" s="795">
        <f t="shared" si="2588"/>
        <v>0</v>
      </c>
      <c r="AB863" s="795">
        <f t="shared" si="2588"/>
        <v>0</v>
      </c>
      <c r="AC863" s="795">
        <f t="shared" si="2588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89">SUM(AM491)</f>
        <v>0</v>
      </c>
      <c r="AN863" s="795">
        <f t="shared" si="2589"/>
        <v>0</v>
      </c>
      <c r="AO863" s="795">
        <f t="shared" si="2589"/>
        <v>0</v>
      </c>
      <c r="AP863" s="795">
        <f t="shared" si="2589"/>
        <v>0</v>
      </c>
      <c r="AQ863" s="795">
        <f t="shared" si="2589"/>
        <v>0</v>
      </c>
      <c r="AR863" s="795">
        <f t="shared" si="2589"/>
        <v>0</v>
      </c>
      <c r="AS863" s="795">
        <f t="shared" si="2589"/>
        <v>0</v>
      </c>
      <c r="AT863" s="795">
        <f t="shared" si="2589"/>
        <v>0</v>
      </c>
      <c r="AU863" s="795">
        <f t="shared" si="2589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90">SUM(BE491)</f>
        <v>4.9887703300124528E-2</v>
      </c>
      <c r="BF863" s="795">
        <f t="shared" si="2590"/>
        <v>3.3258468866749685E-2</v>
      </c>
      <c r="BG863" s="795">
        <f t="shared" si="2590"/>
        <v>5.701451805728517E-2</v>
      </c>
      <c r="BH863" s="795">
        <f t="shared" si="2590"/>
        <v>3.62819660364542E-2</v>
      </c>
      <c r="BI863" s="795">
        <f t="shared" si="2590"/>
        <v>3.9910162640099625E-2</v>
      </c>
      <c r="BJ863" s="795">
        <f t="shared" si="2590"/>
        <v>4.9887703300124528E-2</v>
      </c>
      <c r="BK863" s="795">
        <f t="shared" si="2590"/>
        <v>5.701451805728517E-2</v>
      </c>
      <c r="BL863" s="795">
        <f t="shared" si="2590"/>
        <v>7.2563932072908399E-2</v>
      </c>
      <c r="BM863" s="795">
        <f t="shared" si="2590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64"/>
        <v>9.9775406600249063E-3</v>
      </c>
      <c r="CA863" s="611">
        <f t="shared" si="2565"/>
        <v>0</v>
      </c>
      <c r="CB863" s="611">
        <f t="shared" si="2566"/>
        <v>0</v>
      </c>
      <c r="CC863" s="679">
        <f t="shared" si="2567"/>
        <v>5.2446877690195862E-2</v>
      </c>
      <c r="CD863" s="1319">
        <f t="shared" si="2568"/>
        <v>0</v>
      </c>
      <c r="CE863" s="1320">
        <f t="shared" si="2568"/>
        <v>0</v>
      </c>
      <c r="CF863" s="1320">
        <f t="shared" si="2568"/>
        <v>0</v>
      </c>
      <c r="CG863" s="1320">
        <f t="shared" si="2568"/>
        <v>0</v>
      </c>
      <c r="CH863" s="1321">
        <f t="shared" si="2568"/>
        <v>0</v>
      </c>
      <c r="CI863" s="1321">
        <f t="shared" si="2568"/>
        <v>0</v>
      </c>
      <c r="CJ863" s="1320">
        <f t="shared" si="2568"/>
        <v>0</v>
      </c>
      <c r="CK863" s="1320">
        <f t="shared" si="2568"/>
        <v>0</v>
      </c>
      <c r="CL863" s="1320">
        <f t="shared" si="2568"/>
        <v>0</v>
      </c>
      <c r="CM863" s="1319">
        <f t="shared" si="2568"/>
        <v>0</v>
      </c>
      <c r="CN863" s="1325" t="str">
        <f t="shared" si="2569"/>
        <v/>
      </c>
      <c r="CO863" s="1326" t="str">
        <f t="shared" si="2569"/>
        <v/>
      </c>
      <c r="CP863" s="1326" t="str">
        <f t="shared" si="2569"/>
        <v/>
      </c>
      <c r="CQ863" s="1326">
        <f t="shared" si="2569"/>
        <v>3.3258468866749685E-2</v>
      </c>
      <c r="CR863" s="1326">
        <f t="shared" si="2569"/>
        <v>3.62819660364542E-2</v>
      </c>
      <c r="CS863" s="1326">
        <f t="shared" si="2569"/>
        <v>3.9910162640099625E-2</v>
      </c>
      <c r="CT863" s="1327">
        <f t="shared" si="2569"/>
        <v>4.9887703300124528E-2</v>
      </c>
      <c r="CU863" s="1327">
        <f t="shared" si="2569"/>
        <v>4.9887703300124528E-2</v>
      </c>
      <c r="CV863" s="1327">
        <f t="shared" si="2569"/>
        <v>5.701451805728517E-2</v>
      </c>
      <c r="CW863" s="1326">
        <f t="shared" si="2569"/>
        <v>5.701451805728517E-2</v>
      </c>
      <c r="CX863" s="1326">
        <f t="shared" si="2569"/>
        <v>5.701451805728517E-2</v>
      </c>
      <c r="CY863" s="1326">
        <f t="shared" si="2569"/>
        <v>7.2563932072908399E-2</v>
      </c>
      <c r="CZ863" s="1326">
        <f t="shared" si="2569"/>
        <v>0.13303387546699874</v>
      </c>
      <c r="DA863" s="1326" t="str">
        <f t="shared" si="2569"/>
        <v/>
      </c>
      <c r="DB863" s="1325" t="str">
        <f t="shared" si="2569"/>
        <v/>
      </c>
      <c r="DC863" s="1381" t="str">
        <f t="shared" si="2570"/>
        <v/>
      </c>
      <c r="DD863" s="641">
        <f t="shared" si="2571"/>
        <v>10</v>
      </c>
      <c r="DE863" s="95">
        <f t="shared" si="2572"/>
        <v>10</v>
      </c>
      <c r="DF863" s="95">
        <f t="shared" si="2573"/>
        <v>10</v>
      </c>
      <c r="DG863" s="95">
        <f t="shared" si="2574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White bread purchase</v>
      </c>
      <c r="B864" s="795">
        <f>SUM(B500)</f>
        <v>0</v>
      </c>
      <c r="C864" s="795">
        <f t="shared" ref="C864:K864" si="2591">SUM(C500)</f>
        <v>0</v>
      </c>
      <c r="D864" s="795">
        <f t="shared" si="2591"/>
        <v>0</v>
      </c>
      <c r="E864" s="795">
        <f t="shared" si="2591"/>
        <v>0</v>
      </c>
      <c r="F864" s="795">
        <f t="shared" si="2591"/>
        <v>0</v>
      </c>
      <c r="G864" s="795">
        <f t="shared" si="2591"/>
        <v>0</v>
      </c>
      <c r="H864" s="795">
        <f t="shared" si="2591"/>
        <v>0</v>
      </c>
      <c r="I864" s="795">
        <f t="shared" si="2591"/>
        <v>0</v>
      </c>
      <c r="J864" s="795">
        <f t="shared" si="2591"/>
        <v>0</v>
      </c>
      <c r="K864" s="795">
        <f t="shared" si="2591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92">SUM(T500)</f>
        <v>0</v>
      </c>
      <c r="U864" s="795">
        <f t="shared" si="2592"/>
        <v>0</v>
      </c>
      <c r="V864" s="795">
        <f t="shared" si="2592"/>
        <v>0</v>
      </c>
      <c r="W864" s="795">
        <f t="shared" si="2592"/>
        <v>0</v>
      </c>
      <c r="X864" s="795">
        <f t="shared" si="2592"/>
        <v>0</v>
      </c>
      <c r="Y864" s="795">
        <f t="shared" si="2592"/>
        <v>0</v>
      </c>
      <c r="Z864" s="795">
        <f t="shared" si="2592"/>
        <v>0</v>
      </c>
      <c r="AA864" s="795">
        <f t="shared" si="2592"/>
        <v>0</v>
      </c>
      <c r="AB864" s="795">
        <f t="shared" si="2592"/>
        <v>0</v>
      </c>
      <c r="AC864" s="795">
        <f t="shared" si="2592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93">SUM(AL500)</f>
        <v>0</v>
      </c>
      <c r="AM864" s="795">
        <f t="shared" si="2593"/>
        <v>0</v>
      </c>
      <c r="AN864" s="795">
        <f t="shared" si="2593"/>
        <v>0</v>
      </c>
      <c r="AO864" s="795">
        <f t="shared" si="2593"/>
        <v>0</v>
      </c>
      <c r="AP864" s="795">
        <f t="shared" si="2593"/>
        <v>0</v>
      </c>
      <c r="AQ864" s="795">
        <f t="shared" si="2593"/>
        <v>0</v>
      </c>
      <c r="AR864" s="795">
        <f t="shared" si="2593"/>
        <v>0</v>
      </c>
      <c r="AS864" s="795">
        <f t="shared" si="2593"/>
        <v>0</v>
      </c>
      <c r="AT864" s="795">
        <f t="shared" si="2593"/>
        <v>0</v>
      </c>
      <c r="AU864" s="795">
        <f t="shared" si="2593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94">SUM(BD500)</f>
        <v>2.4453414694894149E-2</v>
      </c>
      <c r="BE864" s="795">
        <f t="shared" si="2594"/>
        <v>5.5020183063511835E-2</v>
      </c>
      <c r="BF864" s="795">
        <f t="shared" si="2594"/>
        <v>3.6680122042341223E-2</v>
      </c>
      <c r="BG864" s="795">
        <f t="shared" si="2594"/>
        <v>6.2880209215442101E-2</v>
      </c>
      <c r="BH864" s="795">
        <f t="shared" si="2594"/>
        <v>4.0014678591644967E-2</v>
      </c>
      <c r="BI864" s="795">
        <f t="shared" si="2594"/>
        <v>4.4016146450809465E-2</v>
      </c>
      <c r="BJ864" s="795">
        <f t="shared" si="2594"/>
        <v>5.5020183063511835E-2</v>
      </c>
      <c r="BK864" s="795">
        <f t="shared" si="2594"/>
        <v>6.2880209215442101E-2</v>
      </c>
      <c r="BL864" s="795">
        <f t="shared" si="2594"/>
        <v>8.0029357183289934E-2</v>
      </c>
      <c r="BM864" s="795">
        <f t="shared" si="2594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64"/>
        <v>0</v>
      </c>
      <c r="CA864" s="611">
        <f t="shared" si="2565"/>
        <v>0</v>
      </c>
      <c r="CB864" s="611">
        <f t="shared" si="2566"/>
        <v>0</v>
      </c>
      <c r="CC864" s="679">
        <f t="shared" si="2567"/>
        <v>5.2423992607268211E-2</v>
      </c>
      <c r="CD864" s="1319">
        <f t="shared" si="2568"/>
        <v>0</v>
      </c>
      <c r="CE864" s="1320">
        <f t="shared" si="2568"/>
        <v>0</v>
      </c>
      <c r="CF864" s="1320">
        <f t="shared" si="2568"/>
        <v>0</v>
      </c>
      <c r="CG864" s="1320">
        <f t="shared" si="2568"/>
        <v>0</v>
      </c>
      <c r="CH864" s="1321">
        <f t="shared" si="2568"/>
        <v>0</v>
      </c>
      <c r="CI864" s="1321">
        <f t="shared" si="2568"/>
        <v>0</v>
      </c>
      <c r="CJ864" s="1320">
        <f t="shared" si="2568"/>
        <v>0</v>
      </c>
      <c r="CK864" s="1320">
        <f t="shared" si="2568"/>
        <v>0</v>
      </c>
      <c r="CL864" s="1320">
        <f t="shared" si="2568"/>
        <v>0</v>
      </c>
      <c r="CM864" s="1319">
        <f t="shared" si="2568"/>
        <v>0</v>
      </c>
      <c r="CN864" s="1325" t="str">
        <f t="shared" si="2569"/>
        <v/>
      </c>
      <c r="CO864" s="1326" t="str">
        <f t="shared" si="2569"/>
        <v/>
      </c>
      <c r="CP864" s="1326" t="str">
        <f t="shared" si="2569"/>
        <v/>
      </c>
      <c r="CQ864" s="1326">
        <f t="shared" si="2569"/>
        <v>2.4453414694894149E-2</v>
      </c>
      <c r="CR864" s="1326">
        <f t="shared" si="2569"/>
        <v>3.6680122042341223E-2</v>
      </c>
      <c r="CS864" s="1326">
        <f t="shared" si="2569"/>
        <v>4.0014678591644967E-2</v>
      </c>
      <c r="CT864" s="1327">
        <f t="shared" si="2569"/>
        <v>4.4016146450809465E-2</v>
      </c>
      <c r="CU864" s="1327">
        <f t="shared" si="2569"/>
        <v>5.5020183063511835E-2</v>
      </c>
      <c r="CV864" s="1327">
        <f t="shared" si="2569"/>
        <v>5.5020183063511835E-2</v>
      </c>
      <c r="CW864" s="1326">
        <f t="shared" si="2569"/>
        <v>6.2880209215442101E-2</v>
      </c>
      <c r="CX864" s="1326">
        <f t="shared" si="2569"/>
        <v>6.2880209215442101E-2</v>
      </c>
      <c r="CY864" s="1326">
        <f t="shared" si="2569"/>
        <v>6.2880209215442101E-2</v>
      </c>
      <c r="CZ864" s="1326">
        <f t="shared" si="2569"/>
        <v>8.0029357183289934E-2</v>
      </c>
      <c r="DA864" s="1326" t="str">
        <f t="shared" si="2569"/>
        <v/>
      </c>
      <c r="DB864" s="1325" t="str">
        <f t="shared" si="2569"/>
        <v/>
      </c>
      <c r="DC864" s="1381" t="str">
        <f t="shared" si="2570"/>
        <v/>
      </c>
      <c r="DD864" s="641">
        <f t="shared" si="2571"/>
        <v>10</v>
      </c>
      <c r="DE864" s="95">
        <f t="shared" si="2572"/>
        <v>10</v>
      </c>
      <c r="DF864" s="95">
        <f t="shared" si="2573"/>
        <v>10</v>
      </c>
      <c r="DG864" s="95">
        <f t="shared" si="2574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95">SUM(C506)</f>
        <v>0</v>
      </c>
      <c r="D865" s="795">
        <f t="shared" si="2595"/>
        <v>0</v>
      </c>
      <c r="E865" s="795">
        <f t="shared" si="2595"/>
        <v>0</v>
      </c>
      <c r="F865" s="795">
        <f t="shared" si="2595"/>
        <v>0</v>
      </c>
      <c r="G865" s="795">
        <f t="shared" si="2595"/>
        <v>0</v>
      </c>
      <c r="H865" s="795">
        <f t="shared" si="2595"/>
        <v>0</v>
      </c>
      <c r="I865" s="795">
        <f t="shared" si="2595"/>
        <v>0</v>
      </c>
      <c r="J865" s="795">
        <f t="shared" si="2595"/>
        <v>0</v>
      </c>
      <c r="K865" s="795">
        <f t="shared" si="2595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96">SUM(U506)</f>
        <v>0</v>
      </c>
      <c r="V865" s="795">
        <f t="shared" si="2596"/>
        <v>0</v>
      </c>
      <c r="W865" s="795">
        <f t="shared" si="2596"/>
        <v>0</v>
      </c>
      <c r="X865" s="795">
        <f t="shared" si="2596"/>
        <v>0</v>
      </c>
      <c r="Y865" s="795">
        <f t="shared" si="2596"/>
        <v>0</v>
      </c>
      <c r="Z865" s="795">
        <f t="shared" si="2596"/>
        <v>0</v>
      </c>
      <c r="AA865" s="795">
        <f t="shared" si="2596"/>
        <v>0</v>
      </c>
      <c r="AB865" s="795">
        <f t="shared" si="2596"/>
        <v>0</v>
      </c>
      <c r="AC865" s="795">
        <f t="shared" si="2596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97">SUM(AM506)</f>
        <v>0</v>
      </c>
      <c r="AN865" s="795">
        <f t="shared" si="2597"/>
        <v>0</v>
      </c>
      <c r="AO865" s="795">
        <f t="shared" si="2597"/>
        <v>0</v>
      </c>
      <c r="AP865" s="795">
        <f t="shared" si="2597"/>
        <v>0</v>
      </c>
      <c r="AQ865" s="795">
        <f t="shared" si="2597"/>
        <v>0</v>
      </c>
      <c r="AR865" s="795">
        <f t="shared" si="2597"/>
        <v>0</v>
      </c>
      <c r="AS865" s="795">
        <f t="shared" si="2597"/>
        <v>0</v>
      </c>
      <c r="AT865" s="795">
        <f t="shared" si="2597"/>
        <v>0</v>
      </c>
      <c r="AU865" s="795">
        <f t="shared" si="2597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98">SUM(BE506)</f>
        <v>0</v>
      </c>
      <c r="BF865" s="795">
        <f t="shared" si="2598"/>
        <v>0</v>
      </c>
      <c r="BG865" s="795">
        <f t="shared" si="2598"/>
        <v>0</v>
      </c>
      <c r="BH865" s="795">
        <f t="shared" si="2598"/>
        <v>0</v>
      </c>
      <c r="BI865" s="795">
        <f t="shared" si="2598"/>
        <v>0</v>
      </c>
      <c r="BJ865" s="795">
        <f t="shared" si="2598"/>
        <v>0</v>
      </c>
      <c r="BK865" s="795">
        <f t="shared" si="2598"/>
        <v>0</v>
      </c>
      <c r="BL865" s="795">
        <f t="shared" si="2598"/>
        <v>0</v>
      </c>
      <c r="BM865" s="795">
        <f t="shared" si="2598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64"/>
        <v>0</v>
      </c>
      <c r="CA865" s="611">
        <f t="shared" si="2565"/>
        <v>0</v>
      </c>
      <c r="CB865" s="611">
        <f t="shared" si="2566"/>
        <v>0</v>
      </c>
      <c r="CC865" s="679">
        <f t="shared" si="2567"/>
        <v>0</v>
      </c>
      <c r="CD865" s="1319">
        <f t="shared" si="2568"/>
        <v>0</v>
      </c>
      <c r="CE865" s="1320">
        <f t="shared" si="2568"/>
        <v>0</v>
      </c>
      <c r="CF865" s="1320">
        <f t="shared" si="2568"/>
        <v>0</v>
      </c>
      <c r="CG865" s="1320">
        <f t="shared" si="2568"/>
        <v>0</v>
      </c>
      <c r="CH865" s="1321">
        <f t="shared" si="2568"/>
        <v>0</v>
      </c>
      <c r="CI865" s="1321">
        <f t="shared" si="2568"/>
        <v>0</v>
      </c>
      <c r="CJ865" s="1320">
        <f t="shared" si="2568"/>
        <v>0</v>
      </c>
      <c r="CK865" s="1320">
        <f t="shared" si="2568"/>
        <v>0</v>
      </c>
      <c r="CL865" s="1320">
        <f t="shared" si="2568"/>
        <v>0</v>
      </c>
      <c r="CM865" s="1319">
        <f t="shared" si="2568"/>
        <v>0</v>
      </c>
      <c r="CN865" s="1325" t="str">
        <f t="shared" si="2569"/>
        <v/>
      </c>
      <c r="CO865" s="1326" t="str">
        <f t="shared" si="2569"/>
        <v/>
      </c>
      <c r="CP865" s="1326" t="str">
        <f t="shared" si="2569"/>
        <v/>
      </c>
      <c r="CQ865" s="1326">
        <f t="shared" si="2569"/>
        <v>0</v>
      </c>
      <c r="CR865" s="1326">
        <f t="shared" si="2569"/>
        <v>0</v>
      </c>
      <c r="CS865" s="1326">
        <f t="shared" si="2569"/>
        <v>0</v>
      </c>
      <c r="CT865" s="1327">
        <f t="shared" si="2569"/>
        <v>0</v>
      </c>
      <c r="CU865" s="1327">
        <f t="shared" si="2569"/>
        <v>0</v>
      </c>
      <c r="CV865" s="1327">
        <f t="shared" si="2569"/>
        <v>0</v>
      </c>
      <c r="CW865" s="1326">
        <f t="shared" si="2569"/>
        <v>0</v>
      </c>
      <c r="CX865" s="1326">
        <f t="shared" si="2569"/>
        <v>0</v>
      </c>
      <c r="CY865" s="1326">
        <f t="shared" si="2569"/>
        <v>0</v>
      </c>
      <c r="CZ865" s="1326">
        <f t="shared" si="2569"/>
        <v>0</v>
      </c>
      <c r="DA865" s="1326" t="str">
        <f t="shared" si="2569"/>
        <v/>
      </c>
      <c r="DB865" s="1325" t="str">
        <f t="shared" si="2569"/>
        <v/>
      </c>
      <c r="DC865" s="1381" t="str">
        <f t="shared" si="2570"/>
        <v/>
      </c>
      <c r="DD865" s="641">
        <f t="shared" si="2571"/>
        <v>10</v>
      </c>
      <c r="DE865" s="95">
        <f t="shared" si="2572"/>
        <v>10</v>
      </c>
      <c r="DF865" s="95">
        <f t="shared" si="2573"/>
        <v>10</v>
      </c>
      <c r="DG865" s="95">
        <f t="shared" si="2574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99">SUM(C512)</f>
        <v>9.0499235011563775E-2</v>
      </c>
      <c r="D866" s="795">
        <f t="shared" si="2599"/>
        <v>3.9593415317559152E-2</v>
      </c>
      <c r="E866" s="795">
        <f t="shared" si="2599"/>
        <v>6.3349464508094644E-2</v>
      </c>
      <c r="F866" s="795">
        <f t="shared" si="2599"/>
        <v>9.0499235011563775E-2</v>
      </c>
      <c r="G866" s="795">
        <f t="shared" si="2599"/>
        <v>7.9186830635118305E-2</v>
      </c>
      <c r="H866" s="795">
        <f t="shared" si="2599"/>
        <v>7.0388293897882939E-2</v>
      </c>
      <c r="I866" s="795">
        <f t="shared" si="2599"/>
        <v>6.3349464508094644E-2</v>
      </c>
      <c r="J866" s="795">
        <f t="shared" si="2599"/>
        <v>7.9186830635118305E-2</v>
      </c>
      <c r="K866" s="795">
        <f t="shared" si="2599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600">SUM(T512)</f>
        <v>7.9186830635118305E-2</v>
      </c>
      <c r="U866" s="795">
        <f t="shared" si="2600"/>
        <v>9.0499235011563775E-2</v>
      </c>
      <c r="V866" s="795">
        <f t="shared" si="2600"/>
        <v>7.0388293897882939E-2</v>
      </c>
      <c r="W866" s="795">
        <f t="shared" si="2600"/>
        <v>6.3349464508094644E-2</v>
      </c>
      <c r="X866" s="795">
        <f t="shared" si="2600"/>
        <v>7.9186830635118305E-2</v>
      </c>
      <c r="Y866" s="795">
        <f t="shared" si="2600"/>
        <v>6.3349464508094644E-2</v>
      </c>
      <c r="Z866" s="795">
        <f t="shared" si="2600"/>
        <v>7.0388293897882944E-3</v>
      </c>
      <c r="AA866" s="795">
        <f t="shared" si="2600"/>
        <v>6.3349464508094644E-2</v>
      </c>
      <c r="AB866" s="795">
        <f t="shared" si="2600"/>
        <v>7.9186830635118305E-2</v>
      </c>
      <c r="AC866" s="795">
        <f t="shared" si="2600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601">SUM(AL512)</f>
        <v>9.0499235011563775E-2</v>
      </c>
      <c r="AM866" s="795">
        <f t="shared" si="2601"/>
        <v>7.9186830635118305E-2</v>
      </c>
      <c r="AN866" s="795">
        <f t="shared" si="2601"/>
        <v>0.12669892901618929</v>
      </c>
      <c r="AO866" s="795">
        <f t="shared" si="2601"/>
        <v>6.3349464508094644E-2</v>
      </c>
      <c r="AP866" s="795">
        <f t="shared" si="2601"/>
        <v>6.3349464508094644E-2</v>
      </c>
      <c r="AQ866" s="795">
        <f t="shared" si="2601"/>
        <v>6.3349464508094644E-2</v>
      </c>
      <c r="AR866" s="795">
        <f t="shared" si="2601"/>
        <v>9.0499235011563775E-2</v>
      </c>
      <c r="AS866" s="795">
        <f t="shared" si="2601"/>
        <v>6.3349464508094644E-2</v>
      </c>
      <c r="AT866" s="795">
        <f t="shared" si="2601"/>
        <v>6.3349464508094644E-2</v>
      </c>
      <c r="AU866" s="795">
        <f t="shared" si="2601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602">SUM(BD512)</f>
        <v>5.2791220423412201E-2</v>
      </c>
      <c r="BE866" s="795">
        <f t="shared" si="2602"/>
        <v>7.9186830635118305E-2</v>
      </c>
      <c r="BF866" s="795">
        <f t="shared" si="2602"/>
        <v>5.2791220423412201E-2</v>
      </c>
      <c r="BG866" s="795">
        <f t="shared" si="2602"/>
        <v>9.0499235011563775E-2</v>
      </c>
      <c r="BH866" s="795">
        <f t="shared" si="2602"/>
        <v>5.7590422280086047E-2</v>
      </c>
      <c r="BI866" s="795">
        <f t="shared" si="2602"/>
        <v>5.2791220423412201E-2</v>
      </c>
      <c r="BJ866" s="795">
        <f t="shared" si="2602"/>
        <v>7.9186830635118305E-2</v>
      </c>
      <c r="BK866" s="795">
        <f t="shared" si="2602"/>
        <v>9.0499235011563775E-2</v>
      </c>
      <c r="BL866" s="795">
        <f t="shared" si="2602"/>
        <v>5.7590422280086047E-2</v>
      </c>
      <c r="BM866" s="795">
        <f t="shared" si="2602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64"/>
        <v>7.4976102339441381E-2</v>
      </c>
      <c r="CA866" s="611">
        <f t="shared" si="2565"/>
        <v>7.1231487001868002E-2</v>
      </c>
      <c r="CB866" s="611">
        <f t="shared" si="2566"/>
        <v>7.2116577899839884E-2</v>
      </c>
      <c r="CC866" s="679">
        <f t="shared" si="2567"/>
        <v>7.0016927087545075E-2</v>
      </c>
      <c r="CD866" s="1319">
        <f t="shared" si="2568"/>
        <v>6.3349464508094644E-2</v>
      </c>
      <c r="CE866" s="1320">
        <f t="shared" si="2568"/>
        <v>6.3349464508094644E-2</v>
      </c>
      <c r="CF866" s="1320">
        <f t="shared" si="2568"/>
        <v>6.3349464508094644E-2</v>
      </c>
      <c r="CG866" s="1320">
        <f t="shared" si="2568"/>
        <v>6.3349464508094644E-2</v>
      </c>
      <c r="CH866" s="1321">
        <f t="shared" si="2568"/>
        <v>6.3349464508094644E-2</v>
      </c>
      <c r="CI866" s="1321">
        <f t="shared" si="2568"/>
        <v>6.3349464508094644E-2</v>
      </c>
      <c r="CJ866" s="1320">
        <f t="shared" si="2568"/>
        <v>7.9186830635118305E-2</v>
      </c>
      <c r="CK866" s="1320">
        <f t="shared" si="2568"/>
        <v>9.0499235011563775E-2</v>
      </c>
      <c r="CL866" s="1320">
        <f t="shared" si="2568"/>
        <v>9.0499235011563775E-2</v>
      </c>
      <c r="CM866" s="1319">
        <f t="shared" si="2568"/>
        <v>0.12669892901618929</v>
      </c>
      <c r="CN866" s="1325" t="str">
        <f t="shared" si="2569"/>
        <v/>
      </c>
      <c r="CO866" s="1326" t="str">
        <f t="shared" si="2569"/>
        <v/>
      </c>
      <c r="CP866" s="1326" t="str">
        <f t="shared" si="2569"/>
        <v/>
      </c>
      <c r="CQ866" s="1326">
        <f t="shared" si="2569"/>
        <v>5.2791220423412201E-2</v>
      </c>
      <c r="CR866" s="1326">
        <f t="shared" si="2569"/>
        <v>5.2791220423412201E-2</v>
      </c>
      <c r="CS866" s="1326">
        <f t="shared" si="2569"/>
        <v>5.2791220423412201E-2</v>
      </c>
      <c r="CT866" s="1327">
        <f t="shared" si="2569"/>
        <v>5.7590422280086047E-2</v>
      </c>
      <c r="CU866" s="1327">
        <f t="shared" si="2569"/>
        <v>5.7590422280086047E-2</v>
      </c>
      <c r="CV866" s="1327">
        <f t="shared" si="2569"/>
        <v>7.9186830635118305E-2</v>
      </c>
      <c r="CW866" s="1326">
        <f t="shared" si="2569"/>
        <v>7.9186830635118305E-2</v>
      </c>
      <c r="CX866" s="1326">
        <f t="shared" si="2569"/>
        <v>9.0499235011563775E-2</v>
      </c>
      <c r="CY866" s="1326">
        <f t="shared" si="2569"/>
        <v>9.0499235011563775E-2</v>
      </c>
      <c r="CZ866" s="1326">
        <f t="shared" si="2569"/>
        <v>9.0499235011563775E-2</v>
      </c>
      <c r="DA866" s="1326" t="str">
        <f t="shared" si="2569"/>
        <v/>
      </c>
      <c r="DB866" s="1325" t="str">
        <f t="shared" si="2569"/>
        <v/>
      </c>
      <c r="DC866" s="1381" t="str">
        <f t="shared" si="2570"/>
        <v/>
      </c>
      <c r="DD866" s="641">
        <f t="shared" si="2571"/>
        <v>10</v>
      </c>
      <c r="DE866" s="95">
        <f t="shared" si="2572"/>
        <v>10</v>
      </c>
      <c r="DF866" s="95">
        <f t="shared" si="2573"/>
        <v>10</v>
      </c>
      <c r="DG866" s="95">
        <f t="shared" si="2574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603">SUM(C518)</f>
        <v>0.10055470556840419</v>
      </c>
      <c r="D867" s="795">
        <f t="shared" si="2603"/>
        <v>4.3992683686176835E-2</v>
      </c>
      <c r="E867" s="795">
        <f t="shared" si="2603"/>
        <v>7.0388293897882939E-2</v>
      </c>
      <c r="F867" s="795">
        <f t="shared" si="2603"/>
        <v>0.10055470556840419</v>
      </c>
      <c r="G867" s="795">
        <f t="shared" si="2603"/>
        <v>8.7985367372353671E-2</v>
      </c>
      <c r="H867" s="795">
        <f t="shared" si="2603"/>
        <v>7.8209215442092153E-2</v>
      </c>
      <c r="I867" s="795">
        <f t="shared" si="2603"/>
        <v>5.6310635118306342E-2</v>
      </c>
      <c r="J867" s="795">
        <f t="shared" si="2603"/>
        <v>8.7985367372353671E-2</v>
      </c>
      <c r="K867" s="795">
        <f t="shared" si="2603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604">SUM(U518)</f>
        <v>0.10055470556840419</v>
      </c>
      <c r="V867" s="795">
        <f t="shared" si="2604"/>
        <v>7.8209215442092153E-2</v>
      </c>
      <c r="W867" s="795">
        <f t="shared" si="2604"/>
        <v>7.0388293897882939E-2</v>
      </c>
      <c r="X867" s="795">
        <f t="shared" si="2604"/>
        <v>8.7985367372353671E-2</v>
      </c>
      <c r="Y867" s="795">
        <f t="shared" si="2604"/>
        <v>7.0388293897882939E-2</v>
      </c>
      <c r="Z867" s="795">
        <f t="shared" si="2604"/>
        <v>7.8209215442092153E-2</v>
      </c>
      <c r="AA867" s="795">
        <f t="shared" si="2604"/>
        <v>7.0388293897882939E-2</v>
      </c>
      <c r="AB867" s="795">
        <f t="shared" si="2604"/>
        <v>8.7985367372353671E-2</v>
      </c>
      <c r="AC867" s="795">
        <f t="shared" si="2604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605">SUM(AM518)</f>
        <v>8.7985367372353671E-2</v>
      </c>
      <c r="AN867" s="795">
        <f t="shared" si="2605"/>
        <v>0.14077658779576588</v>
      </c>
      <c r="AO867" s="795">
        <f t="shared" si="2605"/>
        <v>7.0388293897882939E-2</v>
      </c>
      <c r="AP867" s="795">
        <f t="shared" si="2605"/>
        <v>7.0388293897882939E-2</v>
      </c>
      <c r="AQ867" s="795">
        <f t="shared" si="2605"/>
        <v>0.10558244084682439</v>
      </c>
      <c r="AR867" s="795">
        <f t="shared" si="2605"/>
        <v>0.10055470556840419</v>
      </c>
      <c r="AS867" s="795">
        <f t="shared" si="2605"/>
        <v>7.0388293897882939E-2</v>
      </c>
      <c r="AT867" s="795">
        <f t="shared" si="2605"/>
        <v>7.0388293897882939E-2</v>
      </c>
      <c r="AU867" s="795">
        <f t="shared" si="2605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606">SUM(BE518)</f>
        <v>8.7985367372353671E-2</v>
      </c>
      <c r="BF867" s="795">
        <f t="shared" si="2606"/>
        <v>5.8656911581569111E-2</v>
      </c>
      <c r="BG867" s="795">
        <f t="shared" si="2606"/>
        <v>0.10055470556840419</v>
      </c>
      <c r="BH867" s="795">
        <f t="shared" si="2606"/>
        <v>6.3989358088984483E-2</v>
      </c>
      <c r="BI867" s="795">
        <f t="shared" si="2606"/>
        <v>5.8656911581569104E-2</v>
      </c>
      <c r="BJ867" s="795">
        <f t="shared" si="2606"/>
        <v>8.7985367372353671E-2</v>
      </c>
      <c r="BK867" s="795">
        <f t="shared" si="2606"/>
        <v>0.10055470556840419</v>
      </c>
      <c r="BL867" s="795">
        <f t="shared" si="2606"/>
        <v>6.3989358088984483E-2</v>
      </c>
      <c r="BM867" s="795">
        <f t="shared" si="2606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64"/>
        <v>8.154707302971001E-2</v>
      </c>
      <c r="CA867" s="611">
        <f t="shared" si="2565"/>
        <v>7.9920042029887908E-2</v>
      </c>
      <c r="CB867" s="611">
        <f t="shared" si="2566"/>
        <v>8.4528799368439766E-2</v>
      </c>
      <c r="CC867" s="679">
        <f t="shared" si="2567"/>
        <v>7.7796585652827849E-2</v>
      </c>
      <c r="CD867" s="1319">
        <f t="shared" si="2568"/>
        <v>7.0388293897882939E-2</v>
      </c>
      <c r="CE867" s="1320">
        <f t="shared" si="2568"/>
        <v>7.0388293897882939E-2</v>
      </c>
      <c r="CF867" s="1320">
        <f t="shared" si="2568"/>
        <v>7.0388293897882939E-2</v>
      </c>
      <c r="CG867" s="1320">
        <f t="shared" si="2568"/>
        <v>7.0388293897882939E-2</v>
      </c>
      <c r="CH867" s="1321">
        <f t="shared" si="2568"/>
        <v>7.0388293897882939E-2</v>
      </c>
      <c r="CI867" s="1321">
        <f t="shared" si="2568"/>
        <v>8.7985367372353671E-2</v>
      </c>
      <c r="CJ867" s="1320">
        <f t="shared" si="2568"/>
        <v>0.10055470556840419</v>
      </c>
      <c r="CK867" s="1320">
        <f t="shared" si="2568"/>
        <v>0.10055470556840419</v>
      </c>
      <c r="CL867" s="1320">
        <f t="shared" si="2568"/>
        <v>0.10558244084682439</v>
      </c>
      <c r="CM867" s="1319">
        <f t="shared" si="2568"/>
        <v>0.14077658779576588</v>
      </c>
      <c r="CN867" s="1325" t="str">
        <f t="shared" si="2569"/>
        <v/>
      </c>
      <c r="CO867" s="1326" t="str">
        <f t="shared" si="2569"/>
        <v/>
      </c>
      <c r="CP867" s="1326" t="str">
        <f t="shared" si="2569"/>
        <v/>
      </c>
      <c r="CQ867" s="1326">
        <f t="shared" si="2569"/>
        <v>5.8656911581569104E-2</v>
      </c>
      <c r="CR867" s="1326">
        <f t="shared" si="2569"/>
        <v>5.8656911581569111E-2</v>
      </c>
      <c r="CS867" s="1326">
        <f t="shared" si="2569"/>
        <v>5.8656911581569111E-2</v>
      </c>
      <c r="CT867" s="1327">
        <f t="shared" si="2569"/>
        <v>6.3989358088984483E-2</v>
      </c>
      <c r="CU867" s="1327">
        <f t="shared" si="2569"/>
        <v>6.3989358088984483E-2</v>
      </c>
      <c r="CV867" s="1327">
        <f t="shared" si="2569"/>
        <v>8.7985367372353671E-2</v>
      </c>
      <c r="CW867" s="1326">
        <f t="shared" si="2569"/>
        <v>8.7985367372353671E-2</v>
      </c>
      <c r="CX867" s="1326">
        <f t="shared" si="2569"/>
        <v>0.10055470556840419</v>
      </c>
      <c r="CY867" s="1326">
        <f t="shared" si="2569"/>
        <v>0.10055470556840419</v>
      </c>
      <c r="CZ867" s="1326">
        <f t="shared" si="2569"/>
        <v>0.10055470556840419</v>
      </c>
      <c r="DA867" s="1326" t="str">
        <f t="shared" si="2569"/>
        <v/>
      </c>
      <c r="DB867" s="1325" t="str">
        <f t="shared" si="2569"/>
        <v/>
      </c>
      <c r="DC867" s="1381" t="str">
        <f t="shared" si="2570"/>
        <v/>
      </c>
      <c r="DD867" s="641">
        <f t="shared" si="2571"/>
        <v>10</v>
      </c>
      <c r="DE867" s="95">
        <f t="shared" si="2572"/>
        <v>10</v>
      </c>
      <c r="DF867" s="95">
        <f t="shared" si="2573"/>
        <v>10</v>
      </c>
      <c r="DG867" s="95">
        <f t="shared" si="2574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607">SUM(C524)</f>
        <v>0</v>
      </c>
      <c r="D868" s="795">
        <f t="shared" si="2607"/>
        <v>0</v>
      </c>
      <c r="E868" s="795">
        <f t="shared" si="2607"/>
        <v>0</v>
      </c>
      <c r="F868" s="795">
        <f t="shared" si="2607"/>
        <v>0</v>
      </c>
      <c r="G868" s="795">
        <f t="shared" si="2607"/>
        <v>0</v>
      </c>
      <c r="H868" s="795">
        <f t="shared" si="2607"/>
        <v>0</v>
      </c>
      <c r="I868" s="795">
        <f t="shared" si="2607"/>
        <v>0</v>
      </c>
      <c r="J868" s="795">
        <f t="shared" si="2607"/>
        <v>0</v>
      </c>
      <c r="K868" s="795">
        <f t="shared" si="2607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608">SUM(T524)</f>
        <v>0</v>
      </c>
      <c r="U868" s="795">
        <f t="shared" si="2608"/>
        <v>0</v>
      </c>
      <c r="V868" s="795">
        <f t="shared" si="2608"/>
        <v>0</v>
      </c>
      <c r="W868" s="795">
        <f t="shared" si="2608"/>
        <v>4.004311830635118E-3</v>
      </c>
      <c r="X868" s="795">
        <f t="shared" si="2608"/>
        <v>0</v>
      </c>
      <c r="Y868" s="795">
        <f t="shared" si="2608"/>
        <v>0</v>
      </c>
      <c r="Z868" s="795">
        <f t="shared" si="2608"/>
        <v>0</v>
      </c>
      <c r="AA868" s="795">
        <f t="shared" si="2608"/>
        <v>0</v>
      </c>
      <c r="AB868" s="795">
        <f t="shared" si="2608"/>
        <v>0</v>
      </c>
      <c r="AC868" s="795">
        <f t="shared" si="2608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609">SUM(AL524)</f>
        <v>0</v>
      </c>
      <c r="AM868" s="795">
        <f t="shared" si="2609"/>
        <v>0</v>
      </c>
      <c r="AN868" s="795">
        <f t="shared" si="2609"/>
        <v>0</v>
      </c>
      <c r="AO868" s="795">
        <f t="shared" si="2609"/>
        <v>0</v>
      </c>
      <c r="AP868" s="795">
        <f t="shared" si="2609"/>
        <v>0</v>
      </c>
      <c r="AQ868" s="795">
        <f t="shared" si="2609"/>
        <v>0</v>
      </c>
      <c r="AR868" s="795">
        <f t="shared" si="2609"/>
        <v>0</v>
      </c>
      <c r="AS868" s="795">
        <f t="shared" si="2609"/>
        <v>0</v>
      </c>
      <c r="AT868" s="795">
        <f t="shared" si="2609"/>
        <v>0</v>
      </c>
      <c r="AU868" s="795">
        <f t="shared" si="2609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610">SUM(BD524)</f>
        <v>0</v>
      </c>
      <c r="BE868" s="795">
        <f t="shared" si="2610"/>
        <v>0</v>
      </c>
      <c r="BF868" s="795">
        <f t="shared" si="2610"/>
        <v>0</v>
      </c>
      <c r="BG868" s="795">
        <f t="shared" si="2610"/>
        <v>0</v>
      </c>
      <c r="BH868" s="795">
        <f t="shared" si="2610"/>
        <v>0</v>
      </c>
      <c r="BI868" s="795">
        <f t="shared" si="2610"/>
        <v>0</v>
      </c>
      <c r="BJ868" s="795">
        <f t="shared" si="2610"/>
        <v>0</v>
      </c>
      <c r="BK868" s="795">
        <f t="shared" si="2610"/>
        <v>0</v>
      </c>
      <c r="BL868" s="795">
        <f t="shared" si="2610"/>
        <v>0</v>
      </c>
      <c r="BM868" s="795">
        <f t="shared" si="2610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64"/>
        <v>0</v>
      </c>
      <c r="CA868" s="611">
        <f t="shared" si="2565"/>
        <v>0</v>
      </c>
      <c r="CB868" s="611">
        <f t="shared" si="2566"/>
        <v>0</v>
      </c>
      <c r="CC868" s="679">
        <f t="shared" si="2567"/>
        <v>0</v>
      </c>
      <c r="CD868" s="1319">
        <f t="shared" si="2568"/>
        <v>0</v>
      </c>
      <c r="CE868" s="1320">
        <f t="shared" si="2568"/>
        <v>0</v>
      </c>
      <c r="CF868" s="1320">
        <f t="shared" si="2568"/>
        <v>0</v>
      </c>
      <c r="CG868" s="1320">
        <f t="shared" si="2568"/>
        <v>0</v>
      </c>
      <c r="CH868" s="1321">
        <f t="shared" si="2568"/>
        <v>0</v>
      </c>
      <c r="CI868" s="1321">
        <f t="shared" si="2568"/>
        <v>0</v>
      </c>
      <c r="CJ868" s="1320">
        <f t="shared" si="2568"/>
        <v>0</v>
      </c>
      <c r="CK868" s="1320">
        <f t="shared" si="2568"/>
        <v>0</v>
      </c>
      <c r="CL868" s="1320">
        <f t="shared" si="2568"/>
        <v>0</v>
      </c>
      <c r="CM868" s="1319">
        <f t="shared" si="2568"/>
        <v>0</v>
      </c>
      <c r="CN868" s="1325" t="str">
        <f t="shared" si="2569"/>
        <v/>
      </c>
      <c r="CO868" s="1326" t="str">
        <f t="shared" si="2569"/>
        <v/>
      </c>
      <c r="CP868" s="1326" t="str">
        <f t="shared" si="2569"/>
        <v/>
      </c>
      <c r="CQ868" s="1326">
        <f t="shared" si="2569"/>
        <v>0</v>
      </c>
      <c r="CR868" s="1326">
        <f t="shared" si="2569"/>
        <v>0</v>
      </c>
      <c r="CS868" s="1326">
        <f t="shared" si="2569"/>
        <v>0</v>
      </c>
      <c r="CT868" s="1327">
        <f t="shared" si="2569"/>
        <v>0</v>
      </c>
      <c r="CU868" s="1327">
        <f t="shared" si="2569"/>
        <v>0</v>
      </c>
      <c r="CV868" s="1327">
        <f t="shared" si="2569"/>
        <v>0</v>
      </c>
      <c r="CW868" s="1326">
        <f t="shared" si="2569"/>
        <v>0</v>
      </c>
      <c r="CX868" s="1326">
        <f t="shared" si="2569"/>
        <v>0</v>
      </c>
      <c r="CY868" s="1326">
        <f t="shared" si="2569"/>
        <v>0</v>
      </c>
      <c r="CZ868" s="1326">
        <f t="shared" si="2569"/>
        <v>0</v>
      </c>
      <c r="DA868" s="1326" t="str">
        <f t="shared" si="2569"/>
        <v/>
      </c>
      <c r="DB868" s="1325" t="str">
        <f t="shared" si="2569"/>
        <v/>
      </c>
      <c r="DC868" s="1381" t="str">
        <f t="shared" si="2570"/>
        <v/>
      </c>
      <c r="DD868" s="641">
        <f t="shared" si="2571"/>
        <v>10</v>
      </c>
      <c r="DE868" s="95">
        <f t="shared" si="2572"/>
        <v>10</v>
      </c>
      <c r="DF868" s="95">
        <f t="shared" si="2573"/>
        <v>10</v>
      </c>
      <c r="DG868" s="95">
        <f t="shared" si="2574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K869" si="2611">SUM(C530)</f>
        <v>0</v>
      </c>
      <c r="D869" s="1109">
        <f t="shared" si="2611"/>
        <v>0</v>
      </c>
      <c r="E869" s="1109">
        <f t="shared" si="2611"/>
        <v>0</v>
      </c>
      <c r="F869" s="1109">
        <f t="shared" si="2611"/>
        <v>0</v>
      </c>
      <c r="G869" s="1109">
        <f t="shared" si="2611"/>
        <v>0</v>
      </c>
      <c r="H869" s="1109">
        <f t="shared" si="2611"/>
        <v>0</v>
      </c>
      <c r="I869" s="1109">
        <f t="shared" si="2611"/>
        <v>0</v>
      </c>
      <c r="J869" s="1109">
        <f t="shared" si="2611"/>
        <v>0</v>
      </c>
      <c r="K869" s="1109">
        <f t="shared" si="2611"/>
        <v>0</v>
      </c>
      <c r="L869" s="1109"/>
      <c r="M869" s="1109"/>
      <c r="N869" s="1109"/>
      <c r="O869" s="1109"/>
      <c r="P869" s="1109"/>
      <c r="Q869" s="1109"/>
      <c r="R869" s="1109"/>
      <c r="S869" s="794"/>
      <c r="T869" s="1109">
        <f>SUM(T530)</f>
        <v>0</v>
      </c>
      <c r="U869" s="1109">
        <f t="shared" ref="U869:AC869" si="2612">SUM(U530)</f>
        <v>0</v>
      </c>
      <c r="V869" s="1109">
        <f t="shared" si="2612"/>
        <v>0</v>
      </c>
      <c r="W869" s="1109">
        <f t="shared" si="2612"/>
        <v>8.8970803486924047E-3</v>
      </c>
      <c r="X869" s="1109">
        <f t="shared" si="2612"/>
        <v>0</v>
      </c>
      <c r="Y869" s="1109">
        <f t="shared" si="2612"/>
        <v>8.8970803486924047E-3</v>
      </c>
      <c r="Z869" s="1109">
        <f t="shared" si="2612"/>
        <v>9.8856448318804489E-3</v>
      </c>
      <c r="AA869" s="1109">
        <f t="shared" si="2612"/>
        <v>0</v>
      </c>
      <c r="AB869" s="1109">
        <f t="shared" si="2612"/>
        <v>1.1121350435865504E-2</v>
      </c>
      <c r="AC869" s="1109">
        <f t="shared" si="2612"/>
        <v>9.8856448318804489E-3</v>
      </c>
      <c r="AD869" s="1109"/>
      <c r="AE869" s="1109"/>
      <c r="AF869" s="1109"/>
      <c r="AG869" s="1109"/>
      <c r="AH869" s="1109"/>
      <c r="AI869" s="1109"/>
      <c r="AJ869" s="1109"/>
      <c r="AK869" s="794"/>
      <c r="AL869" s="1109">
        <f>SUM(AL530)</f>
        <v>0</v>
      </c>
      <c r="AM869" s="1109">
        <f t="shared" ref="AM869:AU869" si="2613">SUM(AM530)</f>
        <v>0</v>
      </c>
      <c r="AN869" s="1109">
        <f t="shared" si="2613"/>
        <v>0</v>
      </c>
      <c r="AO869" s="1109">
        <f t="shared" si="2613"/>
        <v>8.8970803486924047E-3</v>
      </c>
      <c r="AP869" s="1109">
        <f t="shared" si="2613"/>
        <v>8.8970803486924047E-3</v>
      </c>
      <c r="AQ869" s="1109">
        <f t="shared" si="2613"/>
        <v>1.7794160697384809E-2</v>
      </c>
      <c r="AR869" s="1109">
        <f t="shared" si="2613"/>
        <v>1.271011478384629E-2</v>
      </c>
      <c r="AS869" s="1109">
        <f t="shared" si="2613"/>
        <v>8.8970803486924047E-3</v>
      </c>
      <c r="AT869" s="1109">
        <f t="shared" si="2613"/>
        <v>1.7794160697384809E-2</v>
      </c>
      <c r="AU869" s="1109">
        <f t="shared" si="2613"/>
        <v>8.8970803486924047E-3</v>
      </c>
      <c r="AV869" s="1109"/>
      <c r="AW869" s="1109"/>
      <c r="AX869" s="1109"/>
      <c r="AY869" s="1109"/>
      <c r="AZ869" s="1109"/>
      <c r="BA869" s="1109"/>
      <c r="BB869" s="1109"/>
      <c r="BC869" s="794"/>
      <c r="BD869" s="1109">
        <f>SUM(BD530)</f>
        <v>7.4142336239103367E-3</v>
      </c>
      <c r="BE869" s="1109">
        <f t="shared" ref="BE869:BM869" si="2614">SUM(BE530)</f>
        <v>1.1121350435865504E-2</v>
      </c>
      <c r="BF869" s="1109">
        <f t="shared" si="2614"/>
        <v>7.4142336239103367E-3</v>
      </c>
      <c r="BG869" s="1109">
        <f t="shared" si="2614"/>
        <v>1.271011478384629E-2</v>
      </c>
      <c r="BH869" s="1109">
        <f t="shared" si="2614"/>
        <v>8.0882548624476389E-3</v>
      </c>
      <c r="BI869" s="1109">
        <f t="shared" si="2614"/>
        <v>8.8970803486924047E-3</v>
      </c>
      <c r="BJ869" s="1109">
        <f t="shared" si="2614"/>
        <v>1.1121350435865504E-2</v>
      </c>
      <c r="BK869" s="1109">
        <f t="shared" si="2614"/>
        <v>1.271011478384629E-2</v>
      </c>
      <c r="BL869" s="1109">
        <f t="shared" si="2614"/>
        <v>8.0882548624476389E-3</v>
      </c>
      <c r="BM869" s="1109">
        <f t="shared" si="2614"/>
        <v>1.271011478384629E-2</v>
      </c>
      <c r="BN869" s="1109"/>
      <c r="BO869" s="1109"/>
      <c r="BP869" s="1109"/>
      <c r="BQ869" s="1109"/>
      <c r="BR869" s="1109"/>
      <c r="BS869" s="1109"/>
      <c r="BT869" s="1109"/>
      <c r="BU869" s="794"/>
      <c r="BV869" s="1109">
        <f>SUM(BV530)</f>
        <v>0</v>
      </c>
      <c r="BW869" s="1109">
        <f>SUM(BW530)</f>
        <v>1.1069862702366127E-2</v>
      </c>
      <c r="BX869" s="1109">
        <f>SUM(BX530)</f>
        <v>1.1069862702366127E-2</v>
      </c>
      <c r="BY869" s="1109">
        <f>SUM(BY530)</f>
        <v>9.839877957658779E-3</v>
      </c>
      <c r="BZ869" s="611">
        <f t="shared" si="2564"/>
        <v>0</v>
      </c>
      <c r="CA869" s="611">
        <f t="shared" si="2565"/>
        <v>4.695681295143213E-3</v>
      </c>
      <c r="CB869" s="611">
        <f t="shared" si="2566"/>
        <v>8.26157460950009E-3</v>
      </c>
      <c r="CC869" s="679">
        <f t="shared" si="2567"/>
        <v>1.00188442671152E-2</v>
      </c>
      <c r="CD869" s="1319">
        <f t="shared" si="2568"/>
        <v>0</v>
      </c>
      <c r="CE869" s="1320">
        <f t="shared" si="2568"/>
        <v>0</v>
      </c>
      <c r="CF869" s="1320">
        <f t="shared" si="2568"/>
        <v>0</v>
      </c>
      <c r="CG869" s="1320">
        <f t="shared" si="2568"/>
        <v>8.8970803486924047E-3</v>
      </c>
      <c r="CH869" s="1321">
        <f t="shared" si="2568"/>
        <v>8.8970803486924047E-3</v>
      </c>
      <c r="CI869" s="1321">
        <f t="shared" si="2568"/>
        <v>8.8970803486924047E-3</v>
      </c>
      <c r="CJ869" s="1320">
        <f t="shared" si="2568"/>
        <v>8.8970803486924047E-3</v>
      </c>
      <c r="CK869" s="1320">
        <f t="shared" si="2568"/>
        <v>1.271011478384629E-2</v>
      </c>
      <c r="CL869" s="1320">
        <f t="shared" si="2568"/>
        <v>1.7794160697384809E-2</v>
      </c>
      <c r="CM869" s="1319">
        <f t="shared" si="2568"/>
        <v>1.7794160697384809E-2</v>
      </c>
      <c r="CN869" s="1325" t="str">
        <f t="shared" si="2569"/>
        <v/>
      </c>
      <c r="CO869" s="1326" t="str">
        <f t="shared" si="2569"/>
        <v/>
      </c>
      <c r="CP869" s="1326" t="str">
        <f t="shared" si="2569"/>
        <v/>
      </c>
      <c r="CQ869" s="1326">
        <f t="shared" si="2569"/>
        <v>7.4142336239103367E-3</v>
      </c>
      <c r="CR869" s="1326">
        <f t="shared" si="2569"/>
        <v>7.4142336239103367E-3</v>
      </c>
      <c r="CS869" s="1326">
        <f t="shared" si="2569"/>
        <v>8.0882548624476389E-3</v>
      </c>
      <c r="CT869" s="1327">
        <f t="shared" si="2569"/>
        <v>8.0882548624476389E-3</v>
      </c>
      <c r="CU869" s="1327">
        <f t="shared" si="2569"/>
        <v>8.8970803486924047E-3</v>
      </c>
      <c r="CV869" s="1327">
        <f t="shared" si="2569"/>
        <v>1.1121350435865504E-2</v>
      </c>
      <c r="CW869" s="1326">
        <f t="shared" si="2569"/>
        <v>1.1121350435865504E-2</v>
      </c>
      <c r="CX869" s="1326">
        <f t="shared" si="2569"/>
        <v>1.271011478384629E-2</v>
      </c>
      <c r="CY869" s="1326">
        <f t="shared" si="2569"/>
        <v>1.271011478384629E-2</v>
      </c>
      <c r="CZ869" s="1326">
        <f t="shared" si="2569"/>
        <v>1.271011478384629E-2</v>
      </c>
      <c r="DA869" s="1326" t="str">
        <f t="shared" si="2569"/>
        <v/>
      </c>
      <c r="DB869" s="1325" t="str">
        <f t="shared" si="2569"/>
        <v/>
      </c>
      <c r="DC869" s="1381" t="str">
        <f t="shared" si="2570"/>
        <v/>
      </c>
      <c r="DD869" s="641">
        <f t="shared" si="2571"/>
        <v>10</v>
      </c>
      <c r="DE869" s="95">
        <f t="shared" si="2572"/>
        <v>10</v>
      </c>
      <c r="DF869" s="95">
        <f t="shared" si="2573"/>
        <v>10</v>
      </c>
      <c r="DG869" s="95">
        <f t="shared" si="2574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09">
        <f>SUM(B536)</f>
        <v>0</v>
      </c>
      <c r="C870" s="1109">
        <f t="shared" ref="C870:K870" si="2615">SUM(C536)</f>
        <v>0</v>
      </c>
      <c r="D870" s="1109">
        <f t="shared" si="2615"/>
        <v>0</v>
      </c>
      <c r="E870" s="1109">
        <f t="shared" si="2615"/>
        <v>0</v>
      </c>
      <c r="F870" s="1109">
        <f t="shared" si="2615"/>
        <v>0</v>
      </c>
      <c r="G870" s="1109">
        <f t="shared" si="2615"/>
        <v>0</v>
      </c>
      <c r="H870" s="1109">
        <f t="shared" si="2615"/>
        <v>0</v>
      </c>
      <c r="I870" s="1109">
        <f t="shared" si="2615"/>
        <v>1.1209987546699874E-2</v>
      </c>
      <c r="J870" s="1109">
        <f t="shared" si="2615"/>
        <v>0</v>
      </c>
      <c r="K870" s="1109">
        <f t="shared" si="2615"/>
        <v>0</v>
      </c>
      <c r="L870" s="1109"/>
      <c r="M870" s="1109"/>
      <c r="N870" s="1109"/>
      <c r="O870" s="1109"/>
      <c r="P870" s="1109"/>
      <c r="Q870" s="1109"/>
      <c r="R870" s="1109"/>
      <c r="S870" s="794"/>
      <c r="T870" s="1109">
        <f>SUM(T536)</f>
        <v>2.1018726650062266E-2</v>
      </c>
      <c r="U870" s="1109">
        <f t="shared" ref="U870:AC870" si="2616">SUM(U536)</f>
        <v>0</v>
      </c>
      <c r="V870" s="1109">
        <f t="shared" si="2616"/>
        <v>7.4733250311332482E-3</v>
      </c>
      <c r="W870" s="1109">
        <f t="shared" si="2616"/>
        <v>1.6814981320049813E-2</v>
      </c>
      <c r="X870" s="1109">
        <f t="shared" si="2616"/>
        <v>8.4074906600249064E-3</v>
      </c>
      <c r="Y870" s="1109">
        <f t="shared" si="2616"/>
        <v>0</v>
      </c>
      <c r="Z870" s="1109">
        <f t="shared" si="2616"/>
        <v>1.8683312577833126E-2</v>
      </c>
      <c r="AA870" s="1109">
        <f t="shared" si="2616"/>
        <v>6.7259925280199247E-3</v>
      </c>
      <c r="AB870" s="1109">
        <f t="shared" si="2616"/>
        <v>2.1018726650062266E-2</v>
      </c>
      <c r="AC870" s="1109">
        <f t="shared" si="2616"/>
        <v>1.8683312577833126E-2</v>
      </c>
      <c r="AD870" s="1109"/>
      <c r="AE870" s="1109"/>
      <c r="AF870" s="1109"/>
      <c r="AG870" s="1109"/>
      <c r="AH870" s="1109"/>
      <c r="AI870" s="1109"/>
      <c r="AJ870" s="1109"/>
      <c r="AK870" s="794"/>
      <c r="AL870" s="1109">
        <f>SUM(AL536)</f>
        <v>0</v>
      </c>
      <c r="AM870" s="1109">
        <f t="shared" ref="AM870:AU870" si="2617">SUM(AM536)</f>
        <v>8.4074906600249064E-3</v>
      </c>
      <c r="AN870" s="1109">
        <f t="shared" si="2617"/>
        <v>0</v>
      </c>
      <c r="AO870" s="1109">
        <f t="shared" si="2617"/>
        <v>1.6814981320049813E-2</v>
      </c>
      <c r="AP870" s="1109">
        <f t="shared" si="2617"/>
        <v>6.7259925280199247E-3</v>
      </c>
      <c r="AQ870" s="1109">
        <f t="shared" si="2617"/>
        <v>0</v>
      </c>
      <c r="AR870" s="1109">
        <f t="shared" si="2617"/>
        <v>2.4021401885785446E-2</v>
      </c>
      <c r="AS870" s="1109">
        <f t="shared" si="2617"/>
        <v>1.6814981320049813E-2</v>
      </c>
      <c r="AT870" s="1109">
        <f t="shared" si="2617"/>
        <v>3.3629962640099625E-2</v>
      </c>
      <c r="AU870" s="1109">
        <f t="shared" si="2617"/>
        <v>1.6814981320049813E-2</v>
      </c>
      <c r="AV870" s="1109"/>
      <c r="AW870" s="1109"/>
      <c r="AX870" s="1109"/>
      <c r="AY870" s="1109"/>
      <c r="AZ870" s="1109"/>
      <c r="BA870" s="1109"/>
      <c r="BB870" s="1109"/>
      <c r="BC870" s="794"/>
      <c r="BD870" s="1109">
        <f>SUM(BD536)</f>
        <v>1.4012484433374845E-2</v>
      </c>
      <c r="BE870" s="1109">
        <f t="shared" ref="BE870:BM870" si="2618">SUM(BE536)</f>
        <v>2.1018726650062266E-2</v>
      </c>
      <c r="BF870" s="1109">
        <f t="shared" si="2618"/>
        <v>1.4012484433374845E-2</v>
      </c>
      <c r="BG870" s="1109">
        <f t="shared" si="2618"/>
        <v>2.4021401885785446E-2</v>
      </c>
      <c r="BH870" s="1109">
        <f t="shared" si="2618"/>
        <v>3.6687231971017767E-2</v>
      </c>
      <c r="BI870" s="1109">
        <f t="shared" si="2618"/>
        <v>1.6814981320049813E-2</v>
      </c>
      <c r="BJ870" s="1109">
        <f t="shared" si="2618"/>
        <v>2.1018726650062266E-2</v>
      </c>
      <c r="BK870" s="1109">
        <f t="shared" si="2618"/>
        <v>9.6085607543141775E-3</v>
      </c>
      <c r="BL870" s="1109">
        <f t="shared" si="2618"/>
        <v>1.528634665459074E-2</v>
      </c>
      <c r="BM870" s="1109">
        <f t="shared" si="2618"/>
        <v>2.4021401885785446E-2</v>
      </c>
      <c r="BN870" s="1109"/>
      <c r="BO870" s="1109"/>
      <c r="BP870" s="1109"/>
      <c r="BQ870" s="1109"/>
      <c r="BR870" s="1109"/>
      <c r="BS870" s="1109"/>
      <c r="BT870" s="1109"/>
      <c r="BU870" s="794"/>
      <c r="BV870" s="1109">
        <f>SUM(BV536)</f>
        <v>7.0062422166874208E-3</v>
      </c>
      <c r="BW870" s="1109">
        <f>SUM(BW536)</f>
        <v>2.1018726650062266E-2</v>
      </c>
      <c r="BX870" s="1109">
        <f>SUM(BX536)</f>
        <v>2.1018726650062266E-2</v>
      </c>
      <c r="BY870" s="1109">
        <f>SUM(BY536)</f>
        <v>1.8683312577833126E-2</v>
      </c>
      <c r="BZ870" s="611">
        <f t="shared" si="2564"/>
        <v>0</v>
      </c>
      <c r="CA870" s="611">
        <f t="shared" si="2565"/>
        <v>1.222589266811955E-2</v>
      </c>
      <c r="CB870" s="611">
        <f t="shared" si="2566"/>
        <v>1.1199978629247464E-2</v>
      </c>
      <c r="CC870" s="679">
        <f t="shared" si="2567"/>
        <v>1.877581923913571E-2</v>
      </c>
      <c r="CD870" s="1319">
        <f t="shared" si="2568"/>
        <v>0</v>
      </c>
      <c r="CE870" s="1320">
        <f t="shared" si="2568"/>
        <v>0</v>
      </c>
      <c r="CF870" s="1320">
        <f t="shared" si="2568"/>
        <v>0</v>
      </c>
      <c r="CG870" s="1320">
        <f t="shared" si="2568"/>
        <v>6.7259925280199247E-3</v>
      </c>
      <c r="CH870" s="1321">
        <f t="shared" si="2568"/>
        <v>8.4074906600249064E-3</v>
      </c>
      <c r="CI870" s="1321">
        <f t="shared" si="2568"/>
        <v>1.6814981320049813E-2</v>
      </c>
      <c r="CJ870" s="1320">
        <f t="shared" si="2568"/>
        <v>1.6814981320049813E-2</v>
      </c>
      <c r="CK870" s="1320">
        <f t="shared" si="2568"/>
        <v>1.6814981320049813E-2</v>
      </c>
      <c r="CL870" s="1320">
        <f t="shared" si="2568"/>
        <v>2.4021401885785446E-2</v>
      </c>
      <c r="CM870" s="1319">
        <f t="shared" si="2568"/>
        <v>3.3629962640099625E-2</v>
      </c>
      <c r="CN870" s="1325" t="str">
        <f t="shared" si="2569"/>
        <v/>
      </c>
      <c r="CO870" s="1326" t="str">
        <f t="shared" si="2569"/>
        <v/>
      </c>
      <c r="CP870" s="1326" t="str">
        <f t="shared" si="2569"/>
        <v/>
      </c>
      <c r="CQ870" s="1326">
        <f t="shared" si="2569"/>
        <v>9.6085607543141775E-3</v>
      </c>
      <c r="CR870" s="1326">
        <f t="shared" si="2569"/>
        <v>1.4012484433374845E-2</v>
      </c>
      <c r="CS870" s="1326">
        <f t="shared" si="2569"/>
        <v>1.4012484433374845E-2</v>
      </c>
      <c r="CT870" s="1327">
        <f t="shared" si="2569"/>
        <v>1.528634665459074E-2</v>
      </c>
      <c r="CU870" s="1327">
        <f t="shared" si="2569"/>
        <v>1.6814981320049813E-2</v>
      </c>
      <c r="CV870" s="1327">
        <f t="shared" si="2569"/>
        <v>2.1018726650062266E-2</v>
      </c>
      <c r="CW870" s="1326">
        <f t="shared" si="2569"/>
        <v>2.1018726650062266E-2</v>
      </c>
      <c r="CX870" s="1326">
        <f t="shared" si="2569"/>
        <v>2.4021401885785446E-2</v>
      </c>
      <c r="CY870" s="1326">
        <f t="shared" si="2569"/>
        <v>2.4021401885785446E-2</v>
      </c>
      <c r="CZ870" s="1326">
        <f t="shared" si="2569"/>
        <v>3.6687231971017767E-2</v>
      </c>
      <c r="DA870" s="1326" t="str">
        <f t="shared" si="2569"/>
        <v/>
      </c>
      <c r="DB870" s="1325" t="str">
        <f t="shared" si="2569"/>
        <v/>
      </c>
      <c r="DC870" s="1381" t="str">
        <f t="shared" si="2570"/>
        <v/>
      </c>
      <c r="DD870" s="641">
        <f t="shared" si="2571"/>
        <v>10</v>
      </c>
      <c r="DE870" s="95">
        <f t="shared" si="2572"/>
        <v>10</v>
      </c>
      <c r="DF870" s="95">
        <f t="shared" si="2573"/>
        <v>10</v>
      </c>
      <c r="DG870" s="95">
        <f t="shared" si="2574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K871" si="2619">SUM(C542)</f>
        <v>0</v>
      </c>
      <c r="D871" s="1109">
        <f t="shared" si="2619"/>
        <v>0</v>
      </c>
      <c r="E871" s="1109">
        <f t="shared" si="2619"/>
        <v>0</v>
      </c>
      <c r="F871" s="1109">
        <f t="shared" si="2619"/>
        <v>0</v>
      </c>
      <c r="G871" s="1109">
        <f t="shared" si="2619"/>
        <v>0</v>
      </c>
      <c r="H871" s="1109">
        <f t="shared" si="2619"/>
        <v>0</v>
      </c>
      <c r="I871" s="1109">
        <f t="shared" si="2619"/>
        <v>0</v>
      </c>
      <c r="J871" s="1109">
        <f t="shared" si="2619"/>
        <v>0</v>
      </c>
      <c r="K871" s="1109">
        <f t="shared" si="2619"/>
        <v>0</v>
      </c>
      <c r="L871" s="1109"/>
      <c r="M871" s="1109"/>
      <c r="N871" s="1109"/>
      <c r="O871" s="1109"/>
      <c r="P871" s="1109"/>
      <c r="Q871" s="1109"/>
      <c r="R871" s="1109"/>
      <c r="S871" s="794"/>
      <c r="T871" s="1109">
        <f>SUM(T542)</f>
        <v>0</v>
      </c>
      <c r="U871" s="1109">
        <f t="shared" ref="U871:AC871" si="2620">SUM(U542)</f>
        <v>0</v>
      </c>
      <c r="V871" s="1109">
        <f t="shared" si="2620"/>
        <v>0</v>
      </c>
      <c r="W871" s="1109">
        <f t="shared" si="2620"/>
        <v>0</v>
      </c>
      <c r="X871" s="1109">
        <f t="shared" si="2620"/>
        <v>0</v>
      </c>
      <c r="Y871" s="1109">
        <f t="shared" si="2620"/>
        <v>0</v>
      </c>
      <c r="Z871" s="1109">
        <f t="shared" si="2620"/>
        <v>0</v>
      </c>
      <c r="AA871" s="1109">
        <f t="shared" si="2620"/>
        <v>0</v>
      </c>
      <c r="AB871" s="1109">
        <f t="shared" si="2620"/>
        <v>0</v>
      </c>
      <c r="AC871" s="1109">
        <f t="shared" si="2620"/>
        <v>0</v>
      </c>
      <c r="AD871" s="1109"/>
      <c r="AE871" s="1109"/>
      <c r="AF871" s="1109"/>
      <c r="AG871" s="1109"/>
      <c r="AH871" s="1109"/>
      <c r="AI871" s="1109"/>
      <c r="AJ871" s="1109"/>
      <c r="AK871" s="794"/>
      <c r="AL871" s="1109">
        <f>SUM(AL542)</f>
        <v>1.0502380359366658E-2</v>
      </c>
      <c r="AM871" s="1109">
        <f t="shared" ref="AM871:AU871" si="2621">SUM(AM542)</f>
        <v>1.5698870641344956E-2</v>
      </c>
      <c r="AN871" s="1109">
        <f t="shared" si="2621"/>
        <v>1.4703332503113325E-2</v>
      </c>
      <c r="AO871" s="1109">
        <f t="shared" si="2621"/>
        <v>7.3516662515566624E-3</v>
      </c>
      <c r="AP871" s="1109">
        <f t="shared" si="2621"/>
        <v>7.3516662515566624E-3</v>
      </c>
      <c r="AQ871" s="1109">
        <f t="shared" si="2621"/>
        <v>1.4703332503113325E-2</v>
      </c>
      <c r="AR871" s="1109">
        <f t="shared" si="2621"/>
        <v>1.7941566447251381E-2</v>
      </c>
      <c r="AS871" s="1109">
        <f t="shared" si="2621"/>
        <v>1.2559096513075964E-2</v>
      </c>
      <c r="AT871" s="1109">
        <f t="shared" si="2621"/>
        <v>1.4703332503113325E-2</v>
      </c>
      <c r="AU871" s="1109">
        <f t="shared" si="2621"/>
        <v>1.8379165628891653E-2</v>
      </c>
      <c r="AV871" s="1109"/>
      <c r="AW871" s="1109"/>
      <c r="AX871" s="1109"/>
      <c r="AY871" s="1109"/>
      <c r="AZ871" s="1109"/>
      <c r="BA871" s="1109"/>
      <c r="BB871" s="1109"/>
      <c r="BC871" s="794"/>
      <c r="BD871" s="1109">
        <f>SUM(BD542)</f>
        <v>2.5526618929016191E-2</v>
      </c>
      <c r="BE871" s="1109">
        <f t="shared" ref="BE871:BM871" si="2622">SUM(BE542)</f>
        <v>0</v>
      </c>
      <c r="BF871" s="1109">
        <f t="shared" si="2622"/>
        <v>0</v>
      </c>
      <c r="BG871" s="1109">
        <f t="shared" si="2622"/>
        <v>0</v>
      </c>
      <c r="BH871" s="1109">
        <f t="shared" si="2622"/>
        <v>6.9618051624589601E-3</v>
      </c>
      <c r="BI871" s="1109">
        <f t="shared" si="2622"/>
        <v>7.657985678704857E-3</v>
      </c>
      <c r="BJ871" s="1109">
        <f t="shared" si="2622"/>
        <v>0</v>
      </c>
      <c r="BK871" s="1109">
        <f t="shared" si="2622"/>
        <v>2.6255950898416647E-2</v>
      </c>
      <c r="BL871" s="1109">
        <f t="shared" si="2622"/>
        <v>1.6708332389901503E-2</v>
      </c>
      <c r="BM871" s="1109">
        <f t="shared" si="2622"/>
        <v>0</v>
      </c>
      <c r="BN871" s="1109"/>
      <c r="BO871" s="1109"/>
      <c r="BP871" s="1109"/>
      <c r="BQ871" s="1109"/>
      <c r="BR871" s="1109"/>
      <c r="BS871" s="1109"/>
      <c r="BT871" s="1109"/>
      <c r="BU871" s="794"/>
      <c r="BV871" s="1109">
        <f>SUM(BV542)</f>
        <v>0</v>
      </c>
      <c r="BW871" s="1109">
        <f>SUM(BW542)</f>
        <v>0</v>
      </c>
      <c r="BX871" s="1109">
        <f>SUM(BX542)</f>
        <v>9.5724820983810709E-3</v>
      </c>
      <c r="BY871" s="1109">
        <f>SUM(BY542)</f>
        <v>2.0421295143212951E-2</v>
      </c>
      <c r="BZ871" s="611">
        <f t="shared" si="2564"/>
        <v>0</v>
      </c>
      <c r="CA871" s="611">
        <f t="shared" si="2565"/>
        <v>0</v>
      </c>
      <c r="CB871" s="611">
        <f t="shared" si="2566"/>
        <v>1.3520447215241949E-2</v>
      </c>
      <c r="CC871" s="679">
        <f t="shared" si="2567"/>
        <v>7.1068427700101879E-3</v>
      </c>
      <c r="CD871" s="1319">
        <f t="shared" si="2568"/>
        <v>7.3516662515566624E-3</v>
      </c>
      <c r="CE871" s="1320">
        <f t="shared" si="2568"/>
        <v>7.3516662515566624E-3</v>
      </c>
      <c r="CF871" s="1320">
        <f t="shared" si="2568"/>
        <v>1.0502380359366658E-2</v>
      </c>
      <c r="CG871" s="1320">
        <f t="shared" si="2568"/>
        <v>1.2559096513075964E-2</v>
      </c>
      <c r="CH871" s="1321">
        <f t="shared" si="2568"/>
        <v>1.4703332503113325E-2</v>
      </c>
      <c r="CI871" s="1321">
        <f t="shared" si="2568"/>
        <v>1.4703332503113325E-2</v>
      </c>
      <c r="CJ871" s="1320">
        <f t="shared" si="2568"/>
        <v>1.4703332503113325E-2</v>
      </c>
      <c r="CK871" s="1320">
        <f t="shared" si="2568"/>
        <v>1.5698870641344956E-2</v>
      </c>
      <c r="CL871" s="1320">
        <f t="shared" si="2568"/>
        <v>1.7941566447251381E-2</v>
      </c>
      <c r="CM871" s="1319">
        <f t="shared" si="2568"/>
        <v>1.8379165628891653E-2</v>
      </c>
      <c r="CN871" s="1325" t="str">
        <f t="shared" si="2569"/>
        <v/>
      </c>
      <c r="CO871" s="1326" t="str">
        <f t="shared" si="2569"/>
        <v/>
      </c>
      <c r="CP871" s="1326" t="str">
        <f t="shared" si="2569"/>
        <v/>
      </c>
      <c r="CQ871" s="1326">
        <f t="shared" si="2569"/>
        <v>0</v>
      </c>
      <c r="CR871" s="1326">
        <f t="shared" si="2569"/>
        <v>0</v>
      </c>
      <c r="CS871" s="1326">
        <f t="shared" si="2569"/>
        <v>0</v>
      </c>
      <c r="CT871" s="1327">
        <f t="shared" si="2569"/>
        <v>0</v>
      </c>
      <c r="CU871" s="1327">
        <f t="shared" si="2569"/>
        <v>0</v>
      </c>
      <c r="CV871" s="1327">
        <f t="shared" si="2569"/>
        <v>6.9618051624589601E-3</v>
      </c>
      <c r="CW871" s="1326">
        <f t="shared" si="2569"/>
        <v>7.657985678704857E-3</v>
      </c>
      <c r="CX871" s="1326">
        <f t="shared" si="2569"/>
        <v>1.6708332389901503E-2</v>
      </c>
      <c r="CY871" s="1326">
        <f t="shared" si="2569"/>
        <v>2.5526618929016191E-2</v>
      </c>
      <c r="CZ871" s="1326">
        <f t="shared" si="2569"/>
        <v>2.6255950898416647E-2</v>
      </c>
      <c r="DA871" s="1326" t="str">
        <f t="shared" si="2569"/>
        <v/>
      </c>
      <c r="DB871" s="1325" t="str">
        <f t="shared" si="2569"/>
        <v/>
      </c>
      <c r="DC871" s="1381" t="str">
        <f t="shared" si="2570"/>
        <v/>
      </c>
      <c r="DD871" s="641">
        <f t="shared" si="2571"/>
        <v>10</v>
      </c>
      <c r="DE871" s="95">
        <f t="shared" si="2572"/>
        <v>10</v>
      </c>
      <c r="DF871" s="95">
        <f t="shared" si="2573"/>
        <v>10</v>
      </c>
      <c r="DG871" s="95">
        <f t="shared" si="2574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K872" si="2623">SUM(C548)</f>
        <v>0</v>
      </c>
      <c r="D872" s="1109">
        <f t="shared" si="2623"/>
        <v>0</v>
      </c>
      <c r="E872" s="1109">
        <f t="shared" si="2623"/>
        <v>0</v>
      </c>
      <c r="F872" s="1109">
        <f t="shared" si="2623"/>
        <v>0</v>
      </c>
      <c r="G872" s="1109">
        <f t="shared" si="2623"/>
        <v>0</v>
      </c>
      <c r="H872" s="1109">
        <f t="shared" si="2623"/>
        <v>0</v>
      </c>
      <c r="I872" s="1109">
        <f t="shared" si="2623"/>
        <v>0</v>
      </c>
      <c r="J872" s="1109">
        <f t="shared" si="2623"/>
        <v>0</v>
      </c>
      <c r="K872" s="1109">
        <f t="shared" si="2623"/>
        <v>0</v>
      </c>
      <c r="L872" s="1109"/>
      <c r="M872" s="1109"/>
      <c r="N872" s="1109"/>
      <c r="O872" s="1109"/>
      <c r="P872" s="1109"/>
      <c r="Q872" s="1109"/>
      <c r="R872" s="1109"/>
      <c r="S872" s="794"/>
      <c r="T872" s="1109">
        <f>SUM(T548)</f>
        <v>0</v>
      </c>
      <c r="U872" s="1109">
        <f t="shared" ref="U872:AC872" si="2624">SUM(U548)</f>
        <v>0</v>
      </c>
      <c r="V872" s="1109">
        <f t="shared" si="2624"/>
        <v>0</v>
      </c>
      <c r="W872" s="1109">
        <f t="shared" si="2624"/>
        <v>0</v>
      </c>
      <c r="X872" s="1109">
        <f t="shared" si="2624"/>
        <v>0</v>
      </c>
      <c r="Y872" s="1109">
        <f t="shared" si="2624"/>
        <v>0</v>
      </c>
      <c r="Z872" s="1109">
        <f t="shared" si="2624"/>
        <v>0</v>
      </c>
      <c r="AA872" s="1109">
        <f t="shared" si="2624"/>
        <v>0</v>
      </c>
      <c r="AB872" s="1109">
        <f t="shared" si="2624"/>
        <v>0</v>
      </c>
      <c r="AC872" s="1109">
        <f t="shared" si="2624"/>
        <v>0</v>
      </c>
      <c r="AD872" s="1109"/>
      <c r="AE872" s="1109"/>
      <c r="AF872" s="1109"/>
      <c r="AG872" s="1109"/>
      <c r="AH872" s="1109"/>
      <c r="AI872" s="1109"/>
      <c r="AJ872" s="1109"/>
      <c r="AK872" s="794"/>
      <c r="AL872" s="1109">
        <f>SUM(AL548)</f>
        <v>0</v>
      </c>
      <c r="AM872" s="1109">
        <f t="shared" ref="AM872:AU872" si="2625">SUM(AM548)</f>
        <v>0</v>
      </c>
      <c r="AN872" s="1109">
        <f t="shared" si="2625"/>
        <v>0</v>
      </c>
      <c r="AO872" s="1109">
        <f t="shared" si="2625"/>
        <v>0</v>
      </c>
      <c r="AP872" s="1109">
        <f t="shared" si="2625"/>
        <v>0</v>
      </c>
      <c r="AQ872" s="1109">
        <f t="shared" si="2625"/>
        <v>0</v>
      </c>
      <c r="AR872" s="1109">
        <f t="shared" si="2625"/>
        <v>0</v>
      </c>
      <c r="AS872" s="1109">
        <f t="shared" si="2625"/>
        <v>0</v>
      </c>
      <c r="AT872" s="1109">
        <f t="shared" si="2625"/>
        <v>0</v>
      </c>
      <c r="AU872" s="1109">
        <f t="shared" si="2625"/>
        <v>0</v>
      </c>
      <c r="AV872" s="1109"/>
      <c r="AW872" s="1109"/>
      <c r="AX872" s="1109"/>
      <c r="AY872" s="1109"/>
      <c r="AZ872" s="1109"/>
      <c r="BA872" s="1109"/>
      <c r="BB872" s="1109"/>
      <c r="BC872" s="794"/>
      <c r="BD872" s="1109">
        <f>SUM(BD548)</f>
        <v>0</v>
      </c>
      <c r="BE872" s="1109">
        <f t="shared" ref="BE872:BM872" si="2626">SUM(BE548)</f>
        <v>0</v>
      </c>
      <c r="BF872" s="1109">
        <f t="shared" si="2626"/>
        <v>0</v>
      </c>
      <c r="BG872" s="1109">
        <f t="shared" si="2626"/>
        <v>0</v>
      </c>
      <c r="BH872" s="1109">
        <f t="shared" si="2626"/>
        <v>0</v>
      </c>
      <c r="BI872" s="1109">
        <f t="shared" si="2626"/>
        <v>0</v>
      </c>
      <c r="BJ872" s="1109">
        <f t="shared" si="2626"/>
        <v>0</v>
      </c>
      <c r="BK872" s="1109">
        <f t="shared" si="2626"/>
        <v>0</v>
      </c>
      <c r="BL872" s="1109">
        <f t="shared" si="2626"/>
        <v>0</v>
      </c>
      <c r="BM872" s="1109">
        <f t="shared" si="2626"/>
        <v>0</v>
      </c>
      <c r="BN872" s="1109"/>
      <c r="BO872" s="1109"/>
      <c r="BP872" s="1109"/>
      <c r="BQ872" s="1109"/>
      <c r="BR872" s="1109"/>
      <c r="BS872" s="1109"/>
      <c r="BT872" s="1109"/>
      <c r="BU872" s="794"/>
      <c r="BV872" s="1109">
        <f>SUM(BV548)</f>
        <v>0</v>
      </c>
      <c r="BW872" s="1109">
        <f>SUM(BW548)</f>
        <v>0</v>
      </c>
      <c r="BX872" s="1109">
        <f>SUM(BX548)</f>
        <v>0</v>
      </c>
      <c r="BY872" s="1109">
        <f>SUM(BY548)</f>
        <v>0</v>
      </c>
      <c r="BZ872" s="611">
        <f t="shared" si="2564"/>
        <v>0</v>
      </c>
      <c r="CA872" s="611">
        <f t="shared" si="2565"/>
        <v>0</v>
      </c>
      <c r="CB872" s="611">
        <f t="shared" si="2566"/>
        <v>0</v>
      </c>
      <c r="CC872" s="679">
        <f t="shared" si="2567"/>
        <v>0</v>
      </c>
      <c r="CD872" s="1319">
        <f t="shared" si="2568"/>
        <v>0</v>
      </c>
      <c r="CE872" s="1320">
        <f t="shared" si="2568"/>
        <v>0</v>
      </c>
      <c r="CF872" s="1320">
        <f t="shared" si="2568"/>
        <v>0</v>
      </c>
      <c r="CG872" s="1320">
        <f t="shared" si="2568"/>
        <v>0</v>
      </c>
      <c r="CH872" s="1321">
        <f t="shared" si="2568"/>
        <v>0</v>
      </c>
      <c r="CI872" s="1321">
        <f t="shared" si="2568"/>
        <v>0</v>
      </c>
      <c r="CJ872" s="1320">
        <f t="shared" si="2568"/>
        <v>0</v>
      </c>
      <c r="CK872" s="1320">
        <f t="shared" si="2568"/>
        <v>0</v>
      </c>
      <c r="CL872" s="1320">
        <f t="shared" si="2568"/>
        <v>0</v>
      </c>
      <c r="CM872" s="1319">
        <f t="shared" si="2568"/>
        <v>0</v>
      </c>
      <c r="CN872" s="1325" t="str">
        <f t="shared" si="2569"/>
        <v/>
      </c>
      <c r="CO872" s="1326" t="str">
        <f t="shared" si="2569"/>
        <v/>
      </c>
      <c r="CP872" s="1326" t="str">
        <f t="shared" si="2569"/>
        <v/>
      </c>
      <c r="CQ872" s="1326">
        <f t="shared" si="2569"/>
        <v>0</v>
      </c>
      <c r="CR872" s="1326">
        <f t="shared" si="2569"/>
        <v>0</v>
      </c>
      <c r="CS872" s="1326">
        <f t="shared" si="2569"/>
        <v>0</v>
      </c>
      <c r="CT872" s="1327">
        <f t="shared" si="2569"/>
        <v>0</v>
      </c>
      <c r="CU872" s="1327">
        <f t="shared" si="2569"/>
        <v>0</v>
      </c>
      <c r="CV872" s="1327">
        <f t="shared" si="2569"/>
        <v>0</v>
      </c>
      <c r="CW872" s="1326">
        <f t="shared" si="2569"/>
        <v>0</v>
      </c>
      <c r="CX872" s="1326">
        <f t="shared" si="2569"/>
        <v>0</v>
      </c>
      <c r="CY872" s="1326">
        <f t="shared" si="2569"/>
        <v>0</v>
      </c>
      <c r="CZ872" s="1326">
        <f t="shared" si="2569"/>
        <v>0</v>
      </c>
      <c r="DA872" s="1326" t="str">
        <f t="shared" si="2569"/>
        <v/>
      </c>
      <c r="DB872" s="1325" t="str">
        <f t="shared" si="2569"/>
        <v/>
      </c>
      <c r="DC872" s="1381" t="str">
        <f t="shared" si="2570"/>
        <v/>
      </c>
      <c r="DD872" s="641">
        <f t="shared" si="2571"/>
        <v>10</v>
      </c>
      <c r="DE872" s="95">
        <f t="shared" si="2572"/>
        <v>10</v>
      </c>
      <c r="DF872" s="95">
        <f t="shared" si="2573"/>
        <v>10</v>
      </c>
      <c r="DG872" s="95">
        <f t="shared" si="2574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K873" si="2627">SUM(C554)</f>
        <v>0</v>
      </c>
      <c r="D873" s="1109">
        <f t="shared" si="2627"/>
        <v>0</v>
      </c>
      <c r="E873" s="1109">
        <f t="shared" si="2627"/>
        <v>0</v>
      </c>
      <c r="F873" s="1109">
        <f t="shared" si="2627"/>
        <v>0</v>
      </c>
      <c r="G873" s="1109">
        <f t="shared" si="2627"/>
        <v>0</v>
      </c>
      <c r="H873" s="1109">
        <f t="shared" si="2627"/>
        <v>0</v>
      </c>
      <c r="I873" s="1109">
        <f t="shared" si="2627"/>
        <v>0</v>
      </c>
      <c r="J873" s="1109">
        <f t="shared" si="2627"/>
        <v>0</v>
      </c>
      <c r="K873" s="1109">
        <f t="shared" si="2627"/>
        <v>0</v>
      </c>
      <c r="L873" s="1109"/>
      <c r="M873" s="1109"/>
      <c r="N873" s="1109"/>
      <c r="O873" s="1109"/>
      <c r="P873" s="1109"/>
      <c r="Q873" s="1109"/>
      <c r="R873" s="1109"/>
      <c r="S873" s="794"/>
      <c r="T873" s="1109">
        <f>SUM(T554)</f>
        <v>1.5397439290161892E-3</v>
      </c>
      <c r="U873" s="1109">
        <f t="shared" ref="U873:AC873" si="2628">SUM(U554)</f>
        <v>0</v>
      </c>
      <c r="V873" s="1109">
        <f t="shared" si="2628"/>
        <v>9.8543611457036114E-3</v>
      </c>
      <c r="W873" s="1109">
        <f t="shared" si="2628"/>
        <v>4.4344625155666251E-3</v>
      </c>
      <c r="X873" s="1109">
        <f t="shared" si="2628"/>
        <v>3.6953854296388547E-3</v>
      </c>
      <c r="Y873" s="1109">
        <f t="shared" si="2628"/>
        <v>0</v>
      </c>
      <c r="Z873" s="1109">
        <f t="shared" si="2628"/>
        <v>9.8543611457036114E-3</v>
      </c>
      <c r="AA873" s="1109">
        <f t="shared" si="2628"/>
        <v>4.4358311768368606E-3</v>
      </c>
      <c r="AB873" s="1109">
        <f t="shared" si="2628"/>
        <v>5.4746450809464503E-3</v>
      </c>
      <c r="AC873" s="1109">
        <f t="shared" si="2628"/>
        <v>9.8543611457036114E-3</v>
      </c>
      <c r="AD873" s="1109"/>
      <c r="AE873" s="1109"/>
      <c r="AF873" s="1109"/>
      <c r="AG873" s="1109"/>
      <c r="AH873" s="1109"/>
      <c r="AI873" s="1109"/>
      <c r="AJ873" s="1109"/>
      <c r="AK873" s="794"/>
      <c r="AL873" s="1109">
        <f>SUM(AL554)</f>
        <v>0</v>
      </c>
      <c r="AM873" s="1109">
        <f t="shared" ref="AM873:AU873" si="2629">SUM(AM554)</f>
        <v>1.5397439290161892E-3</v>
      </c>
      <c r="AN873" s="1109">
        <f t="shared" si="2629"/>
        <v>0</v>
      </c>
      <c r="AO873" s="1109">
        <f t="shared" si="2629"/>
        <v>0</v>
      </c>
      <c r="AP873" s="1109">
        <f t="shared" si="2629"/>
        <v>0</v>
      </c>
      <c r="AQ873" s="1109">
        <f t="shared" si="2629"/>
        <v>0</v>
      </c>
      <c r="AR873" s="1109">
        <f t="shared" si="2629"/>
        <v>0</v>
      </c>
      <c r="AS873" s="1109">
        <f t="shared" si="2629"/>
        <v>0</v>
      </c>
      <c r="AT873" s="1109">
        <f t="shared" si="2629"/>
        <v>0</v>
      </c>
      <c r="AU873" s="1109">
        <f t="shared" si="2629"/>
        <v>0</v>
      </c>
      <c r="AV873" s="1109"/>
      <c r="AW873" s="1109"/>
      <c r="AX873" s="1109"/>
      <c r="AY873" s="1109"/>
      <c r="AZ873" s="1109"/>
      <c r="BA873" s="1109"/>
      <c r="BB873" s="1109"/>
      <c r="BC873" s="794"/>
      <c r="BD873" s="1109">
        <f>SUM(BD554)</f>
        <v>0</v>
      </c>
      <c r="BE873" s="1109">
        <f t="shared" ref="BE873:BM873" si="2630">SUM(BE554)</f>
        <v>1.5397439290161892E-3</v>
      </c>
      <c r="BF873" s="1109">
        <f t="shared" si="2630"/>
        <v>1.0264959526774594E-3</v>
      </c>
      <c r="BG873" s="1109">
        <f t="shared" si="2630"/>
        <v>0</v>
      </c>
      <c r="BH873" s="1109">
        <f t="shared" si="2630"/>
        <v>0</v>
      </c>
      <c r="BI873" s="1109">
        <f t="shared" si="2630"/>
        <v>0</v>
      </c>
      <c r="BJ873" s="1109">
        <f t="shared" si="2630"/>
        <v>0</v>
      </c>
      <c r="BK873" s="1109">
        <f t="shared" si="2630"/>
        <v>0</v>
      </c>
      <c r="BL873" s="1109">
        <f t="shared" si="2630"/>
        <v>0</v>
      </c>
      <c r="BM873" s="1109">
        <f t="shared" si="2630"/>
        <v>0</v>
      </c>
      <c r="BN873" s="1109"/>
      <c r="BO873" s="1109"/>
      <c r="BP873" s="1109"/>
      <c r="BQ873" s="1109"/>
      <c r="BR873" s="1109"/>
      <c r="BS873" s="1109"/>
      <c r="BT873" s="1109"/>
      <c r="BU873" s="794"/>
      <c r="BV873" s="1109">
        <f>SUM(BV554)</f>
        <v>0</v>
      </c>
      <c r="BW873" s="1109">
        <f>SUM(BW554)</f>
        <v>0</v>
      </c>
      <c r="BX873" s="1109">
        <f>SUM(BX554)</f>
        <v>0</v>
      </c>
      <c r="BY873" s="1109">
        <f>SUM(BY554)</f>
        <v>0</v>
      </c>
      <c r="BZ873" s="611">
        <f t="shared" si="2564"/>
        <v>0</v>
      </c>
      <c r="CA873" s="611">
        <f t="shared" si="2565"/>
        <v>4.9110988029265265E-3</v>
      </c>
      <c r="CB873" s="611">
        <f t="shared" si="2566"/>
        <v>0</v>
      </c>
      <c r="CC873" s="679">
        <f t="shared" si="2567"/>
        <v>1.2831199408468239E-4</v>
      </c>
      <c r="CD873" s="1319">
        <f t="shared" si="2568"/>
        <v>0</v>
      </c>
      <c r="CE873" s="1320">
        <f t="shared" si="2568"/>
        <v>0</v>
      </c>
      <c r="CF873" s="1320">
        <f t="shared" si="2568"/>
        <v>0</v>
      </c>
      <c r="CG873" s="1320">
        <f t="shared" si="2568"/>
        <v>0</v>
      </c>
      <c r="CH873" s="1321">
        <f t="shared" si="2568"/>
        <v>0</v>
      </c>
      <c r="CI873" s="1321">
        <f t="shared" si="2568"/>
        <v>0</v>
      </c>
      <c r="CJ873" s="1320">
        <f t="shared" si="2568"/>
        <v>0</v>
      </c>
      <c r="CK873" s="1320">
        <f t="shared" si="2568"/>
        <v>0</v>
      </c>
      <c r="CL873" s="1320">
        <f t="shared" si="2568"/>
        <v>0</v>
      </c>
      <c r="CM873" s="1319">
        <f t="shared" si="2568"/>
        <v>1.5397439290161892E-3</v>
      </c>
      <c r="CN873" s="1325" t="str">
        <f t="shared" si="2569"/>
        <v/>
      </c>
      <c r="CO873" s="1326" t="str">
        <f t="shared" si="2569"/>
        <v/>
      </c>
      <c r="CP873" s="1326" t="str">
        <f t="shared" si="2569"/>
        <v/>
      </c>
      <c r="CQ873" s="1326">
        <f t="shared" si="2569"/>
        <v>0</v>
      </c>
      <c r="CR873" s="1326">
        <f t="shared" si="2569"/>
        <v>0</v>
      </c>
      <c r="CS873" s="1326">
        <f t="shared" si="2569"/>
        <v>0</v>
      </c>
      <c r="CT873" s="1327">
        <f t="shared" si="2569"/>
        <v>0</v>
      </c>
      <c r="CU873" s="1327">
        <f t="shared" si="2569"/>
        <v>0</v>
      </c>
      <c r="CV873" s="1327">
        <f t="shared" si="2569"/>
        <v>0</v>
      </c>
      <c r="CW873" s="1326">
        <f t="shared" si="2569"/>
        <v>0</v>
      </c>
      <c r="CX873" s="1326">
        <f t="shared" si="2569"/>
        <v>0</v>
      </c>
      <c r="CY873" s="1326">
        <f t="shared" si="2569"/>
        <v>1.0264959526774594E-3</v>
      </c>
      <c r="CZ873" s="1326">
        <f t="shared" si="2569"/>
        <v>1.5397439290161892E-3</v>
      </c>
      <c r="DA873" s="1326" t="str">
        <f t="shared" si="2569"/>
        <v/>
      </c>
      <c r="DB873" s="1325" t="str">
        <f t="shared" si="2569"/>
        <v/>
      </c>
      <c r="DC873" s="1381" t="str">
        <f t="shared" si="2570"/>
        <v/>
      </c>
      <c r="DD873" s="641">
        <f t="shared" si="2571"/>
        <v>10</v>
      </c>
      <c r="DE873" s="95">
        <f t="shared" si="2572"/>
        <v>10</v>
      </c>
      <c r="DF873" s="95">
        <f t="shared" si="2573"/>
        <v>10</v>
      </c>
      <c r="DG873" s="95">
        <f t="shared" si="2574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K874" si="2631">SUM(C560)</f>
        <v>0</v>
      </c>
      <c r="D874" s="1109">
        <f t="shared" si="2631"/>
        <v>0</v>
      </c>
      <c r="E874" s="1109">
        <f t="shared" si="2631"/>
        <v>0</v>
      </c>
      <c r="F874" s="1109">
        <f t="shared" si="2631"/>
        <v>0</v>
      </c>
      <c r="G874" s="1109">
        <f t="shared" si="2631"/>
        <v>0</v>
      </c>
      <c r="H874" s="1109">
        <f t="shared" si="2631"/>
        <v>0</v>
      </c>
      <c r="I874" s="1109">
        <f t="shared" si="2631"/>
        <v>0</v>
      </c>
      <c r="J874" s="1109">
        <f t="shared" si="2631"/>
        <v>0</v>
      </c>
      <c r="K874" s="1109">
        <f t="shared" si="2631"/>
        <v>0</v>
      </c>
      <c r="L874" s="1109"/>
      <c r="M874" s="1109"/>
      <c r="N874" s="1109"/>
      <c r="O874" s="1109"/>
      <c r="P874" s="1109"/>
      <c r="Q874" s="1109"/>
      <c r="R874" s="1109"/>
      <c r="S874" s="794"/>
      <c r="T874" s="1109">
        <f>SUM(T560)</f>
        <v>0</v>
      </c>
      <c r="U874" s="1109">
        <f t="shared" ref="U874:AC874" si="2632">SUM(U560)</f>
        <v>6.7036470378936122E-4</v>
      </c>
      <c r="V874" s="1109">
        <f t="shared" si="2632"/>
        <v>0</v>
      </c>
      <c r="W874" s="1109">
        <f t="shared" si="2632"/>
        <v>0</v>
      </c>
      <c r="X874" s="1109">
        <f t="shared" si="2632"/>
        <v>0</v>
      </c>
      <c r="Y874" s="1109">
        <f t="shared" si="2632"/>
        <v>3.1283686176836862E-4</v>
      </c>
      <c r="Z874" s="1109">
        <f t="shared" si="2632"/>
        <v>0</v>
      </c>
      <c r="AA874" s="1109">
        <f t="shared" si="2632"/>
        <v>6.2567372353673724E-4</v>
      </c>
      <c r="AB874" s="1109">
        <f t="shared" si="2632"/>
        <v>0</v>
      </c>
      <c r="AC874" s="1109">
        <f t="shared" si="2632"/>
        <v>0</v>
      </c>
      <c r="AD874" s="1109"/>
      <c r="AE874" s="1109"/>
      <c r="AF874" s="1109"/>
      <c r="AG874" s="1109"/>
      <c r="AH874" s="1109"/>
      <c r="AI874" s="1109"/>
      <c r="AJ874" s="1109"/>
      <c r="AK874" s="794"/>
      <c r="AL874" s="1109">
        <f>SUM(AL560)</f>
        <v>0</v>
      </c>
      <c r="AM874" s="1109">
        <f t="shared" ref="AM874:AU874" si="2633">SUM(AM560)</f>
        <v>0</v>
      </c>
      <c r="AN874" s="1109">
        <f t="shared" si="2633"/>
        <v>0</v>
      </c>
      <c r="AO874" s="1109">
        <f t="shared" si="2633"/>
        <v>0</v>
      </c>
      <c r="AP874" s="1109">
        <f t="shared" si="2633"/>
        <v>0</v>
      </c>
      <c r="AQ874" s="1109">
        <f t="shared" si="2633"/>
        <v>0</v>
      </c>
      <c r="AR874" s="1109">
        <f t="shared" si="2633"/>
        <v>0</v>
      </c>
      <c r="AS874" s="1109">
        <f t="shared" si="2633"/>
        <v>0</v>
      </c>
      <c r="AT874" s="1109">
        <f t="shared" si="2633"/>
        <v>0</v>
      </c>
      <c r="AU874" s="1109">
        <f t="shared" si="2633"/>
        <v>0</v>
      </c>
      <c r="AV874" s="1109"/>
      <c r="AW874" s="1109"/>
      <c r="AX874" s="1109"/>
      <c r="AY874" s="1109"/>
      <c r="AZ874" s="1109"/>
      <c r="BA874" s="1109"/>
      <c r="BB874" s="1109"/>
      <c r="BC874" s="794"/>
      <c r="BD874" s="1109">
        <f>SUM(BD560)</f>
        <v>0</v>
      </c>
      <c r="BE874" s="1109">
        <f t="shared" ref="BE874:BM874" si="2634">SUM(BE560)</f>
        <v>0</v>
      </c>
      <c r="BF874" s="1109">
        <f t="shared" si="2634"/>
        <v>0</v>
      </c>
      <c r="BG874" s="1109">
        <f t="shared" si="2634"/>
        <v>0</v>
      </c>
      <c r="BH874" s="1109">
        <f t="shared" si="2634"/>
        <v>1.6589833578625609E-3</v>
      </c>
      <c r="BI874" s="1109">
        <f t="shared" si="2634"/>
        <v>0</v>
      </c>
      <c r="BJ874" s="1109">
        <f t="shared" si="2634"/>
        <v>0</v>
      </c>
      <c r="BK874" s="1109">
        <f t="shared" si="2634"/>
        <v>0</v>
      </c>
      <c r="BL874" s="1109">
        <f t="shared" si="2634"/>
        <v>0</v>
      </c>
      <c r="BM874" s="1109">
        <f t="shared" si="2634"/>
        <v>0</v>
      </c>
      <c r="BN874" s="1109"/>
      <c r="BO874" s="1109"/>
      <c r="BP874" s="1109"/>
      <c r="BQ874" s="1109"/>
      <c r="BR874" s="1109"/>
      <c r="BS874" s="1109"/>
      <c r="BT874" s="1109"/>
      <c r="BU874" s="794"/>
      <c r="BV874" s="1109">
        <f>SUM(BV560)</f>
        <v>0</v>
      </c>
      <c r="BW874" s="1109">
        <f>SUM(BW560)</f>
        <v>0</v>
      </c>
      <c r="BX874" s="1109">
        <f>SUM(BX560)</f>
        <v>0</v>
      </c>
      <c r="BY874" s="1109">
        <f>SUM(BY560)</f>
        <v>0</v>
      </c>
      <c r="BZ874" s="611">
        <f t="shared" si="2564"/>
        <v>0</v>
      </c>
      <c r="CA874" s="611">
        <f t="shared" si="2565"/>
        <v>1.1731382316313825E-4</v>
      </c>
      <c r="CB874" s="611">
        <f t="shared" si="2566"/>
        <v>0</v>
      </c>
      <c r="CC874" s="679">
        <f t="shared" si="2567"/>
        <v>0</v>
      </c>
      <c r="CD874" s="1319">
        <f t="shared" si="2568"/>
        <v>0</v>
      </c>
      <c r="CE874" s="1320">
        <f t="shared" si="2568"/>
        <v>0</v>
      </c>
      <c r="CF874" s="1320">
        <f t="shared" si="2568"/>
        <v>0</v>
      </c>
      <c r="CG874" s="1320">
        <f t="shared" si="2568"/>
        <v>0</v>
      </c>
      <c r="CH874" s="1321">
        <f t="shared" si="2568"/>
        <v>0</v>
      </c>
      <c r="CI874" s="1321">
        <f t="shared" si="2568"/>
        <v>0</v>
      </c>
      <c r="CJ874" s="1320">
        <f t="shared" si="2568"/>
        <v>0</v>
      </c>
      <c r="CK874" s="1320">
        <f t="shared" si="2568"/>
        <v>0</v>
      </c>
      <c r="CL874" s="1320">
        <f t="shared" si="2568"/>
        <v>0</v>
      </c>
      <c r="CM874" s="1319">
        <f t="shared" si="2568"/>
        <v>0</v>
      </c>
      <c r="CN874" s="1325" t="str">
        <f t="shared" si="2569"/>
        <v/>
      </c>
      <c r="CO874" s="1326" t="str">
        <f t="shared" si="2569"/>
        <v/>
      </c>
      <c r="CP874" s="1326" t="str">
        <f t="shared" si="2569"/>
        <v/>
      </c>
      <c r="CQ874" s="1326">
        <f t="shared" si="2569"/>
        <v>0</v>
      </c>
      <c r="CR874" s="1326">
        <f t="shared" si="2569"/>
        <v>0</v>
      </c>
      <c r="CS874" s="1326">
        <f t="shared" si="2569"/>
        <v>0</v>
      </c>
      <c r="CT874" s="1327">
        <f t="shared" si="2569"/>
        <v>0</v>
      </c>
      <c r="CU874" s="1327">
        <f t="shared" si="2569"/>
        <v>0</v>
      </c>
      <c r="CV874" s="1327">
        <f t="shared" si="2569"/>
        <v>0</v>
      </c>
      <c r="CW874" s="1326">
        <f t="shared" si="2569"/>
        <v>0</v>
      </c>
      <c r="CX874" s="1326">
        <f t="shared" si="2569"/>
        <v>0</v>
      </c>
      <c r="CY874" s="1326">
        <f t="shared" si="2569"/>
        <v>0</v>
      </c>
      <c r="CZ874" s="1326">
        <f t="shared" si="2569"/>
        <v>1.6589833578625609E-3</v>
      </c>
      <c r="DA874" s="1326" t="str">
        <f t="shared" si="2569"/>
        <v/>
      </c>
      <c r="DB874" s="1325" t="str">
        <f t="shared" ref="DB874:DB887" si="2635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1" t="str">
        <f t="shared" si="2570"/>
        <v/>
      </c>
      <c r="DD874" s="641">
        <f t="shared" si="2571"/>
        <v>10</v>
      </c>
      <c r="DE874" s="95">
        <f t="shared" si="2572"/>
        <v>10</v>
      </c>
      <c r="DF874" s="95">
        <f t="shared" si="2573"/>
        <v>10</v>
      </c>
      <c r="DG874" s="95">
        <f t="shared" si="2574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09">
        <f>SUM(B566)</f>
        <v>7.5080846824408468E-3</v>
      </c>
      <c r="C875" s="1109">
        <f t="shared" ref="C875:K875" si="2636">SUM(C566)</f>
        <v>0</v>
      </c>
      <c r="D875" s="1109">
        <f t="shared" si="2636"/>
        <v>9.3851058530510581E-3</v>
      </c>
      <c r="E875" s="1109">
        <f t="shared" si="2636"/>
        <v>0</v>
      </c>
      <c r="F875" s="1109">
        <f t="shared" si="2636"/>
        <v>0</v>
      </c>
      <c r="G875" s="1109">
        <f t="shared" si="2636"/>
        <v>0</v>
      </c>
      <c r="H875" s="1109">
        <f t="shared" si="2636"/>
        <v>8.3423163138231626E-3</v>
      </c>
      <c r="I875" s="1109">
        <f t="shared" si="2636"/>
        <v>1.5016169364881697E-3</v>
      </c>
      <c r="J875" s="1109">
        <f t="shared" si="2636"/>
        <v>0</v>
      </c>
      <c r="K875" s="1109">
        <f t="shared" si="2636"/>
        <v>0</v>
      </c>
      <c r="L875" s="1109"/>
      <c r="M875" s="1109"/>
      <c r="N875" s="1109"/>
      <c r="O875" s="1109"/>
      <c r="P875" s="1109"/>
      <c r="Q875" s="1109"/>
      <c r="R875" s="1109"/>
      <c r="S875" s="794"/>
      <c r="T875" s="1109">
        <f>SUM(T566)</f>
        <v>0</v>
      </c>
      <c r="U875" s="1109">
        <f t="shared" ref="U875:AC875" si="2637">SUM(U566)</f>
        <v>8.0443764454723368E-3</v>
      </c>
      <c r="V875" s="1109">
        <f t="shared" si="2637"/>
        <v>0</v>
      </c>
      <c r="W875" s="1109">
        <f t="shared" si="2637"/>
        <v>0</v>
      </c>
      <c r="X875" s="1109">
        <f t="shared" si="2637"/>
        <v>0</v>
      </c>
      <c r="Y875" s="1109">
        <f t="shared" si="2637"/>
        <v>3.7540423412204234E-3</v>
      </c>
      <c r="Z875" s="1109">
        <f t="shared" si="2637"/>
        <v>0</v>
      </c>
      <c r="AA875" s="1109">
        <f t="shared" si="2637"/>
        <v>3.7540423412204234E-3</v>
      </c>
      <c r="AB875" s="1109">
        <f t="shared" si="2637"/>
        <v>4.6925529265255291E-3</v>
      </c>
      <c r="AC875" s="1109">
        <f t="shared" si="2637"/>
        <v>0</v>
      </c>
      <c r="AD875" s="1109"/>
      <c r="AE875" s="1109"/>
      <c r="AF875" s="1109"/>
      <c r="AG875" s="1109"/>
      <c r="AH875" s="1109"/>
      <c r="AI875" s="1109"/>
      <c r="AJ875" s="1109"/>
      <c r="AK875" s="794"/>
      <c r="AL875" s="1109">
        <f>SUM(AL566)</f>
        <v>0</v>
      </c>
      <c r="AM875" s="1109">
        <f t="shared" ref="AM875:AU875" si="2638">SUM(AM566)</f>
        <v>0</v>
      </c>
      <c r="AN875" s="1109">
        <f t="shared" si="2638"/>
        <v>1.5016169364881694E-2</v>
      </c>
      <c r="AO875" s="1109">
        <f t="shared" si="2638"/>
        <v>7.5080846824408468E-3</v>
      </c>
      <c r="AP875" s="1109">
        <f t="shared" si="2638"/>
        <v>7.5080846824408468E-3</v>
      </c>
      <c r="AQ875" s="1109">
        <f t="shared" si="2638"/>
        <v>1.5016169364881694E-2</v>
      </c>
      <c r="AR875" s="1109">
        <f t="shared" si="2638"/>
        <v>0</v>
      </c>
      <c r="AS875" s="1109">
        <f t="shared" si="2638"/>
        <v>7.5080846824408468E-3</v>
      </c>
      <c r="AT875" s="1109">
        <f t="shared" si="2638"/>
        <v>1.5016169364881694E-2</v>
      </c>
      <c r="AU875" s="1109">
        <f t="shared" si="2638"/>
        <v>0</v>
      </c>
      <c r="AV875" s="1109"/>
      <c r="AW875" s="1109"/>
      <c r="AX875" s="1109"/>
      <c r="AY875" s="1109"/>
      <c r="AZ875" s="1109"/>
      <c r="BA875" s="1109"/>
      <c r="BB875" s="1109"/>
      <c r="BC875" s="794"/>
      <c r="BD875" s="1109">
        <f>SUM(BD566)</f>
        <v>0</v>
      </c>
      <c r="BE875" s="1109">
        <f t="shared" ref="BE875:BM875" si="2639">SUM(BE566)</f>
        <v>1.1731382316313823E-3</v>
      </c>
      <c r="BF875" s="1109">
        <f t="shared" si="2639"/>
        <v>1.0427895392278953E-3</v>
      </c>
      <c r="BG875" s="1109">
        <f t="shared" si="2639"/>
        <v>5.3629176303148897E-3</v>
      </c>
      <c r="BH875" s="1109">
        <f t="shared" si="2639"/>
        <v>5.6879429412430658E-3</v>
      </c>
      <c r="BI875" s="1109">
        <f t="shared" si="2639"/>
        <v>0</v>
      </c>
      <c r="BJ875" s="1109">
        <f t="shared" si="2639"/>
        <v>9.3851058530510581E-3</v>
      </c>
      <c r="BK875" s="1109">
        <f t="shared" si="2639"/>
        <v>7.5080846824408468E-3</v>
      </c>
      <c r="BL875" s="1109">
        <f t="shared" si="2639"/>
        <v>0</v>
      </c>
      <c r="BM875" s="1109">
        <f t="shared" si="2639"/>
        <v>1.0725835260629779E-2</v>
      </c>
      <c r="BN875" s="1109"/>
      <c r="BO875" s="1109"/>
      <c r="BP875" s="1109"/>
      <c r="BQ875" s="1109"/>
      <c r="BR875" s="1109"/>
      <c r="BS875" s="1109"/>
      <c r="BT875" s="1109"/>
      <c r="BU875" s="794"/>
      <c r="BV875" s="1109">
        <f>SUM(BV566)</f>
        <v>9.3851058530510581E-3</v>
      </c>
      <c r="BW875" s="1109">
        <f>SUM(BW566)</f>
        <v>4.6925529265255291E-3</v>
      </c>
      <c r="BX875" s="1109">
        <f>SUM(BX566)</f>
        <v>9.3851058530510581E-3</v>
      </c>
      <c r="BY875" s="1109">
        <f>SUM(BY566)</f>
        <v>8.3423163138231626E-3</v>
      </c>
      <c r="BZ875" s="611">
        <f t="shared" si="2564"/>
        <v>2.1690022415940223E-3</v>
      </c>
      <c r="CA875" s="611">
        <f t="shared" si="2565"/>
        <v>1.525079701120797E-3</v>
      </c>
      <c r="CB875" s="611">
        <f t="shared" si="2566"/>
        <v>6.5695740971357421E-3</v>
      </c>
      <c r="CC875" s="679">
        <f t="shared" si="2567"/>
        <v>3.7699973597386423E-3</v>
      </c>
      <c r="CD875" s="1319">
        <f t="shared" ref="CD875:CM887" si="264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0">
        <f t="shared" si="2640"/>
        <v>0</v>
      </c>
      <c r="CF875" s="1320">
        <f t="shared" si="2640"/>
        <v>0</v>
      </c>
      <c r="CG875" s="1320">
        <f t="shared" si="2640"/>
        <v>0</v>
      </c>
      <c r="CH875" s="1321">
        <f t="shared" si="2640"/>
        <v>7.5080846824408468E-3</v>
      </c>
      <c r="CI875" s="1321">
        <f t="shared" si="2640"/>
        <v>7.5080846824408468E-3</v>
      </c>
      <c r="CJ875" s="1320">
        <f t="shared" si="2640"/>
        <v>7.5080846824408468E-3</v>
      </c>
      <c r="CK875" s="1320">
        <f t="shared" si="2640"/>
        <v>1.5016169364881694E-2</v>
      </c>
      <c r="CL875" s="1320">
        <f t="shared" si="2640"/>
        <v>1.5016169364881694E-2</v>
      </c>
      <c r="CM875" s="1319">
        <f t="shared" si="2640"/>
        <v>1.5016169364881694E-2</v>
      </c>
      <c r="CN875" s="1325" t="str">
        <f t="shared" ref="CN875:DA887" si="264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26" t="str">
        <f t="shared" si="2641"/>
        <v/>
      </c>
      <c r="CP875" s="1326" t="str">
        <f t="shared" si="2641"/>
        <v/>
      </c>
      <c r="CQ875" s="1326">
        <f t="shared" si="2641"/>
        <v>0</v>
      </c>
      <c r="CR875" s="1326">
        <f t="shared" si="2641"/>
        <v>0</v>
      </c>
      <c r="CS875" s="1326">
        <f t="shared" si="2641"/>
        <v>0</v>
      </c>
      <c r="CT875" s="1327">
        <f t="shared" si="2641"/>
        <v>1.0427895392278953E-3</v>
      </c>
      <c r="CU875" s="1327">
        <f t="shared" si="2641"/>
        <v>1.1731382316313823E-3</v>
      </c>
      <c r="CV875" s="1327">
        <f t="shared" si="2641"/>
        <v>5.3629176303148897E-3</v>
      </c>
      <c r="CW875" s="1326">
        <f t="shared" si="2641"/>
        <v>5.6879429412430658E-3</v>
      </c>
      <c r="CX875" s="1326">
        <f t="shared" si="2641"/>
        <v>7.5080846824408468E-3</v>
      </c>
      <c r="CY875" s="1326">
        <f t="shared" si="2641"/>
        <v>9.3851058530510581E-3</v>
      </c>
      <c r="CZ875" s="1326">
        <f t="shared" si="2641"/>
        <v>1.0725835260629779E-2</v>
      </c>
      <c r="DA875" s="1326" t="str">
        <f t="shared" si="2641"/>
        <v/>
      </c>
      <c r="DB875" s="1325" t="str">
        <f t="shared" si="2635"/>
        <v/>
      </c>
      <c r="DC875" s="1381" t="str">
        <f t="shared" si="2570"/>
        <v/>
      </c>
      <c r="DD875" s="641">
        <f t="shared" si="2571"/>
        <v>10</v>
      </c>
      <c r="DE875" s="95">
        <f t="shared" si="2572"/>
        <v>10</v>
      </c>
      <c r="DF875" s="95">
        <f t="shared" si="2573"/>
        <v>10</v>
      </c>
      <c r="DG875" s="95">
        <f t="shared" si="2574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K876" si="2642">SUM(C572)</f>
        <v>0</v>
      </c>
      <c r="D876" s="1109">
        <f t="shared" si="2642"/>
        <v>0</v>
      </c>
      <c r="E876" s="1109">
        <f t="shared" si="2642"/>
        <v>0</v>
      </c>
      <c r="F876" s="1109">
        <f t="shared" si="2642"/>
        <v>0</v>
      </c>
      <c r="G876" s="1109">
        <f t="shared" si="2642"/>
        <v>0</v>
      </c>
      <c r="H876" s="1109">
        <f t="shared" si="2642"/>
        <v>0</v>
      </c>
      <c r="I876" s="1109">
        <f t="shared" si="2642"/>
        <v>0</v>
      </c>
      <c r="J876" s="1109">
        <f t="shared" si="2642"/>
        <v>0</v>
      </c>
      <c r="K876" s="1109">
        <f t="shared" si="2642"/>
        <v>0</v>
      </c>
      <c r="L876" s="1109"/>
      <c r="M876" s="1109"/>
      <c r="N876" s="1109"/>
      <c r="O876" s="1109"/>
      <c r="P876" s="1109"/>
      <c r="Q876" s="1109"/>
      <c r="R876" s="1109"/>
      <c r="S876" s="794"/>
      <c r="T876" s="1109">
        <f>SUM(T572)</f>
        <v>0</v>
      </c>
      <c r="U876" s="1109">
        <f t="shared" ref="U876:AC876" si="2643">SUM(U572)</f>
        <v>0</v>
      </c>
      <c r="V876" s="1109">
        <f t="shared" si="2643"/>
        <v>0</v>
      </c>
      <c r="W876" s="1109">
        <f t="shared" si="2643"/>
        <v>0</v>
      </c>
      <c r="X876" s="1109">
        <f t="shared" si="2643"/>
        <v>0</v>
      </c>
      <c r="Y876" s="1109">
        <f t="shared" si="2643"/>
        <v>0</v>
      </c>
      <c r="Z876" s="1109">
        <f t="shared" si="2643"/>
        <v>0</v>
      </c>
      <c r="AA876" s="1109">
        <f t="shared" si="2643"/>
        <v>0</v>
      </c>
      <c r="AB876" s="1109">
        <f t="shared" si="2643"/>
        <v>0</v>
      </c>
      <c r="AC876" s="1109">
        <f t="shared" si="2643"/>
        <v>0</v>
      </c>
      <c r="AD876" s="1109"/>
      <c r="AE876" s="1109"/>
      <c r="AF876" s="1109"/>
      <c r="AG876" s="1109"/>
      <c r="AH876" s="1109"/>
      <c r="AI876" s="1109"/>
      <c r="AJ876" s="1109"/>
      <c r="AK876" s="794"/>
      <c r="AL876" s="1109">
        <f>SUM(AL572)</f>
        <v>0</v>
      </c>
      <c r="AM876" s="1109">
        <f t="shared" ref="AM876:AU876" si="2644">SUM(AM572)</f>
        <v>0</v>
      </c>
      <c r="AN876" s="1109">
        <f t="shared" si="2644"/>
        <v>0</v>
      </c>
      <c r="AO876" s="1109">
        <f t="shared" si="2644"/>
        <v>0</v>
      </c>
      <c r="AP876" s="1109">
        <f t="shared" si="2644"/>
        <v>0</v>
      </c>
      <c r="AQ876" s="1109">
        <f t="shared" si="2644"/>
        <v>0</v>
      </c>
      <c r="AR876" s="1109">
        <f t="shared" si="2644"/>
        <v>0</v>
      </c>
      <c r="AS876" s="1109">
        <f t="shared" si="2644"/>
        <v>0</v>
      </c>
      <c r="AT876" s="1109">
        <f t="shared" si="2644"/>
        <v>0</v>
      </c>
      <c r="AU876" s="1109">
        <f t="shared" si="2644"/>
        <v>0</v>
      </c>
      <c r="AV876" s="1109"/>
      <c r="AW876" s="1109"/>
      <c r="AX876" s="1109"/>
      <c r="AY876" s="1109"/>
      <c r="AZ876" s="1109"/>
      <c r="BA876" s="1109"/>
      <c r="BB876" s="1109"/>
      <c r="BC876" s="794"/>
      <c r="BD876" s="1109">
        <f>SUM(BD572)</f>
        <v>0</v>
      </c>
      <c r="BE876" s="1109">
        <f t="shared" ref="BE876:BM876" si="2645">SUM(BE572)</f>
        <v>0</v>
      </c>
      <c r="BF876" s="1109">
        <f t="shared" si="2645"/>
        <v>0</v>
      </c>
      <c r="BG876" s="1109">
        <f t="shared" si="2645"/>
        <v>0</v>
      </c>
      <c r="BH876" s="1109">
        <f t="shared" si="2645"/>
        <v>0</v>
      </c>
      <c r="BI876" s="1109">
        <f t="shared" si="2645"/>
        <v>0</v>
      </c>
      <c r="BJ876" s="1109">
        <f t="shared" si="2645"/>
        <v>0</v>
      </c>
      <c r="BK876" s="1109">
        <f t="shared" si="2645"/>
        <v>0</v>
      </c>
      <c r="BL876" s="1109">
        <f t="shared" si="2645"/>
        <v>0</v>
      </c>
      <c r="BM876" s="1109">
        <f t="shared" si="2645"/>
        <v>0</v>
      </c>
      <c r="BN876" s="1109"/>
      <c r="BO876" s="1109"/>
      <c r="BP876" s="1109"/>
      <c r="BQ876" s="1109"/>
      <c r="BR876" s="1109"/>
      <c r="BS876" s="1109"/>
      <c r="BT876" s="1109"/>
      <c r="BU876" s="794"/>
      <c r="BV876" s="1109">
        <f>SUM(BV572)</f>
        <v>0</v>
      </c>
      <c r="BW876" s="1109">
        <f>SUM(BW572)</f>
        <v>0</v>
      </c>
      <c r="BX876" s="1109">
        <f>SUM(BX572)</f>
        <v>0</v>
      </c>
      <c r="BY876" s="1109">
        <f>SUM(BY572)</f>
        <v>0</v>
      </c>
      <c r="BZ876" s="611">
        <f t="shared" si="2564"/>
        <v>0</v>
      </c>
      <c r="CA876" s="611">
        <f t="shared" si="2565"/>
        <v>0</v>
      </c>
      <c r="CB876" s="611">
        <f t="shared" si="2566"/>
        <v>0</v>
      </c>
      <c r="CC876" s="679">
        <f t="shared" si="2567"/>
        <v>0</v>
      </c>
      <c r="CD876" s="1319">
        <f t="shared" si="2640"/>
        <v>0</v>
      </c>
      <c r="CE876" s="1320">
        <f t="shared" si="2640"/>
        <v>0</v>
      </c>
      <c r="CF876" s="1320">
        <f t="shared" si="2640"/>
        <v>0</v>
      </c>
      <c r="CG876" s="1320">
        <f t="shared" si="2640"/>
        <v>0</v>
      </c>
      <c r="CH876" s="1321">
        <f t="shared" si="2640"/>
        <v>0</v>
      </c>
      <c r="CI876" s="1321">
        <f t="shared" si="2640"/>
        <v>0</v>
      </c>
      <c r="CJ876" s="1320">
        <f t="shared" si="2640"/>
        <v>0</v>
      </c>
      <c r="CK876" s="1320">
        <f t="shared" si="2640"/>
        <v>0</v>
      </c>
      <c r="CL876" s="1320">
        <f t="shared" si="2640"/>
        <v>0</v>
      </c>
      <c r="CM876" s="1319">
        <f t="shared" si="2640"/>
        <v>0</v>
      </c>
      <c r="CN876" s="1325" t="str">
        <f t="shared" si="2641"/>
        <v/>
      </c>
      <c r="CO876" s="1326" t="str">
        <f t="shared" si="2641"/>
        <v/>
      </c>
      <c r="CP876" s="1326" t="str">
        <f t="shared" si="2641"/>
        <v/>
      </c>
      <c r="CQ876" s="1326">
        <f t="shared" si="2641"/>
        <v>0</v>
      </c>
      <c r="CR876" s="1326">
        <f t="shared" si="2641"/>
        <v>0</v>
      </c>
      <c r="CS876" s="1326">
        <f t="shared" si="2641"/>
        <v>0</v>
      </c>
      <c r="CT876" s="1327">
        <f t="shared" si="2641"/>
        <v>0</v>
      </c>
      <c r="CU876" s="1327">
        <f t="shared" si="2641"/>
        <v>0</v>
      </c>
      <c r="CV876" s="1327">
        <f t="shared" si="2641"/>
        <v>0</v>
      </c>
      <c r="CW876" s="1326">
        <f t="shared" si="2641"/>
        <v>0</v>
      </c>
      <c r="CX876" s="1326">
        <f t="shared" si="2641"/>
        <v>0</v>
      </c>
      <c r="CY876" s="1326">
        <f t="shared" si="2641"/>
        <v>0</v>
      </c>
      <c r="CZ876" s="1326">
        <f t="shared" si="2641"/>
        <v>0</v>
      </c>
      <c r="DA876" s="1326" t="str">
        <f t="shared" si="2641"/>
        <v/>
      </c>
      <c r="DB876" s="1325" t="str">
        <f t="shared" si="2635"/>
        <v/>
      </c>
      <c r="DC876" s="1381" t="str">
        <f t="shared" si="2570"/>
        <v/>
      </c>
      <c r="DD876" s="641">
        <f t="shared" si="2571"/>
        <v>10</v>
      </c>
      <c r="DE876" s="95">
        <f t="shared" si="2572"/>
        <v>10</v>
      </c>
      <c r="DF876" s="95">
        <f t="shared" si="2573"/>
        <v>10</v>
      </c>
      <c r="DG876" s="95">
        <f t="shared" si="2574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09">
        <f>SUM(B578)</f>
        <v>0</v>
      </c>
      <c r="C877" s="1109">
        <f t="shared" ref="C877:K877" si="2646">SUM(C578)</f>
        <v>0</v>
      </c>
      <c r="D877" s="1109">
        <f t="shared" si="2646"/>
        <v>0</v>
      </c>
      <c r="E877" s="1109">
        <f t="shared" si="2646"/>
        <v>0</v>
      </c>
      <c r="F877" s="1109">
        <f t="shared" si="2646"/>
        <v>0</v>
      </c>
      <c r="G877" s="1109">
        <f t="shared" si="2646"/>
        <v>0</v>
      </c>
      <c r="H877" s="1109">
        <f t="shared" si="2646"/>
        <v>0</v>
      </c>
      <c r="I877" s="1109">
        <f t="shared" si="2646"/>
        <v>0</v>
      </c>
      <c r="J877" s="1109">
        <f t="shared" si="2646"/>
        <v>0</v>
      </c>
      <c r="K877" s="1109">
        <f t="shared" si="2646"/>
        <v>0</v>
      </c>
      <c r="L877" s="1109"/>
      <c r="M877" s="1109"/>
      <c r="N877" s="1109"/>
      <c r="O877" s="1109"/>
      <c r="P877" s="1109"/>
      <c r="Q877" s="1109"/>
      <c r="R877" s="1109"/>
      <c r="S877" s="794"/>
      <c r="T877" s="1109">
        <f>SUM(T578)</f>
        <v>0</v>
      </c>
      <c r="U877" s="1109">
        <f t="shared" ref="U877:AC877" si="2647">SUM(U578)</f>
        <v>3.8545970467888279E-4</v>
      </c>
      <c r="V877" s="1109">
        <f t="shared" si="2647"/>
        <v>3.7308692403486918E-3</v>
      </c>
      <c r="W877" s="1109">
        <f t="shared" si="2647"/>
        <v>0</v>
      </c>
      <c r="X877" s="1109">
        <f t="shared" si="2647"/>
        <v>2.2485149439601493E-3</v>
      </c>
      <c r="Y877" s="1109">
        <f t="shared" si="2647"/>
        <v>3.5976239103362385E-4</v>
      </c>
      <c r="Z877" s="1109">
        <f t="shared" si="2647"/>
        <v>0</v>
      </c>
      <c r="AA877" s="1109">
        <f t="shared" si="2647"/>
        <v>0</v>
      </c>
      <c r="AB877" s="1109">
        <f t="shared" si="2647"/>
        <v>0</v>
      </c>
      <c r="AC877" s="1109">
        <f t="shared" si="2647"/>
        <v>0</v>
      </c>
      <c r="AD877" s="1109"/>
      <c r="AE877" s="1109"/>
      <c r="AF877" s="1109"/>
      <c r="AG877" s="1109"/>
      <c r="AH877" s="1109"/>
      <c r="AI877" s="1109"/>
      <c r="AJ877" s="1109"/>
      <c r="AK877" s="794"/>
      <c r="AL877" s="1109">
        <f>SUM(AL578)</f>
        <v>0</v>
      </c>
      <c r="AM877" s="1109">
        <f t="shared" ref="AM877:AU877" si="2648">SUM(AM578)</f>
        <v>0</v>
      </c>
      <c r="AN877" s="1109">
        <f t="shared" si="2648"/>
        <v>5.3964358655043585E-4</v>
      </c>
      <c r="AO877" s="1109">
        <f t="shared" si="2648"/>
        <v>0</v>
      </c>
      <c r="AP877" s="1109">
        <f t="shared" si="2648"/>
        <v>0</v>
      </c>
      <c r="AQ877" s="1109">
        <f t="shared" si="2648"/>
        <v>0</v>
      </c>
      <c r="AR877" s="1109">
        <f t="shared" si="2648"/>
        <v>0</v>
      </c>
      <c r="AS877" s="1109">
        <f t="shared" si="2648"/>
        <v>3.5976239103362385E-4</v>
      </c>
      <c r="AT877" s="1109">
        <f t="shared" si="2648"/>
        <v>0</v>
      </c>
      <c r="AU877" s="1109">
        <f t="shared" si="2648"/>
        <v>0</v>
      </c>
      <c r="AV877" s="1109"/>
      <c r="AW877" s="1109"/>
      <c r="AX877" s="1109"/>
      <c r="AY877" s="1109"/>
      <c r="AZ877" s="1109"/>
      <c r="BA877" s="1109"/>
      <c r="BB877" s="1109"/>
      <c r="BC877" s="794"/>
      <c r="BD877" s="1109">
        <f>SUM(BD578)</f>
        <v>0</v>
      </c>
      <c r="BE877" s="1109">
        <f t="shared" ref="BE877:BM877" si="2649">SUM(BE578)</f>
        <v>0</v>
      </c>
      <c r="BF877" s="1109">
        <f t="shared" si="2649"/>
        <v>0</v>
      </c>
      <c r="BG877" s="1109">
        <f t="shared" si="2649"/>
        <v>0</v>
      </c>
      <c r="BH877" s="1109">
        <f t="shared" si="2649"/>
        <v>0</v>
      </c>
      <c r="BI877" s="1109">
        <f t="shared" si="2649"/>
        <v>0</v>
      </c>
      <c r="BJ877" s="1109">
        <f t="shared" si="2649"/>
        <v>0</v>
      </c>
      <c r="BK877" s="1109">
        <f t="shared" si="2649"/>
        <v>5.1394627290517691E-4</v>
      </c>
      <c r="BL877" s="1109">
        <f t="shared" si="2649"/>
        <v>0</v>
      </c>
      <c r="BM877" s="1109">
        <f t="shared" si="2649"/>
        <v>0</v>
      </c>
      <c r="BN877" s="1109"/>
      <c r="BO877" s="1109"/>
      <c r="BP877" s="1109"/>
      <c r="BQ877" s="1109"/>
      <c r="BR877" s="1109"/>
      <c r="BS877" s="1109"/>
      <c r="BT877" s="1109"/>
      <c r="BU877" s="794"/>
      <c r="BV877" s="1109">
        <f>SUM(BV578)</f>
        <v>0</v>
      </c>
      <c r="BW877" s="1109">
        <f>SUM(BW578)</f>
        <v>0</v>
      </c>
      <c r="BX877" s="1109">
        <f>SUM(BX578)</f>
        <v>0</v>
      </c>
      <c r="BY877" s="1109">
        <f>SUM(BY578)</f>
        <v>0</v>
      </c>
      <c r="BZ877" s="611">
        <f t="shared" si="2564"/>
        <v>0</v>
      </c>
      <c r="CA877" s="611">
        <f t="shared" si="2565"/>
        <v>3.7421712995908195E-4</v>
      </c>
      <c r="CB877" s="611">
        <f t="shared" si="2566"/>
        <v>4.4970298879202987E-5</v>
      </c>
      <c r="CC877" s="679">
        <f t="shared" si="2567"/>
        <v>0</v>
      </c>
      <c r="CD877" s="1319">
        <f t="shared" si="2640"/>
        <v>0</v>
      </c>
      <c r="CE877" s="1320">
        <f t="shared" si="2640"/>
        <v>0</v>
      </c>
      <c r="CF877" s="1320">
        <f t="shared" si="2640"/>
        <v>0</v>
      </c>
      <c r="CG877" s="1320">
        <f t="shared" si="2640"/>
        <v>0</v>
      </c>
      <c r="CH877" s="1321">
        <f t="shared" si="2640"/>
        <v>0</v>
      </c>
      <c r="CI877" s="1321">
        <f t="shared" si="2640"/>
        <v>0</v>
      </c>
      <c r="CJ877" s="1320">
        <f t="shared" si="2640"/>
        <v>0</v>
      </c>
      <c r="CK877" s="1320">
        <f t="shared" si="2640"/>
        <v>0</v>
      </c>
      <c r="CL877" s="1320">
        <f t="shared" si="2640"/>
        <v>3.5976239103362385E-4</v>
      </c>
      <c r="CM877" s="1319">
        <f t="shared" si="2640"/>
        <v>5.3964358655043585E-4</v>
      </c>
      <c r="CN877" s="1325" t="str">
        <f t="shared" si="2641"/>
        <v/>
      </c>
      <c r="CO877" s="1326" t="str">
        <f t="shared" si="2641"/>
        <v/>
      </c>
      <c r="CP877" s="1326" t="str">
        <f t="shared" si="2641"/>
        <v/>
      </c>
      <c r="CQ877" s="1326">
        <f t="shared" si="2641"/>
        <v>0</v>
      </c>
      <c r="CR877" s="1326">
        <f t="shared" si="2641"/>
        <v>0</v>
      </c>
      <c r="CS877" s="1326">
        <f t="shared" si="2641"/>
        <v>0</v>
      </c>
      <c r="CT877" s="1327">
        <f t="shared" si="2641"/>
        <v>0</v>
      </c>
      <c r="CU877" s="1327">
        <f t="shared" si="2641"/>
        <v>0</v>
      </c>
      <c r="CV877" s="1327">
        <f t="shared" si="2641"/>
        <v>0</v>
      </c>
      <c r="CW877" s="1326">
        <f t="shared" si="2641"/>
        <v>0</v>
      </c>
      <c r="CX877" s="1326">
        <f t="shared" si="2641"/>
        <v>0</v>
      </c>
      <c r="CY877" s="1326">
        <f t="shared" si="2641"/>
        <v>0</v>
      </c>
      <c r="CZ877" s="1326">
        <f t="shared" si="2641"/>
        <v>5.1394627290517691E-4</v>
      </c>
      <c r="DA877" s="1326" t="str">
        <f t="shared" si="2641"/>
        <v/>
      </c>
      <c r="DB877" s="1325" t="str">
        <f t="shared" si="2635"/>
        <v/>
      </c>
      <c r="DC877" s="1381" t="str">
        <f t="shared" si="2570"/>
        <v/>
      </c>
      <c r="DD877" s="641">
        <f t="shared" si="2571"/>
        <v>10</v>
      </c>
      <c r="DE877" s="95">
        <f t="shared" si="2572"/>
        <v>10</v>
      </c>
      <c r="DF877" s="95">
        <f t="shared" si="2573"/>
        <v>10</v>
      </c>
      <c r="DG877" s="95">
        <f t="shared" si="2574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K878" si="2650">SUM(C584)</f>
        <v>0</v>
      </c>
      <c r="D878" s="1109">
        <f t="shared" si="2650"/>
        <v>0</v>
      </c>
      <c r="E878" s="1109">
        <f t="shared" si="2650"/>
        <v>0</v>
      </c>
      <c r="F878" s="1109">
        <f t="shared" si="2650"/>
        <v>0</v>
      </c>
      <c r="G878" s="1109">
        <f t="shared" si="2650"/>
        <v>0</v>
      </c>
      <c r="H878" s="1109">
        <f t="shared" si="2650"/>
        <v>0</v>
      </c>
      <c r="I878" s="1109">
        <f t="shared" si="2650"/>
        <v>0</v>
      </c>
      <c r="J878" s="1109">
        <f t="shared" si="2650"/>
        <v>0</v>
      </c>
      <c r="K878" s="1109">
        <f t="shared" si="2650"/>
        <v>0</v>
      </c>
      <c r="L878" s="1109"/>
      <c r="M878" s="1109"/>
      <c r="N878" s="1109"/>
      <c r="O878" s="1109"/>
      <c r="P878" s="1109"/>
      <c r="Q878" s="1109"/>
      <c r="R878" s="1109"/>
      <c r="S878" s="794"/>
      <c r="T878" s="1109">
        <f>SUM(T584)</f>
        <v>0</v>
      </c>
      <c r="U878" s="1109">
        <f t="shared" ref="U878:AC878" si="2651">SUM(U584)</f>
        <v>0</v>
      </c>
      <c r="V878" s="1109">
        <f t="shared" si="2651"/>
        <v>0</v>
      </c>
      <c r="W878" s="1109">
        <f t="shared" si="2651"/>
        <v>0</v>
      </c>
      <c r="X878" s="1109">
        <f t="shared" si="2651"/>
        <v>0</v>
      </c>
      <c r="Y878" s="1109">
        <f t="shared" si="2651"/>
        <v>0</v>
      </c>
      <c r="Z878" s="1109">
        <f t="shared" si="2651"/>
        <v>0</v>
      </c>
      <c r="AA878" s="1109">
        <f t="shared" si="2651"/>
        <v>0</v>
      </c>
      <c r="AB878" s="1109">
        <f t="shared" si="2651"/>
        <v>0</v>
      </c>
      <c r="AC878" s="1109">
        <f t="shared" si="2651"/>
        <v>0</v>
      </c>
      <c r="AD878" s="1109"/>
      <c r="AE878" s="1109"/>
      <c r="AF878" s="1109"/>
      <c r="AG878" s="1109"/>
      <c r="AH878" s="1109"/>
      <c r="AI878" s="1109"/>
      <c r="AJ878" s="1109"/>
      <c r="AK878" s="794"/>
      <c r="AL878" s="1109">
        <f>SUM(AL584)</f>
        <v>0</v>
      </c>
      <c r="AM878" s="1109">
        <f t="shared" ref="AM878:AU878" si="2652">SUM(AM584)</f>
        <v>0</v>
      </c>
      <c r="AN878" s="1109">
        <f t="shared" si="2652"/>
        <v>0</v>
      </c>
      <c r="AO878" s="1109">
        <f t="shared" si="2652"/>
        <v>0</v>
      </c>
      <c r="AP878" s="1109">
        <f t="shared" si="2652"/>
        <v>0</v>
      </c>
      <c r="AQ878" s="1109">
        <f t="shared" si="2652"/>
        <v>0</v>
      </c>
      <c r="AR878" s="1109">
        <f t="shared" si="2652"/>
        <v>0</v>
      </c>
      <c r="AS878" s="1109">
        <f t="shared" si="2652"/>
        <v>0</v>
      </c>
      <c r="AT878" s="1109">
        <f t="shared" si="2652"/>
        <v>0</v>
      </c>
      <c r="AU878" s="1109">
        <f t="shared" si="2652"/>
        <v>0</v>
      </c>
      <c r="AV878" s="1109"/>
      <c r="AW878" s="1109"/>
      <c r="AX878" s="1109"/>
      <c r="AY878" s="1109"/>
      <c r="AZ878" s="1109"/>
      <c r="BA878" s="1109"/>
      <c r="BB878" s="1109"/>
      <c r="BC878" s="794"/>
      <c r="BD878" s="1109">
        <f>SUM(BD584)</f>
        <v>0</v>
      </c>
      <c r="BE878" s="1109">
        <f t="shared" ref="BE878:BM878" si="2653">SUM(BE584)</f>
        <v>0</v>
      </c>
      <c r="BF878" s="1109">
        <f t="shared" si="2653"/>
        <v>0</v>
      </c>
      <c r="BG878" s="1109">
        <f t="shared" si="2653"/>
        <v>0</v>
      </c>
      <c r="BH878" s="1109">
        <f t="shared" si="2653"/>
        <v>0</v>
      </c>
      <c r="BI878" s="1109">
        <f t="shared" si="2653"/>
        <v>0</v>
      </c>
      <c r="BJ878" s="1109">
        <f t="shared" si="2653"/>
        <v>0</v>
      </c>
      <c r="BK878" s="1109">
        <f t="shared" si="2653"/>
        <v>0</v>
      </c>
      <c r="BL878" s="1109">
        <f t="shared" si="2653"/>
        <v>0</v>
      </c>
      <c r="BM878" s="1109">
        <f t="shared" si="2653"/>
        <v>0</v>
      </c>
      <c r="BN878" s="1109"/>
      <c r="BO878" s="1109"/>
      <c r="BP878" s="1109"/>
      <c r="BQ878" s="1109"/>
      <c r="BR878" s="1109"/>
      <c r="BS878" s="1109"/>
      <c r="BT878" s="1109"/>
      <c r="BU878" s="794"/>
      <c r="BV878" s="1109">
        <f>SUM(BV584)</f>
        <v>0</v>
      </c>
      <c r="BW878" s="1109">
        <f>SUM(BW584)</f>
        <v>0</v>
      </c>
      <c r="BX878" s="1109">
        <f>SUM(BX584)</f>
        <v>0</v>
      </c>
      <c r="BY878" s="1109">
        <f>SUM(BY584)</f>
        <v>0</v>
      </c>
      <c r="BZ878" s="611">
        <f t="shared" si="2564"/>
        <v>0</v>
      </c>
      <c r="CA878" s="611">
        <f t="shared" si="2565"/>
        <v>0</v>
      </c>
      <c r="CB878" s="611">
        <f t="shared" si="2566"/>
        <v>0</v>
      </c>
      <c r="CC878" s="679">
        <f t="shared" si="2567"/>
        <v>0</v>
      </c>
      <c r="CD878" s="1319">
        <f t="shared" si="2640"/>
        <v>0</v>
      </c>
      <c r="CE878" s="1320">
        <f t="shared" si="2640"/>
        <v>0</v>
      </c>
      <c r="CF878" s="1320">
        <f t="shared" si="2640"/>
        <v>0</v>
      </c>
      <c r="CG878" s="1320">
        <f t="shared" si="2640"/>
        <v>0</v>
      </c>
      <c r="CH878" s="1321">
        <f t="shared" si="2640"/>
        <v>0</v>
      </c>
      <c r="CI878" s="1321">
        <f t="shared" si="2640"/>
        <v>0</v>
      </c>
      <c r="CJ878" s="1320">
        <f t="shared" si="2640"/>
        <v>0</v>
      </c>
      <c r="CK878" s="1320">
        <f t="shared" si="2640"/>
        <v>0</v>
      </c>
      <c r="CL878" s="1320">
        <f t="shared" si="2640"/>
        <v>0</v>
      </c>
      <c r="CM878" s="1319">
        <f t="shared" si="2640"/>
        <v>0</v>
      </c>
      <c r="CN878" s="1325" t="str">
        <f t="shared" si="2641"/>
        <v/>
      </c>
      <c r="CO878" s="1326" t="str">
        <f t="shared" si="2641"/>
        <v/>
      </c>
      <c r="CP878" s="1326" t="str">
        <f t="shared" si="2641"/>
        <v/>
      </c>
      <c r="CQ878" s="1326">
        <f t="shared" si="2641"/>
        <v>0</v>
      </c>
      <c r="CR878" s="1326">
        <f t="shared" si="2641"/>
        <v>0</v>
      </c>
      <c r="CS878" s="1326">
        <f t="shared" si="2641"/>
        <v>0</v>
      </c>
      <c r="CT878" s="1327">
        <f t="shared" si="2641"/>
        <v>0</v>
      </c>
      <c r="CU878" s="1327">
        <f t="shared" si="2641"/>
        <v>0</v>
      </c>
      <c r="CV878" s="1327">
        <f t="shared" si="2641"/>
        <v>0</v>
      </c>
      <c r="CW878" s="1326">
        <f t="shared" si="2641"/>
        <v>0</v>
      </c>
      <c r="CX878" s="1326">
        <f t="shared" si="2641"/>
        <v>0</v>
      </c>
      <c r="CY878" s="1326">
        <f t="shared" si="2641"/>
        <v>0</v>
      </c>
      <c r="CZ878" s="1326">
        <f t="shared" si="2641"/>
        <v>0</v>
      </c>
      <c r="DA878" s="1326" t="str">
        <f t="shared" si="2641"/>
        <v/>
      </c>
      <c r="DB878" s="1325" t="str">
        <f t="shared" si="2635"/>
        <v/>
      </c>
      <c r="DC878" s="1381" t="str">
        <f t="shared" si="2570"/>
        <v/>
      </c>
      <c r="DD878" s="641">
        <f t="shared" si="2571"/>
        <v>10</v>
      </c>
      <c r="DE878" s="95">
        <f t="shared" si="2572"/>
        <v>10</v>
      </c>
      <c r="DF878" s="95">
        <f t="shared" si="2573"/>
        <v>10</v>
      </c>
      <c r="DG878" s="95">
        <f t="shared" si="2574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K879" si="2654">SUM(C590)</f>
        <v>0</v>
      </c>
      <c r="D879" s="1109">
        <f t="shared" si="2654"/>
        <v>0</v>
      </c>
      <c r="E879" s="1109">
        <f t="shared" si="2654"/>
        <v>0</v>
      </c>
      <c r="F879" s="1109">
        <f t="shared" si="2654"/>
        <v>0</v>
      </c>
      <c r="G879" s="1109">
        <f t="shared" si="2654"/>
        <v>0</v>
      </c>
      <c r="H879" s="1109">
        <f t="shared" si="2654"/>
        <v>0</v>
      </c>
      <c r="I879" s="1109">
        <f t="shared" si="2654"/>
        <v>0</v>
      </c>
      <c r="J879" s="1109">
        <f t="shared" si="2654"/>
        <v>0</v>
      </c>
      <c r="K879" s="1109">
        <f t="shared" si="2654"/>
        <v>0</v>
      </c>
      <c r="L879" s="1109"/>
      <c r="M879" s="1109"/>
      <c r="N879" s="1109"/>
      <c r="O879" s="1109"/>
      <c r="P879" s="1109"/>
      <c r="Q879" s="1109"/>
      <c r="R879" s="1109"/>
      <c r="S879" s="794"/>
      <c r="T879" s="1109">
        <f>SUM(T590)</f>
        <v>0</v>
      </c>
      <c r="U879" s="1109">
        <f t="shared" ref="U879:AC879" si="2655">SUM(U590)</f>
        <v>0</v>
      </c>
      <c r="V879" s="1109">
        <f t="shared" si="2655"/>
        <v>0</v>
      </c>
      <c r="W879" s="1109">
        <f t="shared" si="2655"/>
        <v>0</v>
      </c>
      <c r="X879" s="1109">
        <f t="shared" si="2655"/>
        <v>0</v>
      </c>
      <c r="Y879" s="1109">
        <f t="shared" si="2655"/>
        <v>0</v>
      </c>
      <c r="Z879" s="1109">
        <f t="shared" si="2655"/>
        <v>0</v>
      </c>
      <c r="AA879" s="1109">
        <f t="shared" si="2655"/>
        <v>0</v>
      </c>
      <c r="AB879" s="1109">
        <f t="shared" si="2655"/>
        <v>0</v>
      </c>
      <c r="AC879" s="1109">
        <f t="shared" si="2655"/>
        <v>0</v>
      </c>
      <c r="AD879" s="1109"/>
      <c r="AE879" s="1109"/>
      <c r="AF879" s="1109"/>
      <c r="AG879" s="1109"/>
      <c r="AH879" s="1109"/>
      <c r="AI879" s="1109"/>
      <c r="AJ879" s="1109"/>
      <c r="AK879" s="794"/>
      <c r="AL879" s="1109">
        <f>SUM(AL590)</f>
        <v>0</v>
      </c>
      <c r="AM879" s="1109">
        <f t="shared" ref="AM879:AU879" si="2656">SUM(AM590)</f>
        <v>6.4952753424657537E-3</v>
      </c>
      <c r="AN879" s="1109">
        <f t="shared" si="2656"/>
        <v>0</v>
      </c>
      <c r="AO879" s="1109">
        <f t="shared" si="2656"/>
        <v>0</v>
      </c>
      <c r="AP879" s="1109">
        <f t="shared" si="2656"/>
        <v>0</v>
      </c>
      <c r="AQ879" s="1109">
        <f t="shared" si="2656"/>
        <v>0</v>
      </c>
      <c r="AR879" s="1109">
        <f t="shared" si="2656"/>
        <v>0</v>
      </c>
      <c r="AS879" s="1109">
        <f t="shared" si="2656"/>
        <v>0</v>
      </c>
      <c r="AT879" s="1109">
        <f t="shared" si="2656"/>
        <v>0</v>
      </c>
      <c r="AU879" s="1109">
        <f t="shared" si="2656"/>
        <v>0</v>
      </c>
      <c r="AV879" s="1109"/>
      <c r="AW879" s="1109"/>
      <c r="AX879" s="1109"/>
      <c r="AY879" s="1109"/>
      <c r="AZ879" s="1109"/>
      <c r="BA879" s="1109"/>
      <c r="BB879" s="1109"/>
      <c r="BC879" s="794"/>
      <c r="BD879" s="1109">
        <f>SUM(BD590)</f>
        <v>0</v>
      </c>
      <c r="BE879" s="1109">
        <f t="shared" ref="BE879:BM879" si="2657">SUM(BE590)</f>
        <v>6.4952753424657537E-3</v>
      </c>
      <c r="BF879" s="1109">
        <f t="shared" si="2657"/>
        <v>4.3301835616438361E-3</v>
      </c>
      <c r="BG879" s="1109">
        <f t="shared" si="2657"/>
        <v>1.4846343639921723E-2</v>
      </c>
      <c r="BH879" s="1109">
        <f t="shared" si="2657"/>
        <v>4.7238366127023666E-3</v>
      </c>
      <c r="BI879" s="1109">
        <f t="shared" si="2657"/>
        <v>0</v>
      </c>
      <c r="BJ879" s="1109">
        <f t="shared" si="2657"/>
        <v>3.2476376712328768E-3</v>
      </c>
      <c r="BK879" s="1109">
        <f t="shared" si="2657"/>
        <v>7.4231718199608615E-3</v>
      </c>
      <c r="BL879" s="1109">
        <f t="shared" si="2657"/>
        <v>4.7238366127023666E-3</v>
      </c>
      <c r="BM879" s="1109">
        <f t="shared" si="2657"/>
        <v>3.7115859099804307E-3</v>
      </c>
      <c r="BN879" s="1109"/>
      <c r="BO879" s="1109"/>
      <c r="BP879" s="1109"/>
      <c r="BQ879" s="1109"/>
      <c r="BR879" s="1109"/>
      <c r="BS879" s="1109"/>
      <c r="BT879" s="1109"/>
      <c r="BU879" s="794"/>
      <c r="BV879" s="1109">
        <f>SUM(BV590)</f>
        <v>0</v>
      </c>
      <c r="BW879" s="1109">
        <f>SUM(BW590)</f>
        <v>0</v>
      </c>
      <c r="BX879" s="1109">
        <f>SUM(BX590)</f>
        <v>0</v>
      </c>
      <c r="BY879" s="1109">
        <f>SUM(BY590)</f>
        <v>5.7735780821917817E-3</v>
      </c>
      <c r="BZ879" s="611">
        <f t="shared" si="2564"/>
        <v>0</v>
      </c>
      <c r="CA879" s="611">
        <f t="shared" si="2565"/>
        <v>0</v>
      </c>
      <c r="CB879" s="611">
        <f t="shared" si="2566"/>
        <v>0</v>
      </c>
      <c r="CC879" s="679">
        <f t="shared" si="2567"/>
        <v>4.3319409413360606E-3</v>
      </c>
      <c r="CD879" s="1319">
        <f t="shared" si="2640"/>
        <v>0</v>
      </c>
      <c r="CE879" s="1320">
        <f t="shared" si="2640"/>
        <v>0</v>
      </c>
      <c r="CF879" s="1320">
        <f t="shared" si="2640"/>
        <v>0</v>
      </c>
      <c r="CG879" s="1320">
        <f t="shared" si="2640"/>
        <v>0</v>
      </c>
      <c r="CH879" s="1321">
        <f t="shared" si="2640"/>
        <v>0</v>
      </c>
      <c r="CI879" s="1321">
        <f t="shared" si="2640"/>
        <v>0</v>
      </c>
      <c r="CJ879" s="1320">
        <f t="shared" si="2640"/>
        <v>0</v>
      </c>
      <c r="CK879" s="1320">
        <f t="shared" si="2640"/>
        <v>0</v>
      </c>
      <c r="CL879" s="1320">
        <f t="shared" si="2640"/>
        <v>0</v>
      </c>
      <c r="CM879" s="1319">
        <f t="shared" si="2640"/>
        <v>6.4952753424657537E-3</v>
      </c>
      <c r="CN879" s="1325" t="str">
        <f t="shared" si="2641"/>
        <v/>
      </c>
      <c r="CO879" s="1326" t="str">
        <f t="shared" si="2641"/>
        <v/>
      </c>
      <c r="CP879" s="1326" t="str">
        <f t="shared" si="2641"/>
        <v/>
      </c>
      <c r="CQ879" s="1326">
        <f t="shared" si="2641"/>
        <v>0</v>
      </c>
      <c r="CR879" s="1326">
        <f t="shared" si="2641"/>
        <v>0</v>
      </c>
      <c r="CS879" s="1326">
        <f t="shared" si="2641"/>
        <v>3.2476376712328768E-3</v>
      </c>
      <c r="CT879" s="1327">
        <f t="shared" si="2641"/>
        <v>3.7115859099804307E-3</v>
      </c>
      <c r="CU879" s="1327">
        <f t="shared" si="2641"/>
        <v>4.3301835616438361E-3</v>
      </c>
      <c r="CV879" s="1327">
        <f t="shared" si="2641"/>
        <v>4.7238366127023666E-3</v>
      </c>
      <c r="CW879" s="1326">
        <f t="shared" si="2641"/>
        <v>4.7238366127023666E-3</v>
      </c>
      <c r="CX879" s="1326">
        <f t="shared" si="2641"/>
        <v>6.4952753424657537E-3</v>
      </c>
      <c r="CY879" s="1326">
        <f t="shared" si="2641"/>
        <v>7.4231718199608615E-3</v>
      </c>
      <c r="CZ879" s="1326">
        <f t="shared" si="2641"/>
        <v>1.4846343639921723E-2</v>
      </c>
      <c r="DA879" s="1326" t="str">
        <f t="shared" si="2641"/>
        <v/>
      </c>
      <c r="DB879" s="1325" t="str">
        <f t="shared" si="2635"/>
        <v/>
      </c>
      <c r="DC879" s="1381" t="str">
        <f t="shared" si="2570"/>
        <v/>
      </c>
      <c r="DD879" s="641">
        <f t="shared" si="2571"/>
        <v>10</v>
      </c>
      <c r="DE879" s="95">
        <f t="shared" si="2572"/>
        <v>10</v>
      </c>
      <c r="DF879" s="95">
        <f t="shared" si="2573"/>
        <v>10</v>
      </c>
      <c r="DG879" s="95">
        <f t="shared" si="2574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58">SUM(C597)</f>
        <v>0</v>
      </c>
      <c r="D880" s="795">
        <f t="shared" si="2658"/>
        <v>0</v>
      </c>
      <c r="E880" s="795">
        <f t="shared" si="2658"/>
        <v>0</v>
      </c>
      <c r="F880" s="795">
        <f t="shared" si="2658"/>
        <v>0</v>
      </c>
      <c r="G880" s="795">
        <f t="shared" si="2658"/>
        <v>0</v>
      </c>
      <c r="H880" s="795">
        <f t="shared" si="2658"/>
        <v>0</v>
      </c>
      <c r="I880" s="795">
        <f t="shared" si="2658"/>
        <v>0</v>
      </c>
      <c r="J880" s="795">
        <f t="shared" si="2658"/>
        <v>0</v>
      </c>
      <c r="K880" s="795">
        <f t="shared" si="2658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59">SUM(U597)</f>
        <v>0</v>
      </c>
      <c r="V880" s="795">
        <f t="shared" si="2659"/>
        <v>0</v>
      </c>
      <c r="W880" s="795">
        <f t="shared" si="2659"/>
        <v>0</v>
      </c>
      <c r="X880" s="795">
        <f t="shared" si="2659"/>
        <v>0</v>
      </c>
      <c r="Y880" s="795">
        <f t="shared" si="2659"/>
        <v>0</v>
      </c>
      <c r="Z880" s="795">
        <f t="shared" si="2659"/>
        <v>0</v>
      </c>
      <c r="AA880" s="795">
        <f t="shared" si="2659"/>
        <v>0</v>
      </c>
      <c r="AB880" s="795">
        <f t="shared" si="2659"/>
        <v>0</v>
      </c>
      <c r="AC880" s="795">
        <f t="shared" si="2659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60">SUM(AM597)</f>
        <v>0</v>
      </c>
      <c r="AN880" s="795">
        <f t="shared" si="2660"/>
        <v>0</v>
      </c>
      <c r="AO880" s="795">
        <f t="shared" si="2660"/>
        <v>0</v>
      </c>
      <c r="AP880" s="795">
        <f t="shared" si="2660"/>
        <v>0</v>
      </c>
      <c r="AQ880" s="795">
        <f t="shared" si="2660"/>
        <v>0</v>
      </c>
      <c r="AR880" s="795">
        <f t="shared" si="2660"/>
        <v>0</v>
      </c>
      <c r="AS880" s="795">
        <f t="shared" si="2660"/>
        <v>0</v>
      </c>
      <c r="AT880" s="795">
        <f t="shared" si="2660"/>
        <v>0</v>
      </c>
      <c r="AU880" s="795">
        <f t="shared" si="2660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61">SUM(BE597)</f>
        <v>0</v>
      </c>
      <c r="BF880" s="795">
        <f t="shared" si="2661"/>
        <v>0</v>
      </c>
      <c r="BG880" s="795">
        <f t="shared" si="2661"/>
        <v>0</v>
      </c>
      <c r="BH880" s="795">
        <f t="shared" si="2661"/>
        <v>0</v>
      </c>
      <c r="BI880" s="795">
        <f t="shared" si="2661"/>
        <v>0</v>
      </c>
      <c r="BJ880" s="795">
        <f t="shared" si="2661"/>
        <v>0</v>
      </c>
      <c r="BK880" s="795">
        <f t="shared" si="2661"/>
        <v>0</v>
      </c>
      <c r="BL880" s="795">
        <f t="shared" si="2661"/>
        <v>0</v>
      </c>
      <c r="BM880" s="795">
        <f t="shared" si="2661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64"/>
        <v>0</v>
      </c>
      <c r="CA880" s="611">
        <f t="shared" si="2565"/>
        <v>0</v>
      </c>
      <c r="CB880" s="611">
        <f t="shared" si="2566"/>
        <v>0</v>
      </c>
      <c r="CC880" s="679">
        <f t="shared" si="2567"/>
        <v>0</v>
      </c>
      <c r="CD880" s="1319">
        <f t="shared" si="2640"/>
        <v>0</v>
      </c>
      <c r="CE880" s="1320">
        <f t="shared" si="2640"/>
        <v>0</v>
      </c>
      <c r="CF880" s="1320">
        <f t="shared" si="2640"/>
        <v>0</v>
      </c>
      <c r="CG880" s="1320">
        <f t="shared" si="2640"/>
        <v>0</v>
      </c>
      <c r="CH880" s="1321">
        <f t="shared" si="2640"/>
        <v>0</v>
      </c>
      <c r="CI880" s="1321">
        <f t="shared" si="2640"/>
        <v>0</v>
      </c>
      <c r="CJ880" s="1320">
        <f t="shared" si="2640"/>
        <v>0</v>
      </c>
      <c r="CK880" s="1320">
        <f t="shared" si="2640"/>
        <v>0</v>
      </c>
      <c r="CL880" s="1320">
        <f t="shared" si="2640"/>
        <v>0</v>
      </c>
      <c r="CM880" s="1319">
        <f t="shared" si="2640"/>
        <v>0</v>
      </c>
      <c r="CN880" s="1325" t="str">
        <f t="shared" si="2641"/>
        <v/>
      </c>
      <c r="CO880" s="1326" t="str">
        <f t="shared" si="2641"/>
        <v/>
      </c>
      <c r="CP880" s="1326" t="str">
        <f t="shared" si="2641"/>
        <v/>
      </c>
      <c r="CQ880" s="1326">
        <f t="shared" si="2641"/>
        <v>0</v>
      </c>
      <c r="CR880" s="1326">
        <f t="shared" si="2641"/>
        <v>0</v>
      </c>
      <c r="CS880" s="1326">
        <f t="shared" si="2641"/>
        <v>0</v>
      </c>
      <c r="CT880" s="1327">
        <f t="shared" si="2641"/>
        <v>0</v>
      </c>
      <c r="CU880" s="1327">
        <f t="shared" si="2641"/>
        <v>0</v>
      </c>
      <c r="CV880" s="1327">
        <f t="shared" si="2641"/>
        <v>0</v>
      </c>
      <c r="CW880" s="1326">
        <f t="shared" si="2641"/>
        <v>0</v>
      </c>
      <c r="CX880" s="1326">
        <f t="shared" si="2641"/>
        <v>0</v>
      </c>
      <c r="CY880" s="1326">
        <f t="shared" si="2641"/>
        <v>0</v>
      </c>
      <c r="CZ880" s="1326">
        <f t="shared" si="2641"/>
        <v>0</v>
      </c>
      <c r="DA880" s="1326" t="str">
        <f t="shared" si="2641"/>
        <v/>
      </c>
      <c r="DB880" s="1325" t="str">
        <f t="shared" si="2635"/>
        <v/>
      </c>
      <c r="DC880" s="1381" t="str">
        <f t="shared" si="2570"/>
        <v/>
      </c>
      <c r="DD880" s="641">
        <f t="shared" si="2571"/>
        <v>10</v>
      </c>
      <c r="DE880" s="95">
        <f t="shared" si="2572"/>
        <v>10</v>
      </c>
      <c r="DF880" s="95">
        <f t="shared" si="2573"/>
        <v>10</v>
      </c>
      <c r="DG880" s="95">
        <f t="shared" si="2574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62">SUM(C603)</f>
        <v>0</v>
      </c>
      <c r="D881" s="795">
        <f t="shared" si="2662"/>
        <v>0</v>
      </c>
      <c r="E881" s="795">
        <f t="shared" si="2662"/>
        <v>0</v>
      </c>
      <c r="F881" s="795">
        <f t="shared" si="2662"/>
        <v>0</v>
      </c>
      <c r="G881" s="795">
        <f t="shared" si="2662"/>
        <v>0</v>
      </c>
      <c r="H881" s="795">
        <f t="shared" si="2662"/>
        <v>0</v>
      </c>
      <c r="I881" s="795">
        <f t="shared" si="2662"/>
        <v>0</v>
      </c>
      <c r="J881" s="795">
        <f t="shared" si="2662"/>
        <v>0</v>
      </c>
      <c r="K881" s="795">
        <f t="shared" si="2662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63">SUM(U603)</f>
        <v>0</v>
      </c>
      <c r="V881" s="795">
        <f t="shared" si="2663"/>
        <v>0</v>
      </c>
      <c r="W881" s="795">
        <f t="shared" si="2663"/>
        <v>0</v>
      </c>
      <c r="X881" s="795">
        <f t="shared" si="2663"/>
        <v>0</v>
      </c>
      <c r="Y881" s="795">
        <f t="shared" si="2663"/>
        <v>0</v>
      </c>
      <c r="Z881" s="795">
        <f t="shared" si="2663"/>
        <v>0</v>
      </c>
      <c r="AA881" s="795">
        <f t="shared" si="2663"/>
        <v>0</v>
      </c>
      <c r="AB881" s="795">
        <f t="shared" si="2663"/>
        <v>0</v>
      </c>
      <c r="AC881" s="795">
        <f t="shared" si="2663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64">SUM(AM603)</f>
        <v>0</v>
      </c>
      <c r="AN881" s="795">
        <f t="shared" si="2664"/>
        <v>0</v>
      </c>
      <c r="AO881" s="795">
        <f t="shared" si="2664"/>
        <v>0</v>
      </c>
      <c r="AP881" s="795">
        <f t="shared" si="2664"/>
        <v>0</v>
      </c>
      <c r="AQ881" s="795">
        <f t="shared" si="2664"/>
        <v>0</v>
      </c>
      <c r="AR881" s="795">
        <f t="shared" si="2664"/>
        <v>0</v>
      </c>
      <c r="AS881" s="795">
        <f t="shared" si="2664"/>
        <v>0</v>
      </c>
      <c r="AT881" s="795">
        <f t="shared" si="2664"/>
        <v>0</v>
      </c>
      <c r="AU881" s="795">
        <f t="shared" si="2664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65">SUM(BE603)</f>
        <v>0</v>
      </c>
      <c r="BF881" s="795">
        <f t="shared" si="2665"/>
        <v>0</v>
      </c>
      <c r="BG881" s="795">
        <f t="shared" si="2665"/>
        <v>0</v>
      </c>
      <c r="BH881" s="795">
        <f t="shared" si="2665"/>
        <v>0</v>
      </c>
      <c r="BI881" s="795">
        <f t="shared" si="2665"/>
        <v>0</v>
      </c>
      <c r="BJ881" s="795">
        <f t="shared" si="2665"/>
        <v>0</v>
      </c>
      <c r="BK881" s="795">
        <f t="shared" si="2665"/>
        <v>0</v>
      </c>
      <c r="BL881" s="795">
        <f t="shared" si="2665"/>
        <v>0</v>
      </c>
      <c r="BM881" s="795">
        <f t="shared" si="2665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64"/>
        <v>0</v>
      </c>
      <c r="CA881" s="611">
        <f t="shared" si="2565"/>
        <v>0</v>
      </c>
      <c r="CB881" s="611">
        <f t="shared" si="2566"/>
        <v>0</v>
      </c>
      <c r="CC881" s="679">
        <f t="shared" si="2567"/>
        <v>0</v>
      </c>
      <c r="CD881" s="1319">
        <f t="shared" si="2640"/>
        <v>0</v>
      </c>
      <c r="CE881" s="1320">
        <f t="shared" si="2640"/>
        <v>0</v>
      </c>
      <c r="CF881" s="1320">
        <f t="shared" si="2640"/>
        <v>0</v>
      </c>
      <c r="CG881" s="1320">
        <f t="shared" si="2640"/>
        <v>0</v>
      </c>
      <c r="CH881" s="1321">
        <f t="shared" si="2640"/>
        <v>0</v>
      </c>
      <c r="CI881" s="1321">
        <f t="shared" si="2640"/>
        <v>0</v>
      </c>
      <c r="CJ881" s="1320">
        <f t="shared" si="2640"/>
        <v>0</v>
      </c>
      <c r="CK881" s="1320">
        <f t="shared" si="2640"/>
        <v>0</v>
      </c>
      <c r="CL881" s="1320">
        <f t="shared" si="2640"/>
        <v>0</v>
      </c>
      <c r="CM881" s="1319">
        <f t="shared" si="2640"/>
        <v>0</v>
      </c>
      <c r="CN881" s="1325" t="str">
        <f t="shared" si="2641"/>
        <v/>
      </c>
      <c r="CO881" s="1326" t="str">
        <f t="shared" si="2641"/>
        <v/>
      </c>
      <c r="CP881" s="1326" t="str">
        <f t="shared" si="2641"/>
        <v/>
      </c>
      <c r="CQ881" s="1326">
        <f t="shared" si="2641"/>
        <v>0</v>
      </c>
      <c r="CR881" s="1326">
        <f t="shared" si="2641"/>
        <v>0</v>
      </c>
      <c r="CS881" s="1326">
        <f t="shared" si="2641"/>
        <v>0</v>
      </c>
      <c r="CT881" s="1327">
        <f t="shared" si="2641"/>
        <v>0</v>
      </c>
      <c r="CU881" s="1327">
        <f t="shared" si="2641"/>
        <v>0</v>
      </c>
      <c r="CV881" s="1327">
        <f t="shared" si="2641"/>
        <v>0</v>
      </c>
      <c r="CW881" s="1326">
        <f t="shared" si="2641"/>
        <v>0</v>
      </c>
      <c r="CX881" s="1326">
        <f t="shared" si="2641"/>
        <v>0</v>
      </c>
      <c r="CY881" s="1326">
        <f t="shared" si="2641"/>
        <v>0</v>
      </c>
      <c r="CZ881" s="1326">
        <f t="shared" si="2641"/>
        <v>0</v>
      </c>
      <c r="DA881" s="1326" t="str">
        <f t="shared" si="2641"/>
        <v/>
      </c>
      <c r="DB881" s="1325" t="str">
        <f t="shared" si="2635"/>
        <v/>
      </c>
      <c r="DC881" s="1381" t="str">
        <f t="shared" si="2570"/>
        <v/>
      </c>
      <c r="DD881" s="641">
        <f t="shared" si="2571"/>
        <v>10</v>
      </c>
      <c r="DE881" s="95">
        <f t="shared" si="2572"/>
        <v>10</v>
      </c>
      <c r="DF881" s="95">
        <f t="shared" si="2573"/>
        <v>10</v>
      </c>
      <c r="DG881" s="95">
        <f t="shared" si="2574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66">SUM(C609)</f>
        <v>0</v>
      </c>
      <c r="D882" s="795">
        <f t="shared" si="2666"/>
        <v>0</v>
      </c>
      <c r="E882" s="795">
        <f t="shared" si="2666"/>
        <v>0</v>
      </c>
      <c r="F882" s="795">
        <f t="shared" si="2666"/>
        <v>0</v>
      </c>
      <c r="G882" s="795">
        <f t="shared" si="2666"/>
        <v>0</v>
      </c>
      <c r="H882" s="795">
        <f t="shared" si="2666"/>
        <v>0</v>
      </c>
      <c r="I882" s="795">
        <f t="shared" si="2666"/>
        <v>0</v>
      </c>
      <c r="J882" s="795">
        <f t="shared" si="2666"/>
        <v>0</v>
      </c>
      <c r="K882" s="795">
        <f t="shared" si="2666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67">SUM(U609)</f>
        <v>0</v>
      </c>
      <c r="V882" s="795">
        <f t="shared" si="2667"/>
        <v>0</v>
      </c>
      <c r="W882" s="795">
        <f t="shared" si="2667"/>
        <v>0</v>
      </c>
      <c r="X882" s="795">
        <f t="shared" si="2667"/>
        <v>0</v>
      </c>
      <c r="Y882" s="795">
        <f t="shared" si="2667"/>
        <v>0</v>
      </c>
      <c r="Z882" s="795">
        <f t="shared" si="2667"/>
        <v>0</v>
      </c>
      <c r="AA882" s="795">
        <f t="shared" si="2667"/>
        <v>0</v>
      </c>
      <c r="AB882" s="795">
        <f t="shared" si="2667"/>
        <v>0</v>
      </c>
      <c r="AC882" s="795">
        <f t="shared" si="2667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68">SUM(AM609)</f>
        <v>1.0695110211706101E-2</v>
      </c>
      <c r="AN882" s="795">
        <f t="shared" si="2668"/>
        <v>0</v>
      </c>
      <c r="AO882" s="795">
        <f t="shared" si="2668"/>
        <v>0</v>
      </c>
      <c r="AP882" s="795">
        <f t="shared" si="2668"/>
        <v>0</v>
      </c>
      <c r="AQ882" s="795">
        <f t="shared" si="2668"/>
        <v>0</v>
      </c>
      <c r="AR882" s="795">
        <f t="shared" si="2668"/>
        <v>0</v>
      </c>
      <c r="AS882" s="795">
        <f t="shared" si="2668"/>
        <v>0</v>
      </c>
      <c r="AT882" s="795">
        <f t="shared" si="2668"/>
        <v>0</v>
      </c>
      <c r="AU882" s="795">
        <f t="shared" si="2668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69">SUM(BE609)</f>
        <v>0</v>
      </c>
      <c r="BF882" s="795">
        <f t="shared" si="2669"/>
        <v>0</v>
      </c>
      <c r="BG882" s="795">
        <f t="shared" si="2669"/>
        <v>0</v>
      </c>
      <c r="BH882" s="795">
        <f t="shared" si="2669"/>
        <v>0</v>
      </c>
      <c r="BI882" s="795">
        <f t="shared" si="2669"/>
        <v>0</v>
      </c>
      <c r="BJ882" s="795">
        <f t="shared" si="2669"/>
        <v>0</v>
      </c>
      <c r="BK882" s="795">
        <f t="shared" si="2669"/>
        <v>0</v>
      </c>
      <c r="BL882" s="795">
        <f t="shared" si="2669"/>
        <v>0</v>
      </c>
      <c r="BM882" s="795">
        <f t="shared" si="2669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64"/>
        <v>0</v>
      </c>
      <c r="CA882" s="611">
        <f t="shared" si="2565"/>
        <v>0</v>
      </c>
      <c r="CB882" s="611">
        <f t="shared" si="2566"/>
        <v>0</v>
      </c>
      <c r="CC882" s="679">
        <f t="shared" si="2567"/>
        <v>0</v>
      </c>
      <c r="CD882" s="1319">
        <f t="shared" si="2640"/>
        <v>0</v>
      </c>
      <c r="CE882" s="1320">
        <f t="shared" si="2640"/>
        <v>0</v>
      </c>
      <c r="CF882" s="1320">
        <f t="shared" si="2640"/>
        <v>0</v>
      </c>
      <c r="CG882" s="1320">
        <f t="shared" si="2640"/>
        <v>0</v>
      </c>
      <c r="CH882" s="1321">
        <f t="shared" si="2640"/>
        <v>0</v>
      </c>
      <c r="CI882" s="1321">
        <f t="shared" si="2640"/>
        <v>0</v>
      </c>
      <c r="CJ882" s="1320">
        <f t="shared" si="2640"/>
        <v>0</v>
      </c>
      <c r="CK882" s="1320">
        <f t="shared" si="2640"/>
        <v>0</v>
      </c>
      <c r="CL882" s="1320">
        <f t="shared" si="2640"/>
        <v>0</v>
      </c>
      <c r="CM882" s="1319">
        <f t="shared" si="2640"/>
        <v>1.0695110211706101E-2</v>
      </c>
      <c r="CN882" s="1325" t="str">
        <f t="shared" si="2641"/>
        <v/>
      </c>
      <c r="CO882" s="1326" t="str">
        <f t="shared" si="2641"/>
        <v/>
      </c>
      <c r="CP882" s="1326" t="str">
        <f t="shared" si="2641"/>
        <v/>
      </c>
      <c r="CQ882" s="1326">
        <f t="shared" si="2641"/>
        <v>0</v>
      </c>
      <c r="CR882" s="1326">
        <f t="shared" si="2641"/>
        <v>0</v>
      </c>
      <c r="CS882" s="1326">
        <f t="shared" si="2641"/>
        <v>0</v>
      </c>
      <c r="CT882" s="1327">
        <f t="shared" si="2641"/>
        <v>0</v>
      </c>
      <c r="CU882" s="1327">
        <f t="shared" si="2641"/>
        <v>0</v>
      </c>
      <c r="CV882" s="1327">
        <f t="shared" si="2641"/>
        <v>0</v>
      </c>
      <c r="CW882" s="1326">
        <f t="shared" si="2641"/>
        <v>0</v>
      </c>
      <c r="CX882" s="1326">
        <f t="shared" si="2641"/>
        <v>0</v>
      </c>
      <c r="CY882" s="1326">
        <f t="shared" si="2641"/>
        <v>0</v>
      </c>
      <c r="CZ882" s="1326">
        <f t="shared" si="2641"/>
        <v>0</v>
      </c>
      <c r="DA882" s="1326" t="str">
        <f t="shared" si="2641"/>
        <v/>
      </c>
      <c r="DB882" s="1325" t="str">
        <f t="shared" si="2635"/>
        <v/>
      </c>
      <c r="DC882" s="1381" t="str">
        <f t="shared" si="2570"/>
        <v/>
      </c>
      <c r="DD882" s="641">
        <f t="shared" si="2571"/>
        <v>10</v>
      </c>
      <c r="DE882" s="95">
        <f t="shared" si="2572"/>
        <v>10</v>
      </c>
      <c r="DF882" s="95">
        <f t="shared" si="2573"/>
        <v>10</v>
      </c>
      <c r="DG882" s="95">
        <f t="shared" si="2574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70">SUM(C615)</f>
        <v>0</v>
      </c>
      <c r="D883" s="795">
        <f t="shared" si="2670"/>
        <v>0</v>
      </c>
      <c r="E883" s="795">
        <f t="shared" si="2670"/>
        <v>0</v>
      </c>
      <c r="F883" s="795">
        <f t="shared" si="2670"/>
        <v>0</v>
      </c>
      <c r="G883" s="795">
        <f t="shared" si="2670"/>
        <v>0</v>
      </c>
      <c r="H883" s="795">
        <f t="shared" si="2670"/>
        <v>0</v>
      </c>
      <c r="I883" s="795">
        <f t="shared" si="2670"/>
        <v>0</v>
      </c>
      <c r="J883" s="795">
        <f t="shared" si="2670"/>
        <v>0</v>
      </c>
      <c r="K883" s="795">
        <f t="shared" si="2670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71">SUM(U615)</f>
        <v>0</v>
      </c>
      <c r="V883" s="795">
        <f t="shared" si="2671"/>
        <v>0</v>
      </c>
      <c r="W883" s="795">
        <f t="shared" si="2671"/>
        <v>0</v>
      </c>
      <c r="X883" s="795">
        <f t="shared" si="2671"/>
        <v>0</v>
      </c>
      <c r="Y883" s="795">
        <f t="shared" si="2671"/>
        <v>0</v>
      </c>
      <c r="Z883" s="795">
        <f t="shared" si="2671"/>
        <v>0</v>
      </c>
      <c r="AA883" s="795">
        <f t="shared" si="2671"/>
        <v>0</v>
      </c>
      <c r="AB883" s="795">
        <f t="shared" si="2671"/>
        <v>0</v>
      </c>
      <c r="AC883" s="795">
        <f t="shared" si="2671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72">SUM(AM615)</f>
        <v>0</v>
      </c>
      <c r="AN883" s="795">
        <f t="shared" si="2672"/>
        <v>0</v>
      </c>
      <c r="AO883" s="795">
        <f t="shared" si="2672"/>
        <v>0</v>
      </c>
      <c r="AP883" s="795">
        <f t="shared" si="2672"/>
        <v>0</v>
      </c>
      <c r="AQ883" s="795">
        <f t="shared" si="2672"/>
        <v>0</v>
      </c>
      <c r="AR883" s="795">
        <f t="shared" si="2672"/>
        <v>0</v>
      </c>
      <c r="AS883" s="795">
        <f t="shared" si="2672"/>
        <v>0</v>
      </c>
      <c r="AT883" s="795">
        <f t="shared" si="2672"/>
        <v>0</v>
      </c>
      <c r="AU883" s="795">
        <f t="shared" si="2672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73">SUM(BE615)</f>
        <v>0</v>
      </c>
      <c r="BF883" s="795">
        <f t="shared" si="2673"/>
        <v>0</v>
      </c>
      <c r="BG883" s="795">
        <f t="shared" si="2673"/>
        <v>0</v>
      </c>
      <c r="BH883" s="795">
        <f t="shared" si="2673"/>
        <v>0</v>
      </c>
      <c r="BI883" s="795">
        <f t="shared" si="2673"/>
        <v>0</v>
      </c>
      <c r="BJ883" s="795">
        <f t="shared" si="2673"/>
        <v>0</v>
      </c>
      <c r="BK883" s="795">
        <f t="shared" si="2673"/>
        <v>0</v>
      </c>
      <c r="BL883" s="795">
        <f t="shared" si="2673"/>
        <v>0</v>
      </c>
      <c r="BM883" s="795">
        <f t="shared" si="2673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64"/>
        <v>0</v>
      </c>
      <c r="CA883" s="611">
        <f t="shared" si="2565"/>
        <v>0</v>
      </c>
      <c r="CB883" s="611">
        <f t="shared" si="2566"/>
        <v>0</v>
      </c>
      <c r="CC883" s="679">
        <f t="shared" si="2567"/>
        <v>0</v>
      </c>
      <c r="CD883" s="1319">
        <f t="shared" si="2640"/>
        <v>0</v>
      </c>
      <c r="CE883" s="1320">
        <f t="shared" si="2640"/>
        <v>0</v>
      </c>
      <c r="CF883" s="1320">
        <f t="shared" si="2640"/>
        <v>0</v>
      </c>
      <c r="CG883" s="1320">
        <f t="shared" si="2640"/>
        <v>0</v>
      </c>
      <c r="CH883" s="1321">
        <f t="shared" si="2640"/>
        <v>0</v>
      </c>
      <c r="CI883" s="1321">
        <f t="shared" si="2640"/>
        <v>0</v>
      </c>
      <c r="CJ883" s="1320">
        <f t="shared" si="2640"/>
        <v>0</v>
      </c>
      <c r="CK883" s="1320">
        <f t="shared" si="2640"/>
        <v>0</v>
      </c>
      <c r="CL883" s="1320">
        <f t="shared" si="2640"/>
        <v>0</v>
      </c>
      <c r="CM883" s="1319">
        <f t="shared" si="2640"/>
        <v>0</v>
      </c>
      <c r="CN883" s="1325" t="str">
        <f t="shared" si="2641"/>
        <v/>
      </c>
      <c r="CO883" s="1326" t="str">
        <f t="shared" si="2641"/>
        <v/>
      </c>
      <c r="CP883" s="1326" t="str">
        <f t="shared" si="2641"/>
        <v/>
      </c>
      <c r="CQ883" s="1326">
        <f t="shared" si="2641"/>
        <v>0</v>
      </c>
      <c r="CR883" s="1326">
        <f t="shared" si="2641"/>
        <v>0</v>
      </c>
      <c r="CS883" s="1326">
        <f t="shared" si="2641"/>
        <v>0</v>
      </c>
      <c r="CT883" s="1327">
        <f t="shared" si="2641"/>
        <v>0</v>
      </c>
      <c r="CU883" s="1327">
        <f t="shared" si="2641"/>
        <v>0</v>
      </c>
      <c r="CV883" s="1327">
        <f t="shared" si="2641"/>
        <v>0</v>
      </c>
      <c r="CW883" s="1326">
        <f t="shared" si="2641"/>
        <v>0</v>
      </c>
      <c r="CX883" s="1326">
        <f t="shared" si="2641"/>
        <v>0</v>
      </c>
      <c r="CY883" s="1326">
        <f t="shared" si="2641"/>
        <v>0</v>
      </c>
      <c r="CZ883" s="1326">
        <f t="shared" si="2641"/>
        <v>0</v>
      </c>
      <c r="DA883" s="1326" t="str">
        <f t="shared" si="2641"/>
        <v/>
      </c>
      <c r="DB883" s="1325" t="str">
        <f t="shared" si="2635"/>
        <v/>
      </c>
      <c r="DC883" s="1381" t="str">
        <f t="shared" si="2570"/>
        <v/>
      </c>
      <c r="DD883" s="641">
        <f t="shared" si="2571"/>
        <v>10</v>
      </c>
      <c r="DE883" s="95">
        <f t="shared" si="2572"/>
        <v>10</v>
      </c>
      <c r="DF883" s="95">
        <f t="shared" si="2573"/>
        <v>10</v>
      </c>
      <c r="DG883" s="95">
        <f t="shared" si="2574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74">SUM(C621)</f>
        <v>0</v>
      </c>
      <c r="D884" s="795">
        <f t="shared" si="2674"/>
        <v>0</v>
      </c>
      <c r="E884" s="795">
        <f t="shared" si="2674"/>
        <v>0</v>
      </c>
      <c r="F884" s="795">
        <f t="shared" si="2674"/>
        <v>0</v>
      </c>
      <c r="G884" s="795">
        <f t="shared" si="2674"/>
        <v>0</v>
      </c>
      <c r="H884" s="795">
        <f t="shared" si="2674"/>
        <v>0</v>
      </c>
      <c r="I884" s="795">
        <f t="shared" si="2674"/>
        <v>0</v>
      </c>
      <c r="J884" s="795">
        <f t="shared" si="2674"/>
        <v>0</v>
      </c>
      <c r="K884" s="795">
        <f t="shared" si="2674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75">SUM(U621)</f>
        <v>0</v>
      </c>
      <c r="V884" s="795">
        <f t="shared" si="2675"/>
        <v>0</v>
      </c>
      <c r="W884" s="795">
        <f t="shared" si="2675"/>
        <v>0</v>
      </c>
      <c r="X884" s="795">
        <f t="shared" si="2675"/>
        <v>0</v>
      </c>
      <c r="Y884" s="795">
        <f t="shared" si="2675"/>
        <v>0</v>
      </c>
      <c r="Z884" s="795">
        <f t="shared" si="2675"/>
        <v>0</v>
      </c>
      <c r="AA884" s="795">
        <f t="shared" si="2675"/>
        <v>0</v>
      </c>
      <c r="AB884" s="795">
        <f t="shared" si="2675"/>
        <v>0</v>
      </c>
      <c r="AC884" s="795">
        <f t="shared" si="2675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76">SUM(AM621)</f>
        <v>0</v>
      </c>
      <c r="AN884" s="795">
        <f t="shared" si="2676"/>
        <v>0</v>
      </c>
      <c r="AO884" s="795">
        <f t="shared" si="2676"/>
        <v>0</v>
      </c>
      <c r="AP884" s="795">
        <f t="shared" si="2676"/>
        <v>0</v>
      </c>
      <c r="AQ884" s="795">
        <f t="shared" si="2676"/>
        <v>0</v>
      </c>
      <c r="AR884" s="795">
        <f t="shared" si="2676"/>
        <v>0</v>
      </c>
      <c r="AS884" s="795">
        <f t="shared" si="2676"/>
        <v>0</v>
      </c>
      <c r="AT884" s="795">
        <f t="shared" si="2676"/>
        <v>0</v>
      </c>
      <c r="AU884" s="795">
        <f t="shared" si="2676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77">SUM(BE621)</f>
        <v>0</v>
      </c>
      <c r="BF884" s="795">
        <f t="shared" si="2677"/>
        <v>0</v>
      </c>
      <c r="BG884" s="795">
        <f t="shared" si="2677"/>
        <v>0</v>
      </c>
      <c r="BH884" s="795">
        <f t="shared" si="2677"/>
        <v>0</v>
      </c>
      <c r="BI884" s="795">
        <f t="shared" si="2677"/>
        <v>0</v>
      </c>
      <c r="BJ884" s="795">
        <f t="shared" si="2677"/>
        <v>0</v>
      </c>
      <c r="BK884" s="795">
        <f t="shared" si="2677"/>
        <v>0</v>
      </c>
      <c r="BL884" s="795">
        <f t="shared" si="2677"/>
        <v>0</v>
      </c>
      <c r="BM884" s="795">
        <f t="shared" si="2677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64"/>
        <v>0</v>
      </c>
      <c r="CA884" s="611">
        <f t="shared" si="2565"/>
        <v>0</v>
      </c>
      <c r="CB884" s="611">
        <f t="shared" si="2566"/>
        <v>0</v>
      </c>
      <c r="CC884" s="679">
        <f t="shared" si="2567"/>
        <v>0</v>
      </c>
      <c r="CD884" s="1319">
        <f t="shared" si="2640"/>
        <v>0</v>
      </c>
      <c r="CE884" s="1320">
        <f t="shared" si="2640"/>
        <v>0</v>
      </c>
      <c r="CF884" s="1320">
        <f t="shared" si="2640"/>
        <v>0</v>
      </c>
      <c r="CG884" s="1320">
        <f t="shared" si="2640"/>
        <v>0</v>
      </c>
      <c r="CH884" s="1321">
        <f t="shared" si="2640"/>
        <v>0</v>
      </c>
      <c r="CI884" s="1321">
        <f t="shared" si="2640"/>
        <v>0</v>
      </c>
      <c r="CJ884" s="1320">
        <f t="shared" si="2640"/>
        <v>0</v>
      </c>
      <c r="CK884" s="1320">
        <f t="shared" si="2640"/>
        <v>0</v>
      </c>
      <c r="CL884" s="1320">
        <f t="shared" si="2640"/>
        <v>0</v>
      </c>
      <c r="CM884" s="1319">
        <f t="shared" si="2640"/>
        <v>0</v>
      </c>
      <c r="CN884" s="1325" t="str">
        <f t="shared" si="2641"/>
        <v/>
      </c>
      <c r="CO884" s="1326" t="str">
        <f t="shared" si="2641"/>
        <v/>
      </c>
      <c r="CP884" s="1326" t="str">
        <f t="shared" si="2641"/>
        <v/>
      </c>
      <c r="CQ884" s="1326">
        <f t="shared" si="2641"/>
        <v>0</v>
      </c>
      <c r="CR884" s="1326">
        <f t="shared" si="2641"/>
        <v>0</v>
      </c>
      <c r="CS884" s="1326">
        <f t="shared" si="2641"/>
        <v>0</v>
      </c>
      <c r="CT884" s="1327">
        <f t="shared" si="2641"/>
        <v>0</v>
      </c>
      <c r="CU884" s="1327">
        <f t="shared" si="2641"/>
        <v>0</v>
      </c>
      <c r="CV884" s="1327">
        <f t="shared" si="2641"/>
        <v>0</v>
      </c>
      <c r="CW884" s="1326">
        <f t="shared" si="2641"/>
        <v>0</v>
      </c>
      <c r="CX884" s="1326">
        <f t="shared" si="2641"/>
        <v>0</v>
      </c>
      <c r="CY884" s="1326">
        <f t="shared" si="2641"/>
        <v>0</v>
      </c>
      <c r="CZ884" s="1326">
        <f t="shared" si="2641"/>
        <v>6.7259925280199247E-3</v>
      </c>
      <c r="DA884" s="1326" t="str">
        <f t="shared" si="2641"/>
        <v/>
      </c>
      <c r="DB884" s="1325" t="str">
        <f t="shared" si="2635"/>
        <v/>
      </c>
      <c r="DC884" s="1381" t="str">
        <f t="shared" si="2570"/>
        <v/>
      </c>
      <c r="DD884" s="641">
        <f t="shared" si="2571"/>
        <v>10</v>
      </c>
      <c r="DE884" s="95">
        <f t="shared" si="2572"/>
        <v>10</v>
      </c>
      <c r="DF884" s="95">
        <f t="shared" si="2573"/>
        <v>10</v>
      </c>
      <c r="DG884" s="95">
        <f t="shared" si="2574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78">SUM(C627)</f>
        <v>0</v>
      </c>
      <c r="D885" s="795">
        <f t="shared" si="2678"/>
        <v>0</v>
      </c>
      <c r="E885" s="795">
        <f t="shared" si="2678"/>
        <v>0</v>
      </c>
      <c r="F885" s="795">
        <f t="shared" si="2678"/>
        <v>0</v>
      </c>
      <c r="G885" s="795">
        <f t="shared" si="2678"/>
        <v>0</v>
      </c>
      <c r="H885" s="795">
        <f t="shared" si="2678"/>
        <v>0</v>
      </c>
      <c r="I885" s="795">
        <f t="shared" si="2678"/>
        <v>0</v>
      </c>
      <c r="J885" s="795">
        <f t="shared" si="2678"/>
        <v>0</v>
      </c>
      <c r="K885" s="795">
        <f t="shared" si="2678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79">SUM(U627)</f>
        <v>0</v>
      </c>
      <c r="V885" s="795">
        <f t="shared" si="2679"/>
        <v>0</v>
      </c>
      <c r="W885" s="795">
        <f t="shared" si="2679"/>
        <v>1.9744707347447072E-3</v>
      </c>
      <c r="X885" s="795">
        <f t="shared" si="2679"/>
        <v>0</v>
      </c>
      <c r="Y885" s="795">
        <f t="shared" si="2679"/>
        <v>0</v>
      </c>
      <c r="Z885" s="795">
        <f t="shared" si="2679"/>
        <v>0</v>
      </c>
      <c r="AA885" s="795">
        <f t="shared" si="2679"/>
        <v>0</v>
      </c>
      <c r="AB885" s="795">
        <f t="shared" si="2679"/>
        <v>0</v>
      </c>
      <c r="AC885" s="795">
        <f t="shared" si="2679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80">SUM(AM627)</f>
        <v>0</v>
      </c>
      <c r="AN885" s="795">
        <f t="shared" si="2680"/>
        <v>0</v>
      </c>
      <c r="AO885" s="795">
        <f t="shared" si="2680"/>
        <v>5.6413449564134497E-3</v>
      </c>
      <c r="AP885" s="795">
        <f t="shared" si="2680"/>
        <v>0</v>
      </c>
      <c r="AQ885" s="795">
        <f t="shared" si="2680"/>
        <v>0</v>
      </c>
      <c r="AR885" s="795">
        <f t="shared" si="2680"/>
        <v>0</v>
      </c>
      <c r="AS885" s="795">
        <f t="shared" si="2680"/>
        <v>0</v>
      </c>
      <c r="AT885" s="795">
        <f t="shared" si="2680"/>
        <v>1.1282689912826899E-2</v>
      </c>
      <c r="AU885" s="795">
        <f t="shared" si="2680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81">SUM(BE627)</f>
        <v>0</v>
      </c>
      <c r="BF885" s="795">
        <f t="shared" si="2681"/>
        <v>0</v>
      </c>
      <c r="BG885" s="795">
        <f t="shared" si="2681"/>
        <v>5.6413449564134497E-3</v>
      </c>
      <c r="BH885" s="795">
        <f t="shared" si="2681"/>
        <v>0</v>
      </c>
      <c r="BI885" s="795">
        <f t="shared" si="2681"/>
        <v>0</v>
      </c>
      <c r="BJ885" s="795">
        <f t="shared" si="2681"/>
        <v>0</v>
      </c>
      <c r="BK885" s="795">
        <f t="shared" si="2681"/>
        <v>0</v>
      </c>
      <c r="BL885" s="795">
        <f t="shared" si="2681"/>
        <v>0</v>
      </c>
      <c r="BM885" s="795">
        <f t="shared" si="2681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64"/>
        <v>0</v>
      </c>
      <c r="CA885" s="611">
        <f t="shared" si="2565"/>
        <v>0</v>
      </c>
      <c r="CB885" s="611">
        <f t="shared" si="2566"/>
        <v>7.0516811955168143E-4</v>
      </c>
      <c r="CC885" s="679">
        <f t="shared" si="2567"/>
        <v>0</v>
      </c>
      <c r="CD885" s="1319">
        <f t="shared" si="2640"/>
        <v>0</v>
      </c>
      <c r="CE885" s="1320">
        <f t="shared" si="2640"/>
        <v>0</v>
      </c>
      <c r="CF885" s="1320">
        <f t="shared" si="2640"/>
        <v>0</v>
      </c>
      <c r="CG885" s="1320">
        <f t="shared" si="2640"/>
        <v>0</v>
      </c>
      <c r="CH885" s="1321">
        <f t="shared" si="2640"/>
        <v>0</v>
      </c>
      <c r="CI885" s="1321">
        <f t="shared" si="2640"/>
        <v>0</v>
      </c>
      <c r="CJ885" s="1320">
        <f t="shared" si="2640"/>
        <v>0</v>
      </c>
      <c r="CK885" s="1320">
        <f t="shared" si="2640"/>
        <v>0</v>
      </c>
      <c r="CL885" s="1320">
        <f t="shared" si="2640"/>
        <v>5.6413449564134497E-3</v>
      </c>
      <c r="CM885" s="1319">
        <f t="shared" si="2640"/>
        <v>1.1282689912826899E-2</v>
      </c>
      <c r="CN885" s="1325" t="str">
        <f t="shared" si="2641"/>
        <v/>
      </c>
      <c r="CO885" s="1326" t="str">
        <f t="shared" si="2641"/>
        <v/>
      </c>
      <c r="CP885" s="1326" t="str">
        <f t="shared" si="2641"/>
        <v/>
      </c>
      <c r="CQ885" s="1326">
        <f t="shared" si="2641"/>
        <v>0</v>
      </c>
      <c r="CR885" s="1326">
        <f t="shared" si="2641"/>
        <v>0</v>
      </c>
      <c r="CS885" s="1326">
        <f t="shared" si="2641"/>
        <v>0</v>
      </c>
      <c r="CT885" s="1327">
        <f t="shared" si="2641"/>
        <v>0</v>
      </c>
      <c r="CU885" s="1327">
        <f t="shared" si="2641"/>
        <v>0</v>
      </c>
      <c r="CV885" s="1327">
        <f t="shared" si="2641"/>
        <v>0</v>
      </c>
      <c r="CW885" s="1326">
        <f t="shared" si="2641"/>
        <v>0</v>
      </c>
      <c r="CX885" s="1326">
        <f t="shared" si="2641"/>
        <v>0</v>
      </c>
      <c r="CY885" s="1326">
        <f t="shared" si="2641"/>
        <v>0</v>
      </c>
      <c r="CZ885" s="1326">
        <f t="shared" si="2641"/>
        <v>5.6413449564134497E-3</v>
      </c>
      <c r="DA885" s="1326" t="str">
        <f t="shared" si="2641"/>
        <v/>
      </c>
      <c r="DB885" s="1325" t="str">
        <f t="shared" si="2635"/>
        <v/>
      </c>
      <c r="DC885" s="1381" t="str">
        <f t="shared" si="2570"/>
        <v/>
      </c>
      <c r="DD885" s="641">
        <f t="shared" si="2571"/>
        <v>10</v>
      </c>
      <c r="DE885" s="95">
        <f t="shared" si="2572"/>
        <v>10</v>
      </c>
      <c r="DF885" s="95">
        <f t="shared" si="2573"/>
        <v>10</v>
      </c>
      <c r="DG885" s="95">
        <f t="shared" si="2574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 xml:space="preserve">Baking flour </v>
      </c>
      <c r="B886" s="795">
        <f>SUM(B633)</f>
        <v>5.4120777085927767E-2</v>
      </c>
      <c r="C886" s="795">
        <f t="shared" ref="C886:K886" si="2682">SUM(C633)</f>
        <v>7.7315395837039669E-2</v>
      </c>
      <c r="D886" s="795">
        <f t="shared" si="2682"/>
        <v>6.7650971357409703E-2</v>
      </c>
      <c r="E886" s="795">
        <f t="shared" si="2682"/>
        <v>5.4120777085927767E-2</v>
      </c>
      <c r="F886" s="795">
        <f t="shared" si="2682"/>
        <v>7.7315395837039669E-2</v>
      </c>
      <c r="G886" s="795">
        <f t="shared" si="2682"/>
        <v>6.7650971357409703E-2</v>
      </c>
      <c r="H886" s="795">
        <f t="shared" si="2682"/>
        <v>6.0134196762141955E-2</v>
      </c>
      <c r="I886" s="795">
        <f t="shared" si="2682"/>
        <v>0.10824155417185553</v>
      </c>
      <c r="J886" s="795">
        <f t="shared" si="2682"/>
        <v>6.7650971357409703E-2</v>
      </c>
      <c r="K886" s="795">
        <f t="shared" si="2682"/>
        <v>7.7315395837039669E-2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6.7650971357409703E-2</v>
      </c>
      <c r="U886" s="795">
        <f t="shared" ref="U886:AC886" si="2683">SUM(U633)</f>
        <v>7.7315395837039669E-2</v>
      </c>
      <c r="V886" s="795">
        <f t="shared" si="2683"/>
        <v>6.0134196762141955E-2</v>
      </c>
      <c r="W886" s="795">
        <f t="shared" si="2683"/>
        <v>5.4120777085927767E-2</v>
      </c>
      <c r="X886" s="795">
        <f t="shared" si="2683"/>
        <v>6.7650971357409703E-2</v>
      </c>
      <c r="Y886" s="795">
        <f t="shared" si="2683"/>
        <v>5.4120777085927767E-2</v>
      </c>
      <c r="Z886" s="795">
        <f t="shared" si="2683"/>
        <v>0.15033549190535492</v>
      </c>
      <c r="AA886" s="795">
        <f t="shared" si="2683"/>
        <v>5.4120777085927767E-2</v>
      </c>
      <c r="AB886" s="795">
        <f t="shared" si="2683"/>
        <v>8.4563714196762133E-2</v>
      </c>
      <c r="AC886" s="795">
        <f t="shared" si="2683"/>
        <v>7.2161036114570365E-2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1.9328848959259917E-2</v>
      </c>
      <c r="AM886" s="795">
        <f t="shared" ref="AM886:AU886" si="2684">SUM(AM633)</f>
        <v>2.8187904732254049E-2</v>
      </c>
      <c r="AN886" s="795">
        <f t="shared" si="2684"/>
        <v>0.10824155417185553</v>
      </c>
      <c r="AO886" s="795">
        <f t="shared" si="2684"/>
        <v>6.7650971357409703E-2</v>
      </c>
      <c r="AP886" s="795">
        <f t="shared" si="2684"/>
        <v>5.4120777085927767E-2</v>
      </c>
      <c r="AQ886" s="795">
        <f t="shared" si="2684"/>
        <v>4.5100647571606471E-2</v>
      </c>
      <c r="AR886" s="795">
        <f t="shared" si="2684"/>
        <v>6.4429496530866395E-2</v>
      </c>
      <c r="AS886" s="795">
        <f t="shared" si="2684"/>
        <v>4.5100647571606471E-2</v>
      </c>
      <c r="AT886" s="795">
        <f t="shared" si="2684"/>
        <v>5.4120777085927767E-2</v>
      </c>
      <c r="AU886" s="795">
        <f t="shared" si="2684"/>
        <v>5.4120777085927767E-2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5.6375809464508091E-2</v>
      </c>
      <c r="BE886" s="795">
        <f t="shared" ref="BE886:BM886" si="2685">SUM(BE633)</f>
        <v>2.8187904732254049E-2</v>
      </c>
      <c r="BF886" s="795">
        <f t="shared" si="2685"/>
        <v>5.6375809464508091E-2</v>
      </c>
      <c r="BG886" s="795">
        <f t="shared" si="2685"/>
        <v>7.7315395837039669E-2</v>
      </c>
      <c r="BH886" s="795">
        <f t="shared" si="2685"/>
        <v>4.9200706441752513E-2</v>
      </c>
      <c r="BI886" s="795">
        <f t="shared" si="2685"/>
        <v>4.5100647571606471E-2</v>
      </c>
      <c r="BJ886" s="795">
        <f t="shared" si="2685"/>
        <v>6.7650971357409703E-2</v>
      </c>
      <c r="BK886" s="795">
        <f t="shared" si="2685"/>
        <v>7.7315395837039669E-2</v>
      </c>
      <c r="BL886" s="795">
        <f t="shared" si="2685"/>
        <v>4.9200706441752513E-2</v>
      </c>
      <c r="BM886" s="795">
        <f t="shared" si="2685"/>
        <v>3.8657697918519834E-2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6.7650971357409703E-2</v>
      </c>
      <c r="BW886" s="795">
        <f>SUM(BW633)</f>
        <v>6.7650971357409703E-2</v>
      </c>
      <c r="BX886" s="795">
        <f>SUM(BX633)</f>
        <v>6.7650971357409703E-2</v>
      </c>
      <c r="BY886" s="795">
        <f>SUM(BY633)</f>
        <v>6.0134196762141955E-2</v>
      </c>
      <c r="BZ886" s="611">
        <f t="shared" si="2564"/>
        <v>6.864425942892724E-2</v>
      </c>
      <c r="CA886" s="611">
        <f t="shared" si="2565"/>
        <v>6.721472997464864E-2</v>
      </c>
      <c r="CB886" s="611">
        <f t="shared" si="2566"/>
        <v>5.1603999877690793E-2</v>
      </c>
      <c r="CC886" s="679">
        <f t="shared" si="2567"/>
        <v>5.498471806213711E-2</v>
      </c>
      <c r="CD886" s="1319">
        <f t="shared" si="2640"/>
        <v>1.9328848959259917E-2</v>
      </c>
      <c r="CE886" s="1320">
        <f t="shared" si="2640"/>
        <v>2.8187904732254049E-2</v>
      </c>
      <c r="CF886" s="1320">
        <f t="shared" si="2640"/>
        <v>4.5100647571606471E-2</v>
      </c>
      <c r="CG886" s="1320">
        <f t="shared" si="2640"/>
        <v>4.5100647571606471E-2</v>
      </c>
      <c r="CH886" s="1321">
        <f t="shared" si="2640"/>
        <v>5.4120777085927767E-2</v>
      </c>
      <c r="CI886" s="1321">
        <f t="shared" si="2640"/>
        <v>5.4120777085927767E-2</v>
      </c>
      <c r="CJ886" s="1320">
        <f t="shared" si="2640"/>
        <v>5.4120777085927767E-2</v>
      </c>
      <c r="CK886" s="1320">
        <f t="shared" si="2640"/>
        <v>6.4429496530866395E-2</v>
      </c>
      <c r="CL886" s="1320">
        <f t="shared" si="2640"/>
        <v>6.7650971357409703E-2</v>
      </c>
      <c r="CM886" s="1319">
        <f t="shared" si="2640"/>
        <v>0.10824155417185553</v>
      </c>
      <c r="CN886" s="1325" t="str">
        <f t="shared" si="2641"/>
        <v/>
      </c>
      <c r="CO886" s="1326" t="str">
        <f t="shared" si="2641"/>
        <v/>
      </c>
      <c r="CP886" s="1326" t="str">
        <f t="shared" si="2641"/>
        <v/>
      </c>
      <c r="CQ886" s="1326">
        <f t="shared" si="2641"/>
        <v>2.8187904732254049E-2</v>
      </c>
      <c r="CR886" s="1326">
        <f t="shared" si="2641"/>
        <v>3.8657697918519834E-2</v>
      </c>
      <c r="CS886" s="1326">
        <f t="shared" si="2641"/>
        <v>4.5100647571606471E-2</v>
      </c>
      <c r="CT886" s="1327">
        <f t="shared" si="2641"/>
        <v>4.9200706441752513E-2</v>
      </c>
      <c r="CU886" s="1327">
        <f t="shared" si="2641"/>
        <v>4.9200706441752513E-2</v>
      </c>
      <c r="CV886" s="1327">
        <f t="shared" si="2641"/>
        <v>5.6375809464508091E-2</v>
      </c>
      <c r="CW886" s="1326">
        <f t="shared" si="2641"/>
        <v>5.6375809464508091E-2</v>
      </c>
      <c r="CX886" s="1326">
        <f t="shared" si="2641"/>
        <v>6.7650971357409703E-2</v>
      </c>
      <c r="CY886" s="1326">
        <f t="shared" si="2641"/>
        <v>7.7315395837039669E-2</v>
      </c>
      <c r="CZ886" s="1326">
        <f t="shared" si="2641"/>
        <v>7.7315395837039669E-2</v>
      </c>
      <c r="DA886" s="1326" t="str">
        <f t="shared" si="2641"/>
        <v/>
      </c>
      <c r="DB886" s="1325" t="str">
        <f t="shared" si="2635"/>
        <v/>
      </c>
      <c r="DC886" s="1381" t="str">
        <f t="shared" si="2570"/>
        <v/>
      </c>
      <c r="DD886" s="641">
        <f t="shared" si="2571"/>
        <v>10</v>
      </c>
      <c r="DE886" s="95">
        <f t="shared" si="2572"/>
        <v>10</v>
      </c>
      <c r="DF886" s="95">
        <f t="shared" si="2573"/>
        <v>10</v>
      </c>
      <c r="DG886" s="95">
        <f t="shared" si="2574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1" t="str">
        <f>$A$636</f>
        <v>Other purchase -- see Data 4</v>
      </c>
      <c r="B887" s="795">
        <f>SUM(B640)</f>
        <v>2.651292403486924E-2</v>
      </c>
      <c r="C887" s="795">
        <f t="shared" ref="C887:K887" si="2686">SUM(C640)</f>
        <v>3.7875605764098916E-2</v>
      </c>
      <c r="D887" s="795">
        <f t="shared" si="2686"/>
        <v>3.314115504358655E-2</v>
      </c>
      <c r="E887" s="795">
        <f t="shared" si="2686"/>
        <v>2.651292403486924E-2</v>
      </c>
      <c r="F887" s="795">
        <f t="shared" si="2686"/>
        <v>3.7875605764098916E-2</v>
      </c>
      <c r="G887" s="795">
        <f t="shared" si="2686"/>
        <v>3.314115504358655E-2</v>
      </c>
      <c r="H887" s="795">
        <f t="shared" si="2686"/>
        <v>2.9458804483188047E-2</v>
      </c>
      <c r="I887" s="795">
        <f t="shared" si="2686"/>
        <v>4.4188206724782061E-2</v>
      </c>
      <c r="J887" s="795">
        <f t="shared" si="2686"/>
        <v>3.314115504358655E-2</v>
      </c>
      <c r="K887" s="795">
        <f t="shared" si="2686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87">SUM(U640)</f>
        <v>3.7875605764098916E-2</v>
      </c>
      <c r="V887" s="795">
        <f t="shared" si="2687"/>
        <v>2.9458804483188047E-2</v>
      </c>
      <c r="W887" s="795">
        <f t="shared" si="2687"/>
        <v>4.4188206724782061E-2</v>
      </c>
      <c r="X887" s="795">
        <f t="shared" si="2687"/>
        <v>3.314115504358655E-2</v>
      </c>
      <c r="Y887" s="795">
        <f t="shared" si="2687"/>
        <v>2.651292403486924E-2</v>
      </c>
      <c r="Z887" s="795">
        <f t="shared" si="2687"/>
        <v>5.8917608966376094E-2</v>
      </c>
      <c r="AA887" s="795">
        <f t="shared" si="2687"/>
        <v>1.988469302615193E-2</v>
      </c>
      <c r="AB887" s="795">
        <f t="shared" si="2687"/>
        <v>2.485586628268991E-2</v>
      </c>
      <c r="AC887" s="795">
        <f t="shared" si="2687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88">SUM(AM640)</f>
        <v>4.4971790161892899E-2</v>
      </c>
      <c r="AN887" s="795">
        <f t="shared" si="2688"/>
        <v>5.3025848069738479E-2</v>
      </c>
      <c r="AO887" s="795">
        <f t="shared" si="2688"/>
        <v>8.3299972602739719E-2</v>
      </c>
      <c r="AP887" s="795">
        <f t="shared" si="2688"/>
        <v>5.3025848069738479E-2</v>
      </c>
      <c r="AQ887" s="795">
        <f t="shared" si="2688"/>
        <v>2.651292403486924E-2</v>
      </c>
      <c r="AR887" s="795">
        <f t="shared" si="2688"/>
        <v>3.7875605764098916E-2</v>
      </c>
      <c r="AS887" s="795">
        <f t="shared" si="2688"/>
        <v>1.988469302615193E-2</v>
      </c>
      <c r="AT887" s="795">
        <f t="shared" si="2688"/>
        <v>2.651292403486924E-2</v>
      </c>
      <c r="AU887" s="795">
        <f t="shared" si="2688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89">SUM(BE640)</f>
        <v>8.9746074097135753E-2</v>
      </c>
      <c r="BF887" s="795">
        <f t="shared" si="2689"/>
        <v>2.2094103362391031E-2</v>
      </c>
      <c r="BG887" s="795">
        <f t="shared" si="2689"/>
        <v>4.3319476961394772E-2</v>
      </c>
      <c r="BH887" s="795">
        <f t="shared" si="2689"/>
        <v>2.0085548511264574E-2</v>
      </c>
      <c r="BI887" s="795">
        <f t="shared" si="2689"/>
        <v>2.2094103362391031E-2</v>
      </c>
      <c r="BJ887" s="795">
        <f t="shared" si="2689"/>
        <v>0.11413657378580325</v>
      </c>
      <c r="BK887" s="795">
        <f t="shared" si="2689"/>
        <v>4.0139802526240886E-2</v>
      </c>
      <c r="BL887" s="795">
        <f t="shared" si="2689"/>
        <v>2.4102658213517487E-2</v>
      </c>
      <c r="BM887" s="795">
        <f t="shared" si="2689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64"/>
        <v>3.3627751367639208E-2</v>
      </c>
      <c r="CA887" s="611">
        <f t="shared" si="2565"/>
        <v>3.0441860570294431E-2</v>
      </c>
      <c r="CB887" s="611">
        <f t="shared" si="2566"/>
        <v>3.8249729985767658E-2</v>
      </c>
      <c r="CC887" s="679">
        <f t="shared" si="2567"/>
        <v>3.7683240956195116E-2</v>
      </c>
      <c r="CD887" s="1319">
        <f t="shared" si="2640"/>
        <v>1.8937802882049458E-2</v>
      </c>
      <c r="CE887" s="1320">
        <f t="shared" si="2640"/>
        <v>1.988469302615193E-2</v>
      </c>
      <c r="CF887" s="1320">
        <f t="shared" si="2640"/>
        <v>2.651292403486924E-2</v>
      </c>
      <c r="CG887" s="1320">
        <f t="shared" si="2640"/>
        <v>2.651292403486924E-2</v>
      </c>
      <c r="CH887" s="1321">
        <f t="shared" si="2640"/>
        <v>3.7875605764098916E-2</v>
      </c>
      <c r="CI887" s="1321">
        <f t="shared" si="2640"/>
        <v>4.4188206724782061E-2</v>
      </c>
      <c r="CJ887" s="1320">
        <f t="shared" si="2640"/>
        <v>4.4971790161892899E-2</v>
      </c>
      <c r="CK887" s="1320">
        <f t="shared" si="2640"/>
        <v>5.3025848069738479E-2</v>
      </c>
      <c r="CL887" s="1320">
        <f t="shared" si="2640"/>
        <v>5.3025848069738479E-2</v>
      </c>
      <c r="CM887" s="1319">
        <f t="shared" si="2640"/>
        <v>8.3299972602739719E-2</v>
      </c>
      <c r="CN887" s="1325" t="str">
        <f t="shared" si="2641"/>
        <v/>
      </c>
      <c r="CO887" s="1326" t="str">
        <f t="shared" si="2641"/>
        <v/>
      </c>
      <c r="CP887" s="1326" t="str">
        <f t="shared" si="2641"/>
        <v/>
      </c>
      <c r="CQ887" s="1326">
        <f t="shared" si="2641"/>
        <v>2.0085548511264574E-2</v>
      </c>
      <c r="CR887" s="1326">
        <f t="shared" si="2641"/>
        <v>2.2094103362391031E-2</v>
      </c>
      <c r="CS887" s="1326">
        <f t="shared" si="2641"/>
        <v>2.2094103362391031E-2</v>
      </c>
      <c r="CT887" s="1327">
        <f t="shared" si="2641"/>
        <v>2.2094103362391031E-2</v>
      </c>
      <c r="CU887" s="1327">
        <f t="shared" si="2641"/>
        <v>2.4102658213517487E-2</v>
      </c>
      <c r="CV887" s="1327">
        <f t="shared" si="2641"/>
        <v>3.7875605764098916E-2</v>
      </c>
      <c r="CW887" s="1326">
        <f t="shared" si="2641"/>
        <v>4.0139802526240886E-2</v>
      </c>
      <c r="CX887" s="1326">
        <f t="shared" si="2641"/>
        <v>4.3319476961394772E-2</v>
      </c>
      <c r="CY887" s="1326">
        <f t="shared" si="2641"/>
        <v>8.9746074097135753E-2</v>
      </c>
      <c r="CZ887" s="1326">
        <f t="shared" si="2641"/>
        <v>0.11413657378580325</v>
      </c>
      <c r="DA887" s="1326" t="str">
        <f t="shared" si="2641"/>
        <v/>
      </c>
      <c r="DB887" s="1325" t="str">
        <f t="shared" si="2635"/>
        <v/>
      </c>
      <c r="DC887" s="1381" t="str">
        <f t="shared" si="2570"/>
        <v/>
      </c>
      <c r="DD887" s="641">
        <f t="shared" si="2571"/>
        <v>10</v>
      </c>
      <c r="DE887" s="95">
        <f t="shared" si="2572"/>
        <v>10</v>
      </c>
      <c r="DF887" s="95">
        <f t="shared" si="2573"/>
        <v>10</v>
      </c>
      <c r="DG887" s="95">
        <f t="shared" si="2574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0"/>
      <c r="CE888" s="1340"/>
      <c r="CF888" s="1340"/>
      <c r="CG888" s="1340"/>
      <c r="CH888" s="1340"/>
      <c r="CI888" s="1340"/>
      <c r="CJ888" s="1340"/>
      <c r="CK888" s="1340"/>
      <c r="CL888" s="1340"/>
      <c r="CM888" s="1340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90">SUM(B667)</f>
        <v>0.11904761904761904</v>
      </c>
      <c r="C889" s="795">
        <f t="shared" si="2690"/>
        <v>0.13605442176870747</v>
      </c>
      <c r="D889" s="795">
        <f t="shared" si="2690"/>
        <v>0.17857142857142858</v>
      </c>
      <c r="E889" s="795">
        <f t="shared" si="2690"/>
        <v>0.16666666666666666</v>
      </c>
      <c r="F889" s="795">
        <f t="shared" si="2690"/>
        <v>0.17006802721088435</v>
      </c>
      <c r="G889" s="795">
        <f t="shared" si="2690"/>
        <v>0.14880952380952381</v>
      </c>
      <c r="H889" s="795">
        <f t="shared" si="2690"/>
        <v>0.1322751322751323</v>
      </c>
      <c r="I889" s="795">
        <f t="shared" si="2690"/>
        <v>0.19047619047619047</v>
      </c>
      <c r="J889" s="795">
        <f t="shared" si="2690"/>
        <v>0.14880952380952381</v>
      </c>
      <c r="K889" s="795">
        <f t="shared" si="2690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91">SUM(T667)</f>
        <v>0.11904761904761904</v>
      </c>
      <c r="U889" s="795">
        <f t="shared" si="2691"/>
        <v>0.17006802721088435</v>
      </c>
      <c r="V889" s="795">
        <f t="shared" si="2691"/>
        <v>0.15873015873015875</v>
      </c>
      <c r="W889" s="795">
        <f t="shared" si="2691"/>
        <v>0.16666666666666666</v>
      </c>
      <c r="X889" s="795">
        <f t="shared" si="2691"/>
        <v>0.17857142857142858</v>
      </c>
      <c r="Y889" s="795">
        <f t="shared" si="2691"/>
        <v>9.5238095238095233E-2</v>
      </c>
      <c r="Z889" s="795">
        <f t="shared" si="2691"/>
        <v>0.10582010582010581</v>
      </c>
      <c r="AA889" s="795">
        <f t="shared" si="2691"/>
        <v>0.16666666666666666</v>
      </c>
      <c r="AB889" s="795">
        <f t="shared" si="2691"/>
        <v>0.11904761904761904</v>
      </c>
      <c r="AC889" s="795">
        <f t="shared" si="2691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92">SUM(AL667)</f>
        <v>0.13605442176870747</v>
      </c>
      <c r="AM889" s="795">
        <f t="shared" si="2692"/>
        <v>0.17857142857142858</v>
      </c>
      <c r="AN889" s="795">
        <f t="shared" si="2692"/>
        <v>0.14285714285714285</v>
      </c>
      <c r="AO889" s="795">
        <f t="shared" si="2692"/>
        <v>0.11904761904761904</v>
      </c>
      <c r="AP889" s="795">
        <f t="shared" si="2692"/>
        <v>0.11904761904761904</v>
      </c>
      <c r="AQ889" s="795">
        <f t="shared" si="2692"/>
        <v>0.19047619047619047</v>
      </c>
      <c r="AR889" s="795">
        <f t="shared" si="2692"/>
        <v>0.13605442176870747</v>
      </c>
      <c r="AS889" s="795">
        <f t="shared" si="2692"/>
        <v>9.5238095238095233E-2</v>
      </c>
      <c r="AT889" s="795">
        <f t="shared" si="2692"/>
        <v>9.5238095238095233E-2</v>
      </c>
      <c r="AU889" s="795">
        <f t="shared" si="2692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93">SUM(BD667)</f>
        <v>0.1388888888888889</v>
      </c>
      <c r="BE889" s="795">
        <f t="shared" si="2693"/>
        <v>8.9285714285714288E-2</v>
      </c>
      <c r="BF889" s="795">
        <f t="shared" si="2693"/>
        <v>0.11904761904761904</v>
      </c>
      <c r="BG889" s="795">
        <f t="shared" si="2693"/>
        <v>0.1020408163265306</v>
      </c>
      <c r="BH889" s="795">
        <f t="shared" si="2693"/>
        <v>8.6580086580086577E-2</v>
      </c>
      <c r="BI889" s="795">
        <f t="shared" si="2693"/>
        <v>0.14285714285714285</v>
      </c>
      <c r="BJ889" s="795">
        <f t="shared" si="2693"/>
        <v>8.9285714285714288E-2</v>
      </c>
      <c r="BK889" s="795">
        <f t="shared" si="2693"/>
        <v>0.13605442176870747</v>
      </c>
      <c r="BL889" s="795">
        <f t="shared" si="2693"/>
        <v>8.6580086580086577E-2</v>
      </c>
      <c r="BM889" s="795">
        <f t="shared" si="2693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94">IF(DD889&lt;3,"",(SUM(B889:R889)-MIN(B889:R889)-MAX(B889:R889))/(DD889-2))</f>
        <v>0.1564153439153439</v>
      </c>
      <c r="CA889" s="611">
        <f t="shared" ref="CA889:CA894" si="2695">IF(DE889&lt;3,"",(SUM(T889:AJ889)-MIN(T889:AJ889)-MAX(T889:AJ889))/(DE889-2))</f>
        <v>0.14229024943310656</v>
      </c>
      <c r="CB889" s="611">
        <f t="shared" ref="CB889:CB894" si="2696">IF(DF889&lt;3,"",(SUM(AL889:BB889)-MIN(AL889:BB889)-MAX(AL889:BB889))/(DF889-2))</f>
        <v>0.13073979591836735</v>
      </c>
      <c r="CC889" s="679">
        <f t="shared" ref="CC889:CC894" si="2697">IF(DG889&lt;3,"",(SUM(BD889:BT889)-MIN(BD889:BT889)-MAX(BD889:BT889))/(DG889-2))</f>
        <v>0.1130050505050505</v>
      </c>
      <c r="CD889" s="1319">
        <f t="shared" ref="CD889:CM889" si="269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0">
        <f t="shared" si="2698"/>
        <v>9.5238095238095233E-2</v>
      </c>
      <c r="CF889" s="1320">
        <f t="shared" si="2698"/>
        <v>0.11904761904761904</v>
      </c>
      <c r="CG889" s="1320">
        <f t="shared" si="2698"/>
        <v>0.11904761904761904</v>
      </c>
      <c r="CH889" s="1321">
        <f t="shared" si="2698"/>
        <v>0.11904761904761904</v>
      </c>
      <c r="CI889" s="1321">
        <f t="shared" si="2698"/>
        <v>0.13605442176870747</v>
      </c>
      <c r="CJ889" s="1320">
        <f t="shared" si="2698"/>
        <v>0.13605442176870747</v>
      </c>
      <c r="CK889" s="1320">
        <f t="shared" si="2698"/>
        <v>0.14285714285714285</v>
      </c>
      <c r="CL889" s="1320">
        <f t="shared" si="2698"/>
        <v>0.17857142857142858</v>
      </c>
      <c r="CM889" s="1319">
        <f t="shared" si="2698"/>
        <v>0.19047619047619047</v>
      </c>
      <c r="CN889" s="526" t="str">
        <f t="shared" ref="CN889:CN894" si="269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70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70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70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70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70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70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715">COUNT(B889:R889)</f>
        <v>10</v>
      </c>
      <c r="DE889" s="95">
        <f t="shared" ref="DE889:DE894" si="2716">COUNT(T889:AJ889)</f>
        <v>10</v>
      </c>
      <c r="DF889" s="95">
        <f t="shared" ref="DF889:DF894" si="2717">COUNT(AL889:BB889)</f>
        <v>10</v>
      </c>
      <c r="DG889" s="95">
        <f t="shared" ref="DG889:DG894" si="2718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719">SUM(B670)</f>
        <v>0</v>
      </c>
      <c r="C890" s="795">
        <f t="shared" si="2719"/>
        <v>0</v>
      </c>
      <c r="D890" s="795">
        <f t="shared" si="2719"/>
        <v>0</v>
      </c>
      <c r="E890" s="795">
        <f t="shared" si="2719"/>
        <v>0</v>
      </c>
      <c r="F890" s="795">
        <f t="shared" si="2719"/>
        <v>0</v>
      </c>
      <c r="G890" s="795">
        <f t="shared" si="2719"/>
        <v>0</v>
      </c>
      <c r="H890" s="795">
        <f t="shared" si="2719"/>
        <v>0</v>
      </c>
      <c r="I890" s="795">
        <f t="shared" si="2719"/>
        <v>0</v>
      </c>
      <c r="J890" s="795">
        <f t="shared" si="2719"/>
        <v>0</v>
      </c>
      <c r="K890" s="795">
        <f t="shared" si="2719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720">SUM(T670)</f>
        <v>0</v>
      </c>
      <c r="U890" s="795">
        <f t="shared" si="2720"/>
        <v>0</v>
      </c>
      <c r="V890" s="795">
        <f t="shared" si="2720"/>
        <v>0</v>
      </c>
      <c r="W890" s="795">
        <f t="shared" si="2720"/>
        <v>0</v>
      </c>
      <c r="X890" s="795">
        <f t="shared" si="2720"/>
        <v>0</v>
      </c>
      <c r="Y890" s="795">
        <f t="shared" si="2720"/>
        <v>0</v>
      </c>
      <c r="Z890" s="795">
        <f t="shared" si="2720"/>
        <v>0</v>
      </c>
      <c r="AA890" s="795">
        <f t="shared" si="2720"/>
        <v>0</v>
      </c>
      <c r="AB890" s="795">
        <f t="shared" si="2720"/>
        <v>0</v>
      </c>
      <c r="AC890" s="795">
        <f t="shared" si="2720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721">SUM(AL670)</f>
        <v>0</v>
      </c>
      <c r="AM890" s="795">
        <f t="shared" si="2721"/>
        <v>0</v>
      </c>
      <c r="AN890" s="795">
        <f t="shared" si="2721"/>
        <v>0</v>
      </c>
      <c r="AO890" s="795">
        <f t="shared" si="2721"/>
        <v>0</v>
      </c>
      <c r="AP890" s="795">
        <f t="shared" si="2721"/>
        <v>0</v>
      </c>
      <c r="AQ890" s="795">
        <f t="shared" si="2721"/>
        <v>0</v>
      </c>
      <c r="AR890" s="795">
        <f t="shared" si="2721"/>
        <v>0</v>
      </c>
      <c r="AS890" s="795">
        <f t="shared" si="2721"/>
        <v>0</v>
      </c>
      <c r="AT890" s="795">
        <f t="shared" si="2721"/>
        <v>0</v>
      </c>
      <c r="AU890" s="795">
        <f t="shared" si="2721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722">SUM(BD670)</f>
        <v>0</v>
      </c>
      <c r="BE890" s="795">
        <f t="shared" si="2722"/>
        <v>0</v>
      </c>
      <c r="BF890" s="795">
        <f t="shared" si="2722"/>
        <v>0</v>
      </c>
      <c r="BG890" s="795">
        <f t="shared" si="2722"/>
        <v>0</v>
      </c>
      <c r="BH890" s="795">
        <f t="shared" si="2722"/>
        <v>0</v>
      </c>
      <c r="BI890" s="795">
        <f t="shared" si="2722"/>
        <v>0</v>
      </c>
      <c r="BJ890" s="795">
        <f t="shared" si="2722"/>
        <v>0</v>
      </c>
      <c r="BK890" s="795">
        <f t="shared" si="2722"/>
        <v>0</v>
      </c>
      <c r="BL890" s="795">
        <f t="shared" si="2722"/>
        <v>0</v>
      </c>
      <c r="BM890" s="795">
        <f t="shared" si="2722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94"/>
        <v>0</v>
      </c>
      <c r="CA890" s="611">
        <f t="shared" si="2695"/>
        <v>0</v>
      </c>
      <c r="CB890" s="611">
        <f t="shared" si="2696"/>
        <v>0</v>
      </c>
      <c r="CC890" s="679">
        <f t="shared" si="2697"/>
        <v>0</v>
      </c>
      <c r="CD890" s="131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0">
        <f t="shared" ref="CE890:CM894" si="272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0">
        <f t="shared" si="2723"/>
        <v>0</v>
      </c>
      <c r="CG890" s="1320">
        <f t="shared" si="2723"/>
        <v>0</v>
      </c>
      <c r="CH890" s="1321">
        <f t="shared" si="2723"/>
        <v>0</v>
      </c>
      <c r="CI890" s="1321">
        <f t="shared" si="2723"/>
        <v>0</v>
      </c>
      <c r="CJ890" s="1320">
        <f t="shared" si="2723"/>
        <v>0</v>
      </c>
      <c r="CK890" s="1320">
        <f t="shared" si="2723"/>
        <v>0</v>
      </c>
      <c r="CL890" s="1320">
        <f t="shared" si="2723"/>
        <v>0</v>
      </c>
      <c r="CM890" s="1319">
        <f t="shared" si="2723"/>
        <v>0</v>
      </c>
      <c r="CN890" s="526" t="str">
        <f t="shared" si="2699"/>
        <v/>
      </c>
      <c r="CO890" s="527" t="str">
        <f t="shared" si="2700"/>
        <v/>
      </c>
      <c r="CP890" s="527" t="str">
        <f t="shared" si="2701"/>
        <v/>
      </c>
      <c r="CQ890" s="527">
        <f t="shared" si="2702"/>
        <v>0</v>
      </c>
      <c r="CR890" s="527">
        <f t="shared" si="2703"/>
        <v>0</v>
      </c>
      <c r="CS890" s="527">
        <f t="shared" si="2704"/>
        <v>0</v>
      </c>
      <c r="CT890" s="528">
        <f t="shared" si="2705"/>
        <v>0</v>
      </c>
      <c r="CU890" s="528">
        <f t="shared" si="2706"/>
        <v>0</v>
      </c>
      <c r="CV890" s="528">
        <f t="shared" si="2707"/>
        <v>0</v>
      </c>
      <c r="CW890" s="527">
        <f t="shared" si="2708"/>
        <v>0</v>
      </c>
      <c r="CX890" s="527">
        <f t="shared" si="2709"/>
        <v>0</v>
      </c>
      <c r="CY890" s="527">
        <f t="shared" si="2710"/>
        <v>0</v>
      </c>
      <c r="CZ890" s="527">
        <f t="shared" si="2711"/>
        <v>0</v>
      </c>
      <c r="DA890" s="527" t="str">
        <f t="shared" si="2712"/>
        <v/>
      </c>
      <c r="DB890" s="526" t="str">
        <f t="shared" si="2713"/>
        <v/>
      </c>
      <c r="DC890" s="525" t="str">
        <f t="shared" si="2714"/>
        <v/>
      </c>
      <c r="DD890" s="641">
        <f t="shared" si="2715"/>
        <v>10</v>
      </c>
      <c r="DE890" s="95">
        <f t="shared" si="2716"/>
        <v>10</v>
      </c>
      <c r="DF890" s="95">
        <f t="shared" si="2717"/>
        <v>10</v>
      </c>
      <c r="DG890" s="95">
        <f t="shared" si="2718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724">SUM(B673)</f>
        <v>0</v>
      </c>
      <c r="C891" s="795">
        <f t="shared" si="2724"/>
        <v>0</v>
      </c>
      <c r="D891" s="795">
        <f t="shared" si="2724"/>
        <v>0</v>
      </c>
      <c r="E891" s="795">
        <f t="shared" si="2724"/>
        <v>0</v>
      </c>
      <c r="F891" s="795">
        <f t="shared" si="2724"/>
        <v>0</v>
      </c>
      <c r="G891" s="795">
        <f t="shared" si="2724"/>
        <v>0</v>
      </c>
      <c r="H891" s="795">
        <f t="shared" si="2724"/>
        <v>0</v>
      </c>
      <c r="I891" s="795">
        <f t="shared" si="2724"/>
        <v>0</v>
      </c>
      <c r="J891" s="795">
        <f t="shared" si="2724"/>
        <v>0</v>
      </c>
      <c r="K891" s="795">
        <f t="shared" si="2724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725">SUM(T673)</f>
        <v>0</v>
      </c>
      <c r="U891" s="795">
        <f t="shared" si="2725"/>
        <v>0</v>
      </c>
      <c r="V891" s="795">
        <f t="shared" si="2725"/>
        <v>0</v>
      </c>
      <c r="W891" s="795">
        <f t="shared" si="2725"/>
        <v>0</v>
      </c>
      <c r="X891" s="795">
        <f t="shared" si="2725"/>
        <v>0</v>
      </c>
      <c r="Y891" s="795">
        <f t="shared" si="2725"/>
        <v>0</v>
      </c>
      <c r="Z891" s="795">
        <f t="shared" si="2725"/>
        <v>0</v>
      </c>
      <c r="AA891" s="795">
        <f t="shared" si="2725"/>
        <v>0</v>
      </c>
      <c r="AB891" s="795">
        <f t="shared" si="2725"/>
        <v>0</v>
      </c>
      <c r="AC891" s="795">
        <f t="shared" si="2725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726">SUM(AL673)</f>
        <v>0</v>
      </c>
      <c r="AM891" s="795">
        <f t="shared" si="2726"/>
        <v>0</v>
      </c>
      <c r="AN891" s="795">
        <f t="shared" si="2726"/>
        <v>0</v>
      </c>
      <c r="AO891" s="795">
        <f t="shared" si="2726"/>
        <v>0</v>
      </c>
      <c r="AP891" s="795">
        <f t="shared" si="2726"/>
        <v>0</v>
      </c>
      <c r="AQ891" s="795">
        <f t="shared" si="2726"/>
        <v>0</v>
      </c>
      <c r="AR891" s="795">
        <f t="shared" si="2726"/>
        <v>0</v>
      </c>
      <c r="AS891" s="795">
        <f t="shared" si="2726"/>
        <v>0</v>
      </c>
      <c r="AT891" s="795">
        <f t="shared" si="2726"/>
        <v>0</v>
      </c>
      <c r="AU891" s="795">
        <f t="shared" si="2726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727">SUM(BD673)</f>
        <v>0</v>
      </c>
      <c r="BE891" s="795">
        <f t="shared" si="2727"/>
        <v>0</v>
      </c>
      <c r="BF891" s="795">
        <f t="shared" si="2727"/>
        <v>0</v>
      </c>
      <c r="BG891" s="795">
        <f t="shared" si="2727"/>
        <v>0</v>
      </c>
      <c r="BH891" s="795">
        <f t="shared" si="2727"/>
        <v>0</v>
      </c>
      <c r="BI891" s="795">
        <f t="shared" si="2727"/>
        <v>0</v>
      </c>
      <c r="BJ891" s="795">
        <f t="shared" si="2727"/>
        <v>0</v>
      </c>
      <c r="BK891" s="795">
        <f t="shared" si="2727"/>
        <v>0</v>
      </c>
      <c r="BL891" s="795">
        <f t="shared" si="2727"/>
        <v>0</v>
      </c>
      <c r="BM891" s="795">
        <f t="shared" si="2727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94"/>
        <v>0</v>
      </c>
      <c r="CA891" s="611">
        <f t="shared" si="2695"/>
        <v>0</v>
      </c>
      <c r="CB891" s="611">
        <f t="shared" si="2696"/>
        <v>0</v>
      </c>
      <c r="CC891" s="679">
        <f t="shared" si="2697"/>
        <v>0</v>
      </c>
      <c r="CD891" s="131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0">
        <f t="shared" si="2723"/>
        <v>0</v>
      </c>
      <c r="CF891" s="1320">
        <f t="shared" si="2723"/>
        <v>0</v>
      </c>
      <c r="CG891" s="1320">
        <f t="shared" si="2723"/>
        <v>0</v>
      </c>
      <c r="CH891" s="1321">
        <f t="shared" si="2723"/>
        <v>0</v>
      </c>
      <c r="CI891" s="1321">
        <f t="shared" si="2723"/>
        <v>0</v>
      </c>
      <c r="CJ891" s="1320">
        <f t="shared" si="2723"/>
        <v>0</v>
      </c>
      <c r="CK891" s="1320">
        <f t="shared" si="2723"/>
        <v>0</v>
      </c>
      <c r="CL891" s="1320">
        <f t="shared" si="2723"/>
        <v>0</v>
      </c>
      <c r="CM891" s="1319">
        <f t="shared" si="2723"/>
        <v>0</v>
      </c>
      <c r="CN891" s="526" t="str">
        <f t="shared" si="2699"/>
        <v/>
      </c>
      <c r="CO891" s="527" t="str">
        <f t="shared" si="2700"/>
        <v/>
      </c>
      <c r="CP891" s="527" t="str">
        <f t="shared" si="2701"/>
        <v/>
      </c>
      <c r="CQ891" s="527">
        <f t="shared" si="2702"/>
        <v>0</v>
      </c>
      <c r="CR891" s="527">
        <f t="shared" si="2703"/>
        <v>0</v>
      </c>
      <c r="CS891" s="527">
        <f t="shared" si="2704"/>
        <v>0</v>
      </c>
      <c r="CT891" s="528">
        <f t="shared" si="2705"/>
        <v>0</v>
      </c>
      <c r="CU891" s="528">
        <f t="shared" si="2706"/>
        <v>0</v>
      </c>
      <c r="CV891" s="528">
        <f t="shared" si="2707"/>
        <v>0</v>
      </c>
      <c r="CW891" s="527">
        <f t="shared" si="2708"/>
        <v>0</v>
      </c>
      <c r="CX891" s="527">
        <f t="shared" si="2709"/>
        <v>0</v>
      </c>
      <c r="CY891" s="527">
        <f t="shared" si="2710"/>
        <v>0</v>
      </c>
      <c r="CZ891" s="527">
        <f t="shared" si="2711"/>
        <v>0</v>
      </c>
      <c r="DA891" s="527" t="str">
        <f t="shared" si="2712"/>
        <v/>
      </c>
      <c r="DB891" s="526" t="str">
        <f t="shared" si="2713"/>
        <v/>
      </c>
      <c r="DC891" s="525" t="str">
        <f t="shared" si="2714"/>
        <v/>
      </c>
      <c r="DD891" s="641">
        <f t="shared" si="2715"/>
        <v>10</v>
      </c>
      <c r="DE891" s="95">
        <f t="shared" si="2716"/>
        <v>10</v>
      </c>
      <c r="DF891" s="95">
        <f t="shared" si="2717"/>
        <v>10</v>
      </c>
      <c r="DG891" s="95">
        <f t="shared" si="2718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728">SUM(B676)</f>
        <v>0</v>
      </c>
      <c r="C892" s="795">
        <f t="shared" si="2728"/>
        <v>0</v>
      </c>
      <c r="D892" s="795">
        <f t="shared" si="2728"/>
        <v>0</v>
      </c>
      <c r="E892" s="795">
        <f t="shared" si="2728"/>
        <v>0</v>
      </c>
      <c r="F892" s="795">
        <f t="shared" si="2728"/>
        <v>0</v>
      </c>
      <c r="G892" s="795">
        <f t="shared" si="2728"/>
        <v>0</v>
      </c>
      <c r="H892" s="795">
        <f t="shared" si="2728"/>
        <v>0</v>
      </c>
      <c r="I892" s="795">
        <f t="shared" si="2728"/>
        <v>0</v>
      </c>
      <c r="J892" s="795">
        <f t="shared" si="2728"/>
        <v>0</v>
      </c>
      <c r="K892" s="795">
        <f t="shared" si="2728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729">SUM(T676)</f>
        <v>0</v>
      </c>
      <c r="U892" s="795">
        <f t="shared" si="2729"/>
        <v>0</v>
      </c>
      <c r="V892" s="795">
        <f t="shared" si="2729"/>
        <v>0</v>
      </c>
      <c r="W892" s="795">
        <f t="shared" si="2729"/>
        <v>0</v>
      </c>
      <c r="X892" s="795">
        <f t="shared" si="2729"/>
        <v>0</v>
      </c>
      <c r="Y892" s="795">
        <f t="shared" si="2729"/>
        <v>0</v>
      </c>
      <c r="Z892" s="795">
        <f t="shared" si="2729"/>
        <v>0</v>
      </c>
      <c r="AA892" s="795">
        <f t="shared" si="2729"/>
        <v>0</v>
      </c>
      <c r="AB892" s="795">
        <f t="shared" si="2729"/>
        <v>0</v>
      </c>
      <c r="AC892" s="795">
        <f t="shared" si="2729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30">SUM(AL676)</f>
        <v>0</v>
      </c>
      <c r="AM892" s="795">
        <f t="shared" si="2730"/>
        <v>0</v>
      </c>
      <c r="AN892" s="795">
        <f t="shared" si="2730"/>
        <v>0</v>
      </c>
      <c r="AO892" s="795">
        <f t="shared" si="2730"/>
        <v>0</v>
      </c>
      <c r="AP892" s="795">
        <f t="shared" si="2730"/>
        <v>0</v>
      </c>
      <c r="AQ892" s="795">
        <f t="shared" si="2730"/>
        <v>0</v>
      </c>
      <c r="AR892" s="795">
        <f t="shared" si="2730"/>
        <v>0</v>
      </c>
      <c r="AS892" s="795">
        <f t="shared" si="2730"/>
        <v>0</v>
      </c>
      <c r="AT892" s="795">
        <f t="shared" si="2730"/>
        <v>0</v>
      </c>
      <c r="AU892" s="795">
        <f t="shared" si="2730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31">SUM(BD676)</f>
        <v>0</v>
      </c>
      <c r="BE892" s="795">
        <f t="shared" si="2731"/>
        <v>0</v>
      </c>
      <c r="BF892" s="795">
        <f t="shared" si="2731"/>
        <v>0</v>
      </c>
      <c r="BG892" s="795">
        <f t="shared" si="2731"/>
        <v>0</v>
      </c>
      <c r="BH892" s="795">
        <f t="shared" si="2731"/>
        <v>1.0828956630028698E-2</v>
      </c>
      <c r="BI892" s="795">
        <f t="shared" si="2731"/>
        <v>0</v>
      </c>
      <c r="BJ892" s="795">
        <f t="shared" si="2731"/>
        <v>0</v>
      </c>
      <c r="BK892" s="795">
        <f t="shared" si="2731"/>
        <v>0</v>
      </c>
      <c r="BL892" s="795">
        <f t="shared" si="2731"/>
        <v>0</v>
      </c>
      <c r="BM892" s="795">
        <f t="shared" si="2731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94"/>
        <v>0</v>
      </c>
      <c r="CA892" s="611">
        <f t="shared" si="2695"/>
        <v>0</v>
      </c>
      <c r="CB892" s="611">
        <f t="shared" si="2696"/>
        <v>0</v>
      </c>
      <c r="CC892" s="679">
        <f t="shared" si="2697"/>
        <v>0</v>
      </c>
      <c r="CD892" s="131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0">
        <f t="shared" si="2723"/>
        <v>0</v>
      </c>
      <c r="CF892" s="1320">
        <f t="shared" si="2723"/>
        <v>0</v>
      </c>
      <c r="CG892" s="1320">
        <f t="shared" si="2723"/>
        <v>0</v>
      </c>
      <c r="CH892" s="1321">
        <f t="shared" si="2723"/>
        <v>0</v>
      </c>
      <c r="CI892" s="1321">
        <f t="shared" si="2723"/>
        <v>0</v>
      </c>
      <c r="CJ892" s="1320">
        <f t="shared" si="2723"/>
        <v>0</v>
      </c>
      <c r="CK892" s="1320">
        <f t="shared" si="2723"/>
        <v>0</v>
      </c>
      <c r="CL892" s="1320">
        <f t="shared" si="2723"/>
        <v>0</v>
      </c>
      <c r="CM892" s="1319">
        <f t="shared" si="2723"/>
        <v>0</v>
      </c>
      <c r="CN892" s="526" t="str">
        <f t="shared" si="2699"/>
        <v/>
      </c>
      <c r="CO892" s="527" t="str">
        <f t="shared" si="2700"/>
        <v/>
      </c>
      <c r="CP892" s="527" t="str">
        <f t="shared" si="2701"/>
        <v/>
      </c>
      <c r="CQ892" s="527">
        <f t="shared" si="2702"/>
        <v>0</v>
      </c>
      <c r="CR892" s="527">
        <f t="shared" si="2703"/>
        <v>0</v>
      </c>
      <c r="CS892" s="527">
        <f t="shared" si="2704"/>
        <v>0</v>
      </c>
      <c r="CT892" s="528">
        <f t="shared" si="2705"/>
        <v>0</v>
      </c>
      <c r="CU892" s="528">
        <f t="shared" si="2706"/>
        <v>0</v>
      </c>
      <c r="CV892" s="528">
        <f t="shared" si="2707"/>
        <v>0</v>
      </c>
      <c r="CW892" s="527">
        <f t="shared" si="2708"/>
        <v>0</v>
      </c>
      <c r="CX892" s="527">
        <f t="shared" si="2709"/>
        <v>0</v>
      </c>
      <c r="CY892" s="527">
        <f t="shared" si="2710"/>
        <v>0</v>
      </c>
      <c r="CZ892" s="527">
        <f t="shared" si="2711"/>
        <v>1.0828956630028698E-2</v>
      </c>
      <c r="DA892" s="527" t="str">
        <f t="shared" si="2712"/>
        <v/>
      </c>
      <c r="DB892" s="526" t="str">
        <f t="shared" si="2713"/>
        <v/>
      </c>
      <c r="DC892" s="525" t="str">
        <f t="shared" si="2714"/>
        <v/>
      </c>
      <c r="DD892" s="641">
        <f t="shared" si="2715"/>
        <v>10</v>
      </c>
      <c r="DE892" s="95">
        <f t="shared" si="2716"/>
        <v>10</v>
      </c>
      <c r="DF892" s="95">
        <f t="shared" si="2717"/>
        <v>10</v>
      </c>
      <c r="DG892" s="95">
        <f t="shared" si="2718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32">SUM(B681)</f>
        <v>0</v>
      </c>
      <c r="C893" s="795">
        <f t="shared" si="2732"/>
        <v>0</v>
      </c>
      <c r="D893" s="795">
        <f t="shared" si="2732"/>
        <v>0</v>
      </c>
      <c r="E893" s="795">
        <f t="shared" si="2732"/>
        <v>0</v>
      </c>
      <c r="F893" s="795">
        <f t="shared" si="2732"/>
        <v>0</v>
      </c>
      <c r="G893" s="795">
        <f t="shared" si="2732"/>
        <v>0</v>
      </c>
      <c r="H893" s="795">
        <f t="shared" si="2732"/>
        <v>0</v>
      </c>
      <c r="I893" s="795">
        <f t="shared" si="2732"/>
        <v>0</v>
      </c>
      <c r="J893" s="795">
        <f t="shared" si="2732"/>
        <v>0</v>
      </c>
      <c r="K893" s="795">
        <f t="shared" si="2732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33">SUM(T681)</f>
        <v>0</v>
      </c>
      <c r="U893" s="795">
        <f t="shared" si="2733"/>
        <v>0</v>
      </c>
      <c r="V893" s="795">
        <f t="shared" si="2733"/>
        <v>0</v>
      </c>
      <c r="W893" s="795">
        <f t="shared" si="2733"/>
        <v>0</v>
      </c>
      <c r="X893" s="795">
        <f t="shared" si="2733"/>
        <v>0</v>
      </c>
      <c r="Y893" s="795">
        <f t="shared" si="2733"/>
        <v>0</v>
      </c>
      <c r="Z893" s="795">
        <f t="shared" si="2733"/>
        <v>0</v>
      </c>
      <c r="AA893" s="795">
        <f t="shared" si="2733"/>
        <v>0</v>
      </c>
      <c r="AB893" s="795">
        <f t="shared" si="2733"/>
        <v>0</v>
      </c>
      <c r="AC893" s="795">
        <f t="shared" si="2733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34">SUM(AL681)</f>
        <v>0</v>
      </c>
      <c r="AM893" s="795">
        <f t="shared" si="2734"/>
        <v>0</v>
      </c>
      <c r="AN893" s="795">
        <f t="shared" si="2734"/>
        <v>0</v>
      </c>
      <c r="AO893" s="795">
        <f t="shared" si="2734"/>
        <v>0</v>
      </c>
      <c r="AP893" s="795">
        <f t="shared" si="2734"/>
        <v>0</v>
      </c>
      <c r="AQ893" s="795">
        <f t="shared" si="2734"/>
        <v>0</v>
      </c>
      <c r="AR893" s="795">
        <f t="shared" si="2734"/>
        <v>0</v>
      </c>
      <c r="AS893" s="795">
        <f t="shared" si="2734"/>
        <v>0</v>
      </c>
      <c r="AT893" s="795">
        <f t="shared" si="2734"/>
        <v>2.0855790784557906E-3</v>
      </c>
      <c r="AU893" s="795">
        <f t="shared" si="2734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35">SUM(BD681)</f>
        <v>8.6899128268991283E-3</v>
      </c>
      <c r="BE893" s="795">
        <f t="shared" si="2735"/>
        <v>0</v>
      </c>
      <c r="BF893" s="795">
        <f t="shared" si="2735"/>
        <v>0</v>
      </c>
      <c r="BG893" s="795">
        <f t="shared" si="2735"/>
        <v>0</v>
      </c>
      <c r="BH893" s="795">
        <f t="shared" si="2735"/>
        <v>1.4219857353107664E-2</v>
      </c>
      <c r="BI893" s="795">
        <f t="shared" si="2735"/>
        <v>2.0855790784557911E-2</v>
      </c>
      <c r="BJ893" s="795">
        <f t="shared" si="2735"/>
        <v>0</v>
      </c>
      <c r="BK893" s="795">
        <f t="shared" si="2735"/>
        <v>0</v>
      </c>
      <c r="BL893" s="795">
        <f t="shared" si="2735"/>
        <v>0</v>
      </c>
      <c r="BM893" s="795">
        <f t="shared" si="2735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94"/>
        <v>0</v>
      </c>
      <c r="CA893" s="611">
        <f t="shared" si="2695"/>
        <v>0</v>
      </c>
      <c r="CB893" s="611">
        <f t="shared" si="2696"/>
        <v>0</v>
      </c>
      <c r="CC893" s="679">
        <f t="shared" si="2697"/>
        <v>4.7258454496935188E-3</v>
      </c>
      <c r="CD893" s="131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0">
        <f t="shared" si="2723"/>
        <v>0</v>
      </c>
      <c r="CF893" s="1320">
        <f t="shared" si="2723"/>
        <v>0</v>
      </c>
      <c r="CG893" s="1320">
        <f t="shared" si="2723"/>
        <v>0</v>
      </c>
      <c r="CH893" s="1321">
        <f t="shared" si="2723"/>
        <v>0</v>
      </c>
      <c r="CI893" s="1321">
        <f t="shared" si="2723"/>
        <v>0</v>
      </c>
      <c r="CJ893" s="1320">
        <f t="shared" si="2723"/>
        <v>0</v>
      </c>
      <c r="CK893" s="1320">
        <f t="shared" si="2723"/>
        <v>0</v>
      </c>
      <c r="CL893" s="1320">
        <f t="shared" si="2723"/>
        <v>0</v>
      </c>
      <c r="CM893" s="1319">
        <f t="shared" si="2723"/>
        <v>2.0855790784557906E-3</v>
      </c>
      <c r="CN893" s="526" t="str">
        <f t="shared" si="2699"/>
        <v/>
      </c>
      <c r="CO893" s="527" t="str">
        <f t="shared" si="2700"/>
        <v/>
      </c>
      <c r="CP893" s="527" t="str">
        <f t="shared" si="2701"/>
        <v/>
      </c>
      <c r="CQ893" s="527">
        <f t="shared" si="2702"/>
        <v>0</v>
      </c>
      <c r="CR893" s="527">
        <f t="shared" si="2703"/>
        <v>0</v>
      </c>
      <c r="CS893" s="527">
        <f t="shared" si="2704"/>
        <v>0</v>
      </c>
      <c r="CT893" s="528">
        <f t="shared" si="2705"/>
        <v>0</v>
      </c>
      <c r="CU893" s="528">
        <f t="shared" si="2706"/>
        <v>0</v>
      </c>
      <c r="CV893" s="528">
        <f t="shared" si="2707"/>
        <v>0</v>
      </c>
      <c r="CW893" s="527">
        <f t="shared" si="2708"/>
        <v>8.6899128268991283E-3</v>
      </c>
      <c r="CX893" s="527">
        <f t="shared" si="2709"/>
        <v>1.4219857353107664E-2</v>
      </c>
      <c r="CY893" s="527">
        <f t="shared" si="2710"/>
        <v>1.4896993417541363E-2</v>
      </c>
      <c r="CZ893" s="527">
        <f t="shared" si="2711"/>
        <v>2.0855790784557911E-2</v>
      </c>
      <c r="DA893" s="527" t="str">
        <f t="shared" si="2712"/>
        <v/>
      </c>
      <c r="DB893" s="526" t="str">
        <f t="shared" si="2713"/>
        <v/>
      </c>
      <c r="DC893" s="525" t="str">
        <f t="shared" si="2714"/>
        <v/>
      </c>
      <c r="DD893" s="641">
        <f t="shared" si="2715"/>
        <v>10</v>
      </c>
      <c r="DE893" s="95">
        <f t="shared" si="2716"/>
        <v>10</v>
      </c>
      <c r="DF893" s="95">
        <f t="shared" si="2717"/>
        <v>10</v>
      </c>
      <c r="DG893" s="95">
        <f t="shared" si="2718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36">SUM(B686)</f>
        <v>0</v>
      </c>
      <c r="C894" s="795">
        <f t="shared" si="2736"/>
        <v>0</v>
      </c>
      <c r="D894" s="795">
        <f t="shared" si="2736"/>
        <v>0</v>
      </c>
      <c r="E894" s="795">
        <f t="shared" si="2736"/>
        <v>0</v>
      </c>
      <c r="F894" s="795">
        <f t="shared" si="2736"/>
        <v>0</v>
      </c>
      <c r="G894" s="795">
        <f t="shared" si="2736"/>
        <v>0</v>
      </c>
      <c r="H894" s="795">
        <f t="shared" si="2736"/>
        <v>0</v>
      </c>
      <c r="I894" s="795">
        <f t="shared" si="2736"/>
        <v>0</v>
      </c>
      <c r="J894" s="795">
        <f t="shared" si="2736"/>
        <v>0</v>
      </c>
      <c r="K894" s="795">
        <f t="shared" si="2736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37">SUM(T686)</f>
        <v>0</v>
      </c>
      <c r="U894" s="795">
        <f t="shared" si="2737"/>
        <v>0</v>
      </c>
      <c r="V894" s="795">
        <f t="shared" si="2737"/>
        <v>0</v>
      </c>
      <c r="W894" s="795">
        <f t="shared" si="2737"/>
        <v>0</v>
      </c>
      <c r="X894" s="795">
        <f t="shared" si="2737"/>
        <v>0</v>
      </c>
      <c r="Y894" s="795">
        <f t="shared" si="2737"/>
        <v>0</v>
      </c>
      <c r="Z894" s="795">
        <f t="shared" si="2737"/>
        <v>0</v>
      </c>
      <c r="AA894" s="795">
        <f t="shared" si="2737"/>
        <v>0</v>
      </c>
      <c r="AB894" s="795">
        <f t="shared" si="2737"/>
        <v>0</v>
      </c>
      <c r="AC894" s="795">
        <f t="shared" si="2737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38">SUM(AL686)</f>
        <v>0</v>
      </c>
      <c r="AM894" s="795">
        <f t="shared" si="2738"/>
        <v>0</v>
      </c>
      <c r="AN894" s="795">
        <f t="shared" si="2738"/>
        <v>0</v>
      </c>
      <c r="AO894" s="795">
        <f t="shared" si="2738"/>
        <v>0</v>
      </c>
      <c r="AP894" s="795">
        <f t="shared" si="2738"/>
        <v>0</v>
      </c>
      <c r="AQ894" s="795">
        <f t="shared" si="2738"/>
        <v>0</v>
      </c>
      <c r="AR894" s="795">
        <f t="shared" si="2738"/>
        <v>0</v>
      </c>
      <c r="AS894" s="795">
        <f t="shared" si="2738"/>
        <v>0</v>
      </c>
      <c r="AT894" s="795">
        <f t="shared" si="2738"/>
        <v>0</v>
      </c>
      <c r="AU894" s="795">
        <f t="shared" si="2738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39">SUM(BD686)</f>
        <v>0</v>
      </c>
      <c r="BE894" s="795">
        <f t="shared" si="2739"/>
        <v>0</v>
      </c>
      <c r="BF894" s="795">
        <f t="shared" si="2739"/>
        <v>0</v>
      </c>
      <c r="BG894" s="795">
        <f t="shared" si="2739"/>
        <v>0</v>
      </c>
      <c r="BH894" s="795">
        <f t="shared" si="2739"/>
        <v>0</v>
      </c>
      <c r="BI894" s="795">
        <f t="shared" si="2739"/>
        <v>0</v>
      </c>
      <c r="BJ894" s="795">
        <f t="shared" si="2739"/>
        <v>0</v>
      </c>
      <c r="BK894" s="795">
        <f t="shared" si="2739"/>
        <v>0</v>
      </c>
      <c r="BL894" s="795">
        <f t="shared" si="2739"/>
        <v>0</v>
      </c>
      <c r="BM894" s="795">
        <f t="shared" si="2739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94"/>
        <v>0</v>
      </c>
      <c r="CA894" s="611">
        <f t="shared" si="2695"/>
        <v>0</v>
      </c>
      <c r="CB894" s="611">
        <f t="shared" si="2696"/>
        <v>0</v>
      </c>
      <c r="CC894" s="679">
        <f t="shared" si="2697"/>
        <v>0</v>
      </c>
      <c r="CD894" s="1319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0">
        <f t="shared" si="2723"/>
        <v>0</v>
      </c>
      <c r="CF894" s="1320">
        <f t="shared" si="2723"/>
        <v>0</v>
      </c>
      <c r="CG894" s="1320">
        <f t="shared" si="2723"/>
        <v>0</v>
      </c>
      <c r="CH894" s="1321">
        <f t="shared" si="2723"/>
        <v>0</v>
      </c>
      <c r="CI894" s="1321">
        <f t="shared" si="2723"/>
        <v>0</v>
      </c>
      <c r="CJ894" s="1320">
        <f t="shared" si="2723"/>
        <v>0</v>
      </c>
      <c r="CK894" s="1320">
        <f t="shared" si="2723"/>
        <v>0</v>
      </c>
      <c r="CL894" s="1320">
        <f t="shared" si="2723"/>
        <v>0</v>
      </c>
      <c r="CM894" s="1319">
        <f t="shared" si="2723"/>
        <v>0</v>
      </c>
      <c r="CN894" s="526" t="str">
        <f t="shared" si="2699"/>
        <v/>
      </c>
      <c r="CO894" s="527" t="str">
        <f t="shared" si="2700"/>
        <v/>
      </c>
      <c r="CP894" s="527" t="str">
        <f t="shared" si="2701"/>
        <v/>
      </c>
      <c r="CQ894" s="527">
        <f t="shared" si="2702"/>
        <v>0</v>
      </c>
      <c r="CR894" s="527">
        <f t="shared" si="2703"/>
        <v>0</v>
      </c>
      <c r="CS894" s="527">
        <f t="shared" si="2704"/>
        <v>0</v>
      </c>
      <c r="CT894" s="528">
        <f t="shared" si="2705"/>
        <v>0</v>
      </c>
      <c r="CU894" s="528">
        <f t="shared" si="2706"/>
        <v>0</v>
      </c>
      <c r="CV894" s="528">
        <f t="shared" si="2707"/>
        <v>0</v>
      </c>
      <c r="CW894" s="527">
        <f t="shared" si="2708"/>
        <v>0</v>
      </c>
      <c r="CX894" s="527">
        <f t="shared" si="2709"/>
        <v>0</v>
      </c>
      <c r="CY894" s="527">
        <f t="shared" si="2710"/>
        <v>0</v>
      </c>
      <c r="CZ894" s="527">
        <f t="shared" si="2711"/>
        <v>0</v>
      </c>
      <c r="DA894" s="527" t="str">
        <f t="shared" si="2712"/>
        <v/>
      </c>
      <c r="DB894" s="526" t="str">
        <f t="shared" si="2713"/>
        <v/>
      </c>
      <c r="DC894" s="525" t="str">
        <f t="shared" si="2714"/>
        <v/>
      </c>
      <c r="DD894" s="641">
        <f t="shared" si="2715"/>
        <v>10</v>
      </c>
      <c r="DE894" s="95">
        <f t="shared" si="2716"/>
        <v>10</v>
      </c>
      <c r="DF894" s="95">
        <f t="shared" si="2717"/>
        <v>10</v>
      </c>
      <c r="DG894" s="95">
        <f t="shared" si="2718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388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0"/>
      <c r="CE895" s="1340"/>
      <c r="CF895" s="1340"/>
      <c r="CG895" s="1340"/>
      <c r="CH895" s="1340"/>
      <c r="CI895" s="1340"/>
      <c r="CJ895" s="1340"/>
      <c r="CK895" s="1340"/>
      <c r="CL895" s="1340"/>
      <c r="CM895" s="1340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40">SUM(B691)</f>
        <v>0</v>
      </c>
      <c r="C896" s="795">
        <f t="shared" si="2740"/>
        <v>0</v>
      </c>
      <c r="D896" s="795">
        <f t="shared" si="2740"/>
        <v>0</v>
      </c>
      <c r="E896" s="795">
        <f t="shared" si="2740"/>
        <v>0</v>
      </c>
      <c r="F896" s="795">
        <f t="shared" si="2740"/>
        <v>0</v>
      </c>
      <c r="G896" s="795">
        <f t="shared" si="2740"/>
        <v>0</v>
      </c>
      <c r="H896" s="795">
        <f t="shared" si="2740"/>
        <v>0</v>
      </c>
      <c r="I896" s="795">
        <f t="shared" si="2740"/>
        <v>0</v>
      </c>
      <c r="J896" s="795">
        <f t="shared" si="2740"/>
        <v>0</v>
      </c>
      <c r="K896" s="795">
        <f t="shared" si="2740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41">SUM(T691)</f>
        <v>0</v>
      </c>
      <c r="U896" s="795">
        <f t="shared" si="2741"/>
        <v>0</v>
      </c>
      <c r="V896" s="795">
        <f t="shared" si="2741"/>
        <v>0</v>
      </c>
      <c r="W896" s="795">
        <f t="shared" si="2741"/>
        <v>0</v>
      </c>
      <c r="X896" s="795">
        <f t="shared" si="2741"/>
        <v>0</v>
      </c>
      <c r="Y896" s="795">
        <f t="shared" si="2741"/>
        <v>0</v>
      </c>
      <c r="Z896" s="795">
        <f t="shared" si="2741"/>
        <v>0</v>
      </c>
      <c r="AA896" s="795">
        <f t="shared" si="2741"/>
        <v>0</v>
      </c>
      <c r="AB896" s="795">
        <f t="shared" si="2741"/>
        <v>0</v>
      </c>
      <c r="AC896" s="795">
        <f t="shared" si="2741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42">SUM(AL691)</f>
        <v>0</v>
      </c>
      <c r="AM896" s="795">
        <f t="shared" si="2742"/>
        <v>2.2413457658779577E-2</v>
      </c>
      <c r="AN896" s="795">
        <f t="shared" si="2742"/>
        <v>9.4372453300124535E-3</v>
      </c>
      <c r="AO896" s="795">
        <f t="shared" si="2742"/>
        <v>0</v>
      </c>
      <c r="AP896" s="795">
        <f t="shared" si="2742"/>
        <v>0</v>
      </c>
      <c r="AQ896" s="795">
        <f t="shared" si="2742"/>
        <v>7.5497962640099624E-3</v>
      </c>
      <c r="AR896" s="795">
        <f t="shared" si="2742"/>
        <v>2.6963558085749864E-2</v>
      </c>
      <c r="AS896" s="795">
        <f t="shared" si="2742"/>
        <v>0</v>
      </c>
      <c r="AT896" s="795">
        <f t="shared" si="2742"/>
        <v>9.4372453300124535E-3</v>
      </c>
      <c r="AU896" s="795">
        <f t="shared" si="2742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43">SUM(BD691)</f>
        <v>1.5728742216687422E-2</v>
      </c>
      <c r="BE896" s="795">
        <f t="shared" si="2743"/>
        <v>8.8474174968866753E-2</v>
      </c>
      <c r="BF896" s="795">
        <f t="shared" si="2743"/>
        <v>0</v>
      </c>
      <c r="BG896" s="795">
        <f t="shared" si="2743"/>
        <v>6.7408895214374667E-2</v>
      </c>
      <c r="BH896" s="795">
        <f t="shared" si="2743"/>
        <v>2.1448284840937398E-2</v>
      </c>
      <c r="BI896" s="795">
        <f t="shared" si="2743"/>
        <v>4.7186226650062273E-2</v>
      </c>
      <c r="BJ896" s="795">
        <f t="shared" si="2743"/>
        <v>0</v>
      </c>
      <c r="BK896" s="795">
        <f t="shared" si="2743"/>
        <v>0</v>
      </c>
      <c r="BL896" s="795">
        <f t="shared" si="2743"/>
        <v>0</v>
      </c>
      <c r="BM896" s="795">
        <f t="shared" si="2743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19">
        <f t="shared" ref="CD896:CM896" si="274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0">
        <f t="shared" si="2744"/>
        <v>0</v>
      </c>
      <c r="CF896" s="1320">
        <f t="shared" si="2744"/>
        <v>0</v>
      </c>
      <c r="CG896" s="1320">
        <f t="shared" si="2744"/>
        <v>0</v>
      </c>
      <c r="CH896" s="1321">
        <f t="shared" si="2744"/>
        <v>7.5497962640099624E-3</v>
      </c>
      <c r="CI896" s="1321">
        <f t="shared" si="2744"/>
        <v>9.4372453300124535E-3</v>
      </c>
      <c r="CJ896" s="1320">
        <f t="shared" si="2744"/>
        <v>9.4372453300124535E-3</v>
      </c>
      <c r="CK896" s="1320">
        <f t="shared" si="2744"/>
        <v>2.2413457658779577E-2</v>
      </c>
      <c r="CL896" s="1320">
        <f t="shared" si="2744"/>
        <v>2.6963558085749864E-2</v>
      </c>
      <c r="CM896" s="1319">
        <f t="shared" si="2744"/>
        <v>3.5389669987546703E-2</v>
      </c>
      <c r="CN896" s="526" t="str">
        <f t="shared" ref="CN896:CV898" si="274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45"/>
        <v/>
      </c>
      <c r="CP896" s="527" t="str">
        <f t="shared" si="2745"/>
        <v/>
      </c>
      <c r="CQ896" s="527">
        <f t="shared" si="2745"/>
        <v>0</v>
      </c>
      <c r="CR896" s="527">
        <f t="shared" si="2745"/>
        <v>0</v>
      </c>
      <c r="CS896" s="527">
        <f t="shared" si="2745"/>
        <v>0</v>
      </c>
      <c r="CT896" s="528">
        <f t="shared" si="2745"/>
        <v>0</v>
      </c>
      <c r="CU896" s="528">
        <f t="shared" si="2745"/>
        <v>1.5728742216687422E-2</v>
      </c>
      <c r="CV896" s="528">
        <f t="shared" si="2745"/>
        <v>2.1448284840937398E-2</v>
      </c>
      <c r="CW896" s="527">
        <f t="shared" ref="CW896:DC898" si="2746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46"/>
        <v>4.7186226650062273E-2</v>
      </c>
      <c r="CY896" s="527">
        <f t="shared" si="2746"/>
        <v>6.7408895214374667E-2</v>
      </c>
      <c r="CZ896" s="527">
        <f t="shared" si="2746"/>
        <v>8.8474174968866753E-2</v>
      </c>
      <c r="DA896" s="527" t="str">
        <f t="shared" si="2746"/>
        <v/>
      </c>
      <c r="DB896" s="526" t="str">
        <f t="shared" si="2746"/>
        <v/>
      </c>
      <c r="DC896" s="525" t="str">
        <f t="shared" si="2746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47">SUM(B696)</f>
        <v>0</v>
      </c>
      <c r="C897" s="795">
        <f t="shared" si="2747"/>
        <v>0</v>
      </c>
      <c r="D897" s="795">
        <f t="shared" si="2747"/>
        <v>0</v>
      </c>
      <c r="E897" s="795">
        <f t="shared" si="2747"/>
        <v>0</v>
      </c>
      <c r="F897" s="795">
        <f t="shared" si="2747"/>
        <v>0</v>
      </c>
      <c r="G897" s="795">
        <f t="shared" si="2747"/>
        <v>0</v>
      </c>
      <c r="H897" s="795">
        <f t="shared" si="2747"/>
        <v>0</v>
      </c>
      <c r="I897" s="795">
        <f t="shared" si="2747"/>
        <v>0</v>
      </c>
      <c r="J897" s="795">
        <f t="shared" si="2747"/>
        <v>0</v>
      </c>
      <c r="K897" s="795">
        <f t="shared" si="2747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48">SUM(T696)</f>
        <v>0</v>
      </c>
      <c r="U897" s="795">
        <f t="shared" si="2748"/>
        <v>0</v>
      </c>
      <c r="V897" s="795">
        <f t="shared" si="2748"/>
        <v>0</v>
      </c>
      <c r="W897" s="795">
        <f t="shared" si="2748"/>
        <v>0</v>
      </c>
      <c r="X897" s="795">
        <f t="shared" si="2748"/>
        <v>0</v>
      </c>
      <c r="Y897" s="795">
        <f t="shared" si="2748"/>
        <v>0</v>
      </c>
      <c r="Z897" s="795">
        <f t="shared" si="2748"/>
        <v>0</v>
      </c>
      <c r="AA897" s="795">
        <f t="shared" si="2748"/>
        <v>0</v>
      </c>
      <c r="AB897" s="795">
        <f t="shared" si="2748"/>
        <v>0</v>
      </c>
      <c r="AC897" s="795">
        <f t="shared" si="2748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49">SUM(AL696)</f>
        <v>0</v>
      </c>
      <c r="AM897" s="795">
        <f t="shared" si="2749"/>
        <v>0</v>
      </c>
      <c r="AN897" s="795">
        <f t="shared" si="2749"/>
        <v>0</v>
      </c>
      <c r="AO897" s="795">
        <f t="shared" si="2749"/>
        <v>0</v>
      </c>
      <c r="AP897" s="795">
        <f t="shared" si="2749"/>
        <v>0</v>
      </c>
      <c r="AQ897" s="795">
        <f t="shared" si="2749"/>
        <v>0</v>
      </c>
      <c r="AR897" s="795">
        <f t="shared" si="2749"/>
        <v>0</v>
      </c>
      <c r="AS897" s="795">
        <f t="shared" si="2749"/>
        <v>0</v>
      </c>
      <c r="AT897" s="795">
        <f t="shared" si="2749"/>
        <v>0</v>
      </c>
      <c r="AU897" s="795">
        <f t="shared" si="2749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50">SUM(BD696)</f>
        <v>1.9552303860523038E-2</v>
      </c>
      <c r="BE897" s="795">
        <f t="shared" si="2750"/>
        <v>0</v>
      </c>
      <c r="BF897" s="795">
        <f t="shared" si="2750"/>
        <v>0</v>
      </c>
      <c r="BG897" s="795">
        <f t="shared" si="2750"/>
        <v>0</v>
      </c>
      <c r="BH897" s="795">
        <f t="shared" si="2750"/>
        <v>0</v>
      </c>
      <c r="BI897" s="795">
        <f t="shared" si="2750"/>
        <v>0</v>
      </c>
      <c r="BJ897" s="795">
        <f t="shared" si="2750"/>
        <v>0</v>
      </c>
      <c r="BK897" s="795">
        <f t="shared" si="2750"/>
        <v>0</v>
      </c>
      <c r="BL897" s="795">
        <f t="shared" si="2750"/>
        <v>0</v>
      </c>
      <c r="BM897" s="795">
        <f t="shared" si="2750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1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0">
        <f t="shared" ref="CE897:CM898" si="275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0">
        <f t="shared" si="2751"/>
        <v>0</v>
      </c>
      <c r="CG897" s="1320">
        <f t="shared" si="2751"/>
        <v>0</v>
      </c>
      <c r="CH897" s="1321">
        <f t="shared" si="2751"/>
        <v>0</v>
      </c>
      <c r="CI897" s="1321">
        <f t="shared" si="2751"/>
        <v>0</v>
      </c>
      <c r="CJ897" s="1320">
        <f t="shared" si="2751"/>
        <v>0</v>
      </c>
      <c r="CK897" s="1320">
        <f t="shared" si="2751"/>
        <v>0</v>
      </c>
      <c r="CL897" s="1320">
        <f t="shared" si="2751"/>
        <v>0</v>
      </c>
      <c r="CM897" s="1319">
        <f t="shared" si="2751"/>
        <v>0</v>
      </c>
      <c r="CN897" s="526" t="str">
        <f t="shared" si="2745"/>
        <v/>
      </c>
      <c r="CO897" s="527" t="str">
        <f t="shared" si="2745"/>
        <v/>
      </c>
      <c r="CP897" s="527" t="str">
        <f t="shared" si="2745"/>
        <v/>
      </c>
      <c r="CQ897" s="527">
        <f t="shared" si="2745"/>
        <v>0</v>
      </c>
      <c r="CR897" s="527">
        <f t="shared" si="2745"/>
        <v>0</v>
      </c>
      <c r="CS897" s="527">
        <f t="shared" si="2745"/>
        <v>0</v>
      </c>
      <c r="CT897" s="528">
        <f t="shared" si="2745"/>
        <v>0</v>
      </c>
      <c r="CU897" s="528">
        <f t="shared" si="2745"/>
        <v>0</v>
      </c>
      <c r="CV897" s="528">
        <f t="shared" si="2745"/>
        <v>0</v>
      </c>
      <c r="CW897" s="527">
        <f t="shared" si="2746"/>
        <v>0</v>
      </c>
      <c r="CX897" s="527">
        <f t="shared" si="2746"/>
        <v>0</v>
      </c>
      <c r="CY897" s="527">
        <f t="shared" si="2746"/>
        <v>0</v>
      </c>
      <c r="CZ897" s="527">
        <f t="shared" si="2746"/>
        <v>1.9552303860523038E-2</v>
      </c>
      <c r="DA897" s="527" t="str">
        <f t="shared" si="2746"/>
        <v/>
      </c>
      <c r="DB897" s="526" t="str">
        <f t="shared" si="2746"/>
        <v/>
      </c>
      <c r="DC897" s="525" t="str">
        <f t="shared" si="2746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52">SUM(B701)</f>
        <v>0</v>
      </c>
      <c r="C898" s="795">
        <f t="shared" si="2752"/>
        <v>0</v>
      </c>
      <c r="D898" s="795">
        <f t="shared" si="2752"/>
        <v>0</v>
      </c>
      <c r="E898" s="795">
        <f t="shared" si="2752"/>
        <v>0</v>
      </c>
      <c r="F898" s="795">
        <f t="shared" si="2752"/>
        <v>0</v>
      </c>
      <c r="G898" s="795">
        <f t="shared" si="2752"/>
        <v>0</v>
      </c>
      <c r="H898" s="795">
        <f t="shared" si="2752"/>
        <v>0</v>
      </c>
      <c r="I898" s="795">
        <f t="shared" si="2752"/>
        <v>0</v>
      </c>
      <c r="J898" s="795">
        <f t="shared" si="2752"/>
        <v>0</v>
      </c>
      <c r="K898" s="795">
        <f t="shared" si="2752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53">SUM(T701)</f>
        <v>0</v>
      </c>
      <c r="U898" s="795">
        <f t="shared" si="2753"/>
        <v>0</v>
      </c>
      <c r="V898" s="795">
        <f t="shared" si="2753"/>
        <v>0</v>
      </c>
      <c r="W898" s="795">
        <f t="shared" si="2753"/>
        <v>0</v>
      </c>
      <c r="X898" s="795">
        <f t="shared" si="2753"/>
        <v>0</v>
      </c>
      <c r="Y898" s="795">
        <f t="shared" si="2753"/>
        <v>0</v>
      </c>
      <c r="Z898" s="795">
        <f t="shared" si="2753"/>
        <v>0</v>
      </c>
      <c r="AA898" s="795">
        <f t="shared" si="2753"/>
        <v>0</v>
      </c>
      <c r="AB898" s="795">
        <f t="shared" si="2753"/>
        <v>0</v>
      </c>
      <c r="AC898" s="795">
        <f t="shared" si="2753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54">SUM(AL701)</f>
        <v>0</v>
      </c>
      <c r="AM898" s="795">
        <f t="shared" si="2754"/>
        <v>0</v>
      </c>
      <c r="AN898" s="795">
        <f t="shared" si="2754"/>
        <v>1.5093399750933998E-2</v>
      </c>
      <c r="AO898" s="795">
        <f t="shared" si="2754"/>
        <v>0</v>
      </c>
      <c r="AP898" s="795">
        <f t="shared" si="2754"/>
        <v>0</v>
      </c>
      <c r="AQ898" s="795">
        <f t="shared" si="2754"/>
        <v>4.6139476961394768E-2</v>
      </c>
      <c r="AR898" s="795">
        <f t="shared" si="2754"/>
        <v>0</v>
      </c>
      <c r="AS898" s="795">
        <f t="shared" si="2754"/>
        <v>0</v>
      </c>
      <c r="AT898" s="795">
        <f t="shared" si="2754"/>
        <v>3.6911581569115816E-2</v>
      </c>
      <c r="AU898" s="795">
        <f t="shared" si="2754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55">SUM(BD701)</f>
        <v>7.6899128268991274E-3</v>
      </c>
      <c r="BE898" s="795">
        <f t="shared" si="2755"/>
        <v>4.3255759651307596E-2</v>
      </c>
      <c r="BF898" s="795">
        <f t="shared" si="2755"/>
        <v>0</v>
      </c>
      <c r="BG898" s="795">
        <f t="shared" si="2755"/>
        <v>3.2956769258139118E-2</v>
      </c>
      <c r="BH898" s="795">
        <f t="shared" si="2755"/>
        <v>2.5166987433488056E-2</v>
      </c>
      <c r="BI898" s="795">
        <f t="shared" si="2755"/>
        <v>1.8455790784557908E-2</v>
      </c>
      <c r="BJ898" s="795">
        <f t="shared" si="2755"/>
        <v>0</v>
      </c>
      <c r="BK898" s="795">
        <f t="shared" si="2755"/>
        <v>0</v>
      </c>
      <c r="BL898" s="795">
        <f t="shared" si="2755"/>
        <v>0</v>
      </c>
      <c r="BM898" s="795">
        <f t="shared" si="2755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19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0">
        <f t="shared" si="2751"/>
        <v>0</v>
      </c>
      <c r="CF898" s="1320">
        <f t="shared" si="2751"/>
        <v>0</v>
      </c>
      <c r="CG898" s="1320">
        <f t="shared" si="2751"/>
        <v>0</v>
      </c>
      <c r="CH898" s="1321">
        <f t="shared" si="2751"/>
        <v>0</v>
      </c>
      <c r="CI898" s="1321">
        <f t="shared" si="2751"/>
        <v>0</v>
      </c>
      <c r="CJ898" s="1320">
        <f t="shared" si="2751"/>
        <v>1.5093399750933998E-2</v>
      </c>
      <c r="CK898" s="1320">
        <f t="shared" si="2751"/>
        <v>1.8455790784557908E-2</v>
      </c>
      <c r="CL898" s="1320">
        <f t="shared" si="2751"/>
        <v>3.6911581569115816E-2</v>
      </c>
      <c r="CM898" s="1319">
        <f t="shared" si="2751"/>
        <v>4.6139476961394768E-2</v>
      </c>
      <c r="CN898" s="526" t="str">
        <f t="shared" si="2745"/>
        <v/>
      </c>
      <c r="CO898" s="527" t="str">
        <f t="shared" si="2745"/>
        <v/>
      </c>
      <c r="CP898" s="527" t="str">
        <f t="shared" si="2745"/>
        <v/>
      </c>
      <c r="CQ898" s="527">
        <f t="shared" si="2745"/>
        <v>0</v>
      </c>
      <c r="CR898" s="527">
        <f t="shared" si="2745"/>
        <v>0</v>
      </c>
      <c r="CS898" s="527">
        <f t="shared" si="2745"/>
        <v>0</v>
      </c>
      <c r="CT898" s="528">
        <f t="shared" si="2745"/>
        <v>0</v>
      </c>
      <c r="CU898" s="528">
        <f t="shared" si="2745"/>
        <v>7.6899128268991274E-3</v>
      </c>
      <c r="CV898" s="528">
        <f t="shared" si="2745"/>
        <v>1.3182707703255648E-2</v>
      </c>
      <c r="CW898" s="527">
        <f t="shared" si="2746"/>
        <v>1.8455790784557908E-2</v>
      </c>
      <c r="CX898" s="527">
        <f t="shared" si="2746"/>
        <v>2.5166987433488056E-2</v>
      </c>
      <c r="CY898" s="527">
        <f t="shared" si="2746"/>
        <v>3.2956769258139118E-2</v>
      </c>
      <c r="CZ898" s="527">
        <f t="shared" si="2746"/>
        <v>4.3255759651307596E-2</v>
      </c>
      <c r="DA898" s="527" t="str">
        <f t="shared" si="2746"/>
        <v/>
      </c>
      <c r="DB898" s="526" t="str">
        <f t="shared" si="2746"/>
        <v/>
      </c>
      <c r="DC898" s="525" t="str">
        <f t="shared" si="2746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2"/>
      <c r="CE899" s="1322"/>
      <c r="CF899" s="1322"/>
      <c r="CG899" s="1322"/>
      <c r="CH899" s="1322"/>
      <c r="CI899" s="1322"/>
      <c r="CJ899" s="1322"/>
      <c r="CK899" s="1322"/>
      <c r="CL899" s="1322"/>
      <c r="CM899" s="1322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56">SUM(B820:B899)</f>
        <v>1.1782600688608194</v>
      </c>
      <c r="C900" s="795">
        <f t="shared" si="2756"/>
        <v>1.059261598427665</v>
      </c>
      <c r="D900" s="795">
        <f t="shared" si="2756"/>
        <v>1.0318460487457748</v>
      </c>
      <c r="E900" s="795">
        <f t="shared" si="2756"/>
        <v>1.1271082283105023</v>
      </c>
      <c r="F900" s="795">
        <f t="shared" si="2756"/>
        <v>1.157534626866936</v>
      </c>
      <c r="G900" s="795">
        <f t="shared" si="2756"/>
        <v>1.1643541374977762</v>
      </c>
      <c r="H900" s="795">
        <f t="shared" si="2756"/>
        <v>1.0854914419471953</v>
      </c>
      <c r="I900" s="795">
        <f t="shared" si="2756"/>
        <v>1.1822484876119315</v>
      </c>
      <c r="J900" s="795">
        <f t="shared" si="2756"/>
        <v>1.0328117145525706</v>
      </c>
      <c r="K900" s="795">
        <f t="shared" si="2756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57">SUM(T820:T899)</f>
        <v>1.1921334218184785</v>
      </c>
      <c r="U900" s="795">
        <f t="shared" si="2757"/>
        <v>1.1673065309765249</v>
      </c>
      <c r="V900" s="795">
        <f t="shared" si="2757"/>
        <v>1.1911270952183284</v>
      </c>
      <c r="W900" s="795">
        <f t="shared" si="2757"/>
        <v>1.1572505300788707</v>
      </c>
      <c r="X900" s="795">
        <f t="shared" si="2757"/>
        <v>1.2071576240882405</v>
      </c>
      <c r="Y900" s="795">
        <f t="shared" si="2757"/>
        <v>1.2110860973800626</v>
      </c>
      <c r="Z900" s="795">
        <f t="shared" si="2757"/>
        <v>1.234166023655999</v>
      </c>
      <c r="AA900" s="795">
        <f t="shared" si="2757"/>
        <v>1.2598181281880452</v>
      </c>
      <c r="AB900" s="795">
        <f t="shared" si="2757"/>
        <v>1.2697621217769675</v>
      </c>
      <c r="AC900" s="795">
        <f t="shared" si="2757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58">SUM(AL820:AL899)</f>
        <v>1.3311117514253521</v>
      </c>
      <c r="AM900" s="795">
        <f t="shared" si="2758"/>
        <v>1.3685591011741682</v>
      </c>
      <c r="AN900" s="795">
        <f t="shared" si="2758"/>
        <v>1.4151442106861174</v>
      </c>
      <c r="AO900" s="795">
        <f t="shared" si="2758"/>
        <v>1.2927721271671706</v>
      </c>
      <c r="AP900" s="795">
        <f t="shared" si="2758"/>
        <v>1.4051070518247053</v>
      </c>
      <c r="AQ900" s="795">
        <f t="shared" si="2758"/>
        <v>1.3044374911486685</v>
      </c>
      <c r="AR900" s="795">
        <f t="shared" si="2758"/>
        <v>1.4738567594666259</v>
      </c>
      <c r="AS900" s="795">
        <f t="shared" si="2758"/>
        <v>1.3592828836814332</v>
      </c>
      <c r="AT900" s="795">
        <f t="shared" si="2758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2"/>
      <c r="CE900" s="1322"/>
      <c r="CF900" s="1322"/>
      <c r="CG900" s="1322"/>
      <c r="CH900" s="1322"/>
      <c r="CI900" s="1322"/>
      <c r="CJ900" s="1322"/>
      <c r="CK900" s="1322"/>
      <c r="CL900" s="1322"/>
      <c r="CM900" s="1322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2"/>
      <c r="CE901" s="1322"/>
      <c r="CF901" s="1322"/>
      <c r="CG901" s="1322"/>
      <c r="CH901" s="1322"/>
      <c r="CI901" s="1322"/>
      <c r="CJ901" s="1322"/>
      <c r="CK901" s="1322"/>
      <c r="CL901" s="1322"/>
      <c r="CM901" s="1322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389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2"/>
      <c r="CE902" s="1322"/>
      <c r="CF902" s="1322"/>
      <c r="CG902" s="1322"/>
      <c r="CH902" s="1322"/>
      <c r="CI902" s="1322"/>
      <c r="CJ902" s="1322"/>
      <c r="CK902" s="1322"/>
      <c r="CL902" s="1322"/>
      <c r="CM902" s="1322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2"/>
      <c r="CE903" s="1322"/>
      <c r="CF903" s="1322"/>
      <c r="CG903" s="1322"/>
      <c r="CH903" s="1322"/>
      <c r="CI903" s="1322"/>
      <c r="CJ903" s="1322"/>
      <c r="CK903" s="1322"/>
      <c r="CL903" s="1322"/>
      <c r="CM903" s="1322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390</v>
      </c>
      <c r="B904" s="784">
        <f t="shared" ref="B904:K904" si="2759">SUM(B72)</f>
        <v>0</v>
      </c>
      <c r="C904" s="784">
        <f t="shared" si="2759"/>
        <v>0</v>
      </c>
      <c r="D904" s="784">
        <f t="shared" si="2759"/>
        <v>0</v>
      </c>
      <c r="E904" s="784">
        <f t="shared" si="2759"/>
        <v>0</v>
      </c>
      <c r="F904" s="784">
        <f t="shared" si="2759"/>
        <v>0</v>
      </c>
      <c r="G904" s="784">
        <f t="shared" si="2759"/>
        <v>0</v>
      </c>
      <c r="H904" s="784">
        <f t="shared" si="2759"/>
        <v>0</v>
      </c>
      <c r="I904" s="784">
        <f t="shared" si="2759"/>
        <v>0</v>
      </c>
      <c r="J904" s="784">
        <f t="shared" si="2759"/>
        <v>0</v>
      </c>
      <c r="K904" s="784">
        <f t="shared" si="2759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60">SUM(T72)</f>
        <v>0</v>
      </c>
      <c r="U904" s="784">
        <f t="shared" si="2760"/>
        <v>0</v>
      </c>
      <c r="V904" s="784">
        <f t="shared" si="2760"/>
        <v>0</v>
      </c>
      <c r="W904" s="784">
        <f t="shared" si="2760"/>
        <v>0</v>
      </c>
      <c r="X904" s="784">
        <f t="shared" si="2760"/>
        <v>0</v>
      </c>
      <c r="Y904" s="784">
        <f t="shared" si="2760"/>
        <v>0</v>
      </c>
      <c r="Z904" s="784">
        <f t="shared" si="2760"/>
        <v>0</v>
      </c>
      <c r="AA904" s="784">
        <f t="shared" si="2760"/>
        <v>0</v>
      </c>
      <c r="AB904" s="784">
        <f t="shared" si="2760"/>
        <v>0</v>
      </c>
      <c r="AC904" s="784">
        <f t="shared" si="2760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61">SUM(AL72)</f>
        <v>0</v>
      </c>
      <c r="AM904" s="784">
        <f t="shared" si="2761"/>
        <v>0</v>
      </c>
      <c r="AN904" s="784">
        <f t="shared" si="2761"/>
        <v>0</v>
      </c>
      <c r="AO904" s="784">
        <f t="shared" si="2761"/>
        <v>0</v>
      </c>
      <c r="AP904" s="784">
        <f t="shared" si="2761"/>
        <v>0</v>
      </c>
      <c r="AQ904" s="784">
        <f t="shared" si="2761"/>
        <v>0</v>
      </c>
      <c r="AR904" s="784">
        <f t="shared" si="2761"/>
        <v>0</v>
      </c>
      <c r="AS904" s="784">
        <f t="shared" si="2761"/>
        <v>0</v>
      </c>
      <c r="AT904" s="784">
        <f t="shared" si="2761"/>
        <v>0</v>
      </c>
      <c r="AU904" s="784">
        <f t="shared" si="2761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62">SUM(BD72)</f>
        <v>0</v>
      </c>
      <c r="BE904" s="784">
        <f t="shared" si="2762"/>
        <v>0</v>
      </c>
      <c r="BF904" s="784">
        <f t="shared" si="2762"/>
        <v>0</v>
      </c>
      <c r="BG904" s="784">
        <f t="shared" si="2762"/>
        <v>0</v>
      </c>
      <c r="BH904" s="784">
        <f t="shared" si="2762"/>
        <v>0</v>
      </c>
      <c r="BI904" s="784">
        <f t="shared" si="2762"/>
        <v>0</v>
      </c>
      <c r="BJ904" s="784">
        <f t="shared" si="2762"/>
        <v>0</v>
      </c>
      <c r="BK904" s="784">
        <f t="shared" si="2762"/>
        <v>0</v>
      </c>
      <c r="BL904" s="784">
        <f t="shared" si="2762"/>
        <v>0</v>
      </c>
      <c r="BM904" s="784">
        <f t="shared" si="2762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63">IF(DD904&lt;3,"",(SUM(B904:R904)-MIN(B904:R904)-MAX(B904:R904))/(DD904-2))</f>
        <v>0</v>
      </c>
      <c r="CA904" s="586">
        <f t="shared" ref="CA904:CA918" si="2764">IF(DE904&lt;3,"",(SUM(T904:AJ904)-MIN(T904:AJ904)-MAX(T904:AJ904))/(DE904-2))</f>
        <v>0</v>
      </c>
      <c r="CB904" s="586">
        <f t="shared" ref="CB904:CB918" si="2765">IF(DF904&lt;3,"",(SUM(AL904:BB904)-MIN(AL904:BB904)-MAX(AL904:BB904))/(DF904-2))</f>
        <v>0</v>
      </c>
      <c r="CC904" s="586">
        <f t="shared" ref="CC904:CC918" si="2766">IF(DG904&lt;3,"",(SUM(BD904:BT904)-MIN(BD904:BT904)-MAX(BD904:BT904))/(DG904-2))</f>
        <v>0</v>
      </c>
      <c r="CD904" s="1316">
        <f t="shared" ref="CD904:CM904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7">
        <f t="shared" si="2767"/>
        <v>0</v>
      </c>
      <c r="CF904" s="1317">
        <f t="shared" si="2767"/>
        <v>0</v>
      </c>
      <c r="CG904" s="1317">
        <f t="shared" si="2767"/>
        <v>0</v>
      </c>
      <c r="CH904" s="1318">
        <f t="shared" si="2767"/>
        <v>0</v>
      </c>
      <c r="CI904" s="1318">
        <f t="shared" si="2767"/>
        <v>0</v>
      </c>
      <c r="CJ904" s="1317">
        <f t="shared" si="2767"/>
        <v>0</v>
      </c>
      <c r="CK904" s="1317">
        <f t="shared" si="2767"/>
        <v>0</v>
      </c>
      <c r="CL904" s="1317">
        <f t="shared" si="2767"/>
        <v>0</v>
      </c>
      <c r="CM904" s="1316">
        <f t="shared" si="2767"/>
        <v>0</v>
      </c>
      <c r="CN904" s="538" t="str">
        <f t="shared" ref="CN904:CN918" si="276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6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7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7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7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7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7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7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7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7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7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7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8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8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8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8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84">COUNT(B904:R904)</f>
        <v>10</v>
      </c>
      <c r="DE904" s="95">
        <f t="shared" ref="DE904:DE918" si="2785">COUNT(T904:AJ904)</f>
        <v>10</v>
      </c>
      <c r="DF904" s="95">
        <f t="shared" ref="DF904:DF918" si="2786">COUNT(AL904:BB904)</f>
        <v>10</v>
      </c>
      <c r="DG904" s="95">
        <f t="shared" ref="DG904:DG918" si="2787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391</v>
      </c>
      <c r="B905" s="784">
        <f t="shared" ref="B905:K905" si="2788">SUM(B80)</f>
        <v>0</v>
      </c>
      <c r="C905" s="784">
        <f t="shared" si="2788"/>
        <v>0</v>
      </c>
      <c r="D905" s="784">
        <f t="shared" si="2788"/>
        <v>0</v>
      </c>
      <c r="E905" s="784">
        <f t="shared" si="2788"/>
        <v>0</v>
      </c>
      <c r="F905" s="784">
        <f t="shared" si="2788"/>
        <v>0</v>
      </c>
      <c r="G905" s="784">
        <f t="shared" si="2788"/>
        <v>0</v>
      </c>
      <c r="H905" s="784">
        <f t="shared" si="2788"/>
        <v>0</v>
      </c>
      <c r="I905" s="784">
        <f t="shared" si="2788"/>
        <v>0</v>
      </c>
      <c r="J905" s="784">
        <f t="shared" si="2788"/>
        <v>0</v>
      </c>
      <c r="K905" s="784">
        <f t="shared" si="2788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89">SUM(T80)</f>
        <v>0</v>
      </c>
      <c r="U905" s="784">
        <f t="shared" si="2789"/>
        <v>0</v>
      </c>
      <c r="V905" s="784">
        <f t="shared" si="2789"/>
        <v>0</v>
      </c>
      <c r="W905" s="784">
        <f t="shared" si="2789"/>
        <v>0</v>
      </c>
      <c r="X905" s="784">
        <f t="shared" si="2789"/>
        <v>0</v>
      </c>
      <c r="Y905" s="784">
        <f t="shared" si="2789"/>
        <v>0</v>
      </c>
      <c r="Z905" s="784">
        <f t="shared" si="2789"/>
        <v>0</v>
      </c>
      <c r="AA905" s="784">
        <f t="shared" si="2789"/>
        <v>0</v>
      </c>
      <c r="AB905" s="784">
        <f t="shared" si="2789"/>
        <v>0</v>
      </c>
      <c r="AC905" s="784">
        <f t="shared" si="2789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90">SUM(AL80)</f>
        <v>0</v>
      </c>
      <c r="AM905" s="784">
        <f t="shared" si="2790"/>
        <v>0</v>
      </c>
      <c r="AN905" s="784">
        <f t="shared" si="2790"/>
        <v>0</v>
      </c>
      <c r="AO905" s="784">
        <f t="shared" si="2790"/>
        <v>0</v>
      </c>
      <c r="AP905" s="784">
        <f t="shared" si="2790"/>
        <v>0</v>
      </c>
      <c r="AQ905" s="784">
        <f t="shared" si="2790"/>
        <v>0</v>
      </c>
      <c r="AR905" s="784">
        <f t="shared" si="2790"/>
        <v>0</v>
      </c>
      <c r="AS905" s="784">
        <f t="shared" si="2790"/>
        <v>0</v>
      </c>
      <c r="AT905" s="784">
        <f t="shared" si="2790"/>
        <v>0</v>
      </c>
      <c r="AU905" s="784">
        <f t="shared" si="2790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91">SUM(BD80)</f>
        <v>0</v>
      </c>
      <c r="BE905" s="784">
        <f t="shared" si="2791"/>
        <v>0</v>
      </c>
      <c r="BF905" s="784">
        <f t="shared" si="2791"/>
        <v>0</v>
      </c>
      <c r="BG905" s="784">
        <f t="shared" si="2791"/>
        <v>0</v>
      </c>
      <c r="BH905" s="784">
        <f t="shared" si="2791"/>
        <v>0</v>
      </c>
      <c r="BI905" s="784">
        <f t="shared" si="2791"/>
        <v>0</v>
      </c>
      <c r="BJ905" s="784">
        <f t="shared" si="2791"/>
        <v>0</v>
      </c>
      <c r="BK905" s="784">
        <f t="shared" si="2791"/>
        <v>0</v>
      </c>
      <c r="BL905" s="784">
        <f t="shared" si="2791"/>
        <v>0</v>
      </c>
      <c r="BM905" s="784">
        <f t="shared" si="2791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63"/>
        <v>0</v>
      </c>
      <c r="CA905" s="586">
        <f t="shared" si="2764"/>
        <v>0</v>
      </c>
      <c r="CB905" s="586">
        <f t="shared" si="2765"/>
        <v>0</v>
      </c>
      <c r="CC905" s="586">
        <f t="shared" si="2766"/>
        <v>0</v>
      </c>
      <c r="CD905" s="1316">
        <f t="shared" ref="CD905:CD918" si="279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7">
        <f t="shared" ref="CE905:CM918" si="279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7">
        <f t="shared" si="2793"/>
        <v>0</v>
      </c>
      <c r="CG905" s="1317">
        <f t="shared" si="2793"/>
        <v>0</v>
      </c>
      <c r="CH905" s="1318">
        <f t="shared" si="2793"/>
        <v>0</v>
      </c>
      <c r="CI905" s="1318">
        <f t="shared" si="2793"/>
        <v>0</v>
      </c>
      <c r="CJ905" s="1317">
        <f t="shared" si="2793"/>
        <v>0</v>
      </c>
      <c r="CK905" s="1317">
        <f t="shared" si="2793"/>
        <v>0</v>
      </c>
      <c r="CL905" s="1317">
        <f t="shared" si="2793"/>
        <v>0</v>
      </c>
      <c r="CM905" s="1316">
        <f t="shared" si="2793"/>
        <v>0</v>
      </c>
      <c r="CN905" s="538" t="str">
        <f t="shared" si="2768"/>
        <v/>
      </c>
      <c r="CO905" s="539" t="str">
        <f t="shared" si="2769"/>
        <v/>
      </c>
      <c r="CP905" s="539" t="str">
        <f t="shared" si="2770"/>
        <v/>
      </c>
      <c r="CQ905" s="539">
        <f t="shared" si="2771"/>
        <v>0</v>
      </c>
      <c r="CR905" s="539">
        <f t="shared" si="2772"/>
        <v>0</v>
      </c>
      <c r="CS905" s="539">
        <f t="shared" si="2773"/>
        <v>0</v>
      </c>
      <c r="CT905" s="540">
        <f t="shared" si="2774"/>
        <v>0</v>
      </c>
      <c r="CU905" s="540">
        <f t="shared" si="2775"/>
        <v>0</v>
      </c>
      <c r="CV905" s="540">
        <f t="shared" si="2776"/>
        <v>0</v>
      </c>
      <c r="CW905" s="539">
        <f t="shared" si="2777"/>
        <v>0</v>
      </c>
      <c r="CX905" s="539">
        <f t="shared" si="2778"/>
        <v>0</v>
      </c>
      <c r="CY905" s="539">
        <f t="shared" si="2779"/>
        <v>0</v>
      </c>
      <c r="CZ905" s="539">
        <f t="shared" si="2780"/>
        <v>0</v>
      </c>
      <c r="DA905" s="539" t="str">
        <f t="shared" si="2781"/>
        <v/>
      </c>
      <c r="DB905" s="538" t="str">
        <f t="shared" si="2782"/>
        <v/>
      </c>
      <c r="DC905" s="537" t="str">
        <f t="shared" si="2783"/>
        <v/>
      </c>
      <c r="DD905" s="641">
        <f t="shared" si="2784"/>
        <v>10</v>
      </c>
      <c r="DE905" s="95">
        <f t="shared" si="2785"/>
        <v>10</v>
      </c>
      <c r="DF905" s="95">
        <f t="shared" si="2786"/>
        <v>10</v>
      </c>
      <c r="DG905" s="95">
        <f t="shared" si="2787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392</v>
      </c>
      <c r="B906" s="784">
        <f t="shared" ref="B906:K906" si="2794">SUM(B88)</f>
        <v>0</v>
      </c>
      <c r="C906" s="784">
        <f t="shared" si="2794"/>
        <v>0</v>
      </c>
      <c r="D906" s="784">
        <f t="shared" si="2794"/>
        <v>0</v>
      </c>
      <c r="E906" s="784">
        <f t="shared" si="2794"/>
        <v>0</v>
      </c>
      <c r="F906" s="784">
        <f t="shared" si="2794"/>
        <v>0</v>
      </c>
      <c r="G906" s="784">
        <f t="shared" si="2794"/>
        <v>0</v>
      </c>
      <c r="H906" s="784">
        <f t="shared" si="2794"/>
        <v>0</v>
      </c>
      <c r="I906" s="784">
        <f t="shared" si="2794"/>
        <v>0</v>
      </c>
      <c r="J906" s="784">
        <f t="shared" si="2794"/>
        <v>0</v>
      </c>
      <c r="K906" s="784">
        <f t="shared" si="2794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95">SUM(T88)</f>
        <v>0</v>
      </c>
      <c r="U906" s="784">
        <f t="shared" si="2795"/>
        <v>0</v>
      </c>
      <c r="V906" s="784">
        <f t="shared" si="2795"/>
        <v>0</v>
      </c>
      <c r="W906" s="784">
        <f t="shared" si="2795"/>
        <v>0</v>
      </c>
      <c r="X906" s="784">
        <f t="shared" si="2795"/>
        <v>0</v>
      </c>
      <c r="Y906" s="784">
        <f t="shared" si="2795"/>
        <v>0</v>
      </c>
      <c r="Z906" s="784">
        <f t="shared" si="2795"/>
        <v>0</v>
      </c>
      <c r="AA906" s="784">
        <f t="shared" si="2795"/>
        <v>0</v>
      </c>
      <c r="AB906" s="784">
        <f t="shared" si="2795"/>
        <v>0</v>
      </c>
      <c r="AC906" s="784">
        <f t="shared" si="2795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96">SUM(AL88)</f>
        <v>0</v>
      </c>
      <c r="AM906" s="784">
        <f t="shared" si="2796"/>
        <v>0</v>
      </c>
      <c r="AN906" s="784">
        <f t="shared" si="2796"/>
        <v>0</v>
      </c>
      <c r="AO906" s="784">
        <f t="shared" si="2796"/>
        <v>0</v>
      </c>
      <c r="AP906" s="784">
        <f t="shared" si="2796"/>
        <v>0</v>
      </c>
      <c r="AQ906" s="784">
        <f t="shared" si="2796"/>
        <v>0</v>
      </c>
      <c r="AR906" s="784">
        <f t="shared" si="2796"/>
        <v>0</v>
      </c>
      <c r="AS906" s="784">
        <f t="shared" si="2796"/>
        <v>0</v>
      </c>
      <c r="AT906" s="784">
        <f t="shared" si="2796"/>
        <v>0</v>
      </c>
      <c r="AU906" s="784">
        <f t="shared" si="2796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97">SUM(BD88)</f>
        <v>0</v>
      </c>
      <c r="BE906" s="784">
        <f t="shared" si="2797"/>
        <v>0</v>
      </c>
      <c r="BF906" s="784">
        <f t="shared" si="2797"/>
        <v>0</v>
      </c>
      <c r="BG906" s="784">
        <f t="shared" si="2797"/>
        <v>0</v>
      </c>
      <c r="BH906" s="784">
        <f t="shared" si="2797"/>
        <v>0</v>
      </c>
      <c r="BI906" s="784">
        <f t="shared" si="2797"/>
        <v>0</v>
      </c>
      <c r="BJ906" s="784">
        <f t="shared" si="2797"/>
        <v>0</v>
      </c>
      <c r="BK906" s="784">
        <f t="shared" si="2797"/>
        <v>0</v>
      </c>
      <c r="BL906" s="784">
        <f t="shared" si="2797"/>
        <v>0</v>
      </c>
      <c r="BM906" s="784">
        <f t="shared" si="2797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63"/>
        <v>0</v>
      </c>
      <c r="CA906" s="586">
        <f t="shared" si="2764"/>
        <v>0</v>
      </c>
      <c r="CB906" s="586">
        <f t="shared" si="2765"/>
        <v>0</v>
      </c>
      <c r="CC906" s="586">
        <f t="shared" si="2766"/>
        <v>0</v>
      </c>
      <c r="CD906" s="1316">
        <f t="shared" si="2792"/>
        <v>0</v>
      </c>
      <c r="CE906" s="1317">
        <f t="shared" si="2793"/>
        <v>0</v>
      </c>
      <c r="CF906" s="1317">
        <f t="shared" si="2793"/>
        <v>0</v>
      </c>
      <c r="CG906" s="1317">
        <f t="shared" si="2793"/>
        <v>0</v>
      </c>
      <c r="CH906" s="1318">
        <f t="shared" si="2793"/>
        <v>0</v>
      </c>
      <c r="CI906" s="1318">
        <f t="shared" si="2793"/>
        <v>0</v>
      </c>
      <c r="CJ906" s="1317">
        <f t="shared" si="2793"/>
        <v>0</v>
      </c>
      <c r="CK906" s="1317">
        <f t="shared" si="2793"/>
        <v>0</v>
      </c>
      <c r="CL906" s="1317">
        <f t="shared" si="2793"/>
        <v>0</v>
      </c>
      <c r="CM906" s="1316">
        <f t="shared" si="2793"/>
        <v>0</v>
      </c>
      <c r="CN906" s="538" t="str">
        <f t="shared" si="2768"/>
        <v/>
      </c>
      <c r="CO906" s="539" t="str">
        <f t="shared" si="2769"/>
        <v/>
      </c>
      <c r="CP906" s="539" t="str">
        <f t="shared" si="2770"/>
        <v/>
      </c>
      <c r="CQ906" s="539">
        <f t="shared" si="2771"/>
        <v>0</v>
      </c>
      <c r="CR906" s="539">
        <f t="shared" si="2772"/>
        <v>0</v>
      </c>
      <c r="CS906" s="539">
        <f t="shared" si="2773"/>
        <v>0</v>
      </c>
      <c r="CT906" s="540">
        <f t="shared" si="2774"/>
        <v>0</v>
      </c>
      <c r="CU906" s="540">
        <f t="shared" si="2775"/>
        <v>0</v>
      </c>
      <c r="CV906" s="540">
        <f t="shared" si="2776"/>
        <v>0</v>
      </c>
      <c r="CW906" s="539">
        <f t="shared" si="2777"/>
        <v>0</v>
      </c>
      <c r="CX906" s="539">
        <f t="shared" si="2778"/>
        <v>0</v>
      </c>
      <c r="CY906" s="539">
        <f t="shared" si="2779"/>
        <v>0</v>
      </c>
      <c r="CZ906" s="539">
        <f t="shared" si="2780"/>
        <v>0</v>
      </c>
      <c r="DA906" s="539" t="str">
        <f t="shared" si="2781"/>
        <v/>
      </c>
      <c r="DB906" s="538" t="str">
        <f t="shared" si="2782"/>
        <v/>
      </c>
      <c r="DC906" s="537" t="str">
        <f t="shared" si="2783"/>
        <v/>
      </c>
      <c r="DD906" s="641">
        <f t="shared" si="2784"/>
        <v>10</v>
      </c>
      <c r="DE906" s="95">
        <f t="shared" si="2785"/>
        <v>10</v>
      </c>
      <c r="DF906" s="95">
        <f t="shared" si="2786"/>
        <v>10</v>
      </c>
      <c r="DG906" s="95">
        <f t="shared" si="2787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393</v>
      </c>
      <c r="B907" s="784">
        <f t="shared" ref="B907:K907" si="2798">SUM(B99)</f>
        <v>0</v>
      </c>
      <c r="C907" s="784">
        <f t="shared" si="2798"/>
        <v>0</v>
      </c>
      <c r="D907" s="784">
        <f t="shared" si="2798"/>
        <v>0</v>
      </c>
      <c r="E907" s="784">
        <f t="shared" si="2798"/>
        <v>0</v>
      </c>
      <c r="F907" s="784">
        <f t="shared" si="2798"/>
        <v>0</v>
      </c>
      <c r="G907" s="784">
        <f t="shared" si="2798"/>
        <v>0</v>
      </c>
      <c r="H907" s="784">
        <f t="shared" si="2798"/>
        <v>0</v>
      </c>
      <c r="I907" s="784">
        <f t="shared" si="2798"/>
        <v>0</v>
      </c>
      <c r="J907" s="784">
        <f t="shared" si="2798"/>
        <v>0</v>
      </c>
      <c r="K907" s="784">
        <f t="shared" si="2798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99">SUM(T99)</f>
        <v>0</v>
      </c>
      <c r="U907" s="784">
        <f t="shared" si="2799"/>
        <v>0</v>
      </c>
      <c r="V907" s="784">
        <f t="shared" si="2799"/>
        <v>0</v>
      </c>
      <c r="W907" s="784">
        <f t="shared" si="2799"/>
        <v>0</v>
      </c>
      <c r="X907" s="784">
        <f t="shared" si="2799"/>
        <v>0</v>
      </c>
      <c r="Y907" s="784">
        <f t="shared" si="2799"/>
        <v>0</v>
      </c>
      <c r="Z907" s="784">
        <f t="shared" si="2799"/>
        <v>0</v>
      </c>
      <c r="AA907" s="784">
        <f t="shared" si="2799"/>
        <v>0</v>
      </c>
      <c r="AB907" s="784">
        <f t="shared" si="2799"/>
        <v>0</v>
      </c>
      <c r="AC907" s="784">
        <f t="shared" si="2799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800">SUM(AL99)</f>
        <v>0</v>
      </c>
      <c r="AM907" s="784">
        <f t="shared" si="2800"/>
        <v>0</v>
      </c>
      <c r="AN907" s="784">
        <f t="shared" si="2800"/>
        <v>0</v>
      </c>
      <c r="AO907" s="784">
        <f t="shared" si="2800"/>
        <v>0</v>
      </c>
      <c r="AP907" s="784">
        <f t="shared" si="2800"/>
        <v>0</v>
      </c>
      <c r="AQ907" s="784">
        <f t="shared" si="2800"/>
        <v>0</v>
      </c>
      <c r="AR907" s="784">
        <f t="shared" si="2800"/>
        <v>0</v>
      </c>
      <c r="AS907" s="784">
        <f t="shared" si="2800"/>
        <v>0</v>
      </c>
      <c r="AT907" s="784">
        <f t="shared" si="2800"/>
        <v>0</v>
      </c>
      <c r="AU907" s="784">
        <f t="shared" si="2800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801">SUM(BD99)</f>
        <v>0</v>
      </c>
      <c r="BE907" s="784">
        <f t="shared" si="2801"/>
        <v>0</v>
      </c>
      <c r="BF907" s="784">
        <f t="shared" si="2801"/>
        <v>0</v>
      </c>
      <c r="BG907" s="784">
        <f t="shared" si="2801"/>
        <v>0</v>
      </c>
      <c r="BH907" s="784">
        <f t="shared" si="2801"/>
        <v>0</v>
      </c>
      <c r="BI907" s="784">
        <f t="shared" si="2801"/>
        <v>0</v>
      </c>
      <c r="BJ907" s="784">
        <f t="shared" si="2801"/>
        <v>0</v>
      </c>
      <c r="BK907" s="784">
        <f t="shared" si="2801"/>
        <v>0</v>
      </c>
      <c r="BL907" s="784">
        <f t="shared" si="2801"/>
        <v>0</v>
      </c>
      <c r="BM907" s="784">
        <f t="shared" si="2801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63"/>
        <v>0</v>
      </c>
      <c r="CA907" s="586">
        <f t="shared" si="2764"/>
        <v>0</v>
      </c>
      <c r="CB907" s="586">
        <f t="shared" si="2765"/>
        <v>0</v>
      </c>
      <c r="CC907" s="586">
        <f t="shared" si="2766"/>
        <v>0</v>
      </c>
      <c r="CD907" s="1316">
        <f t="shared" si="2792"/>
        <v>0</v>
      </c>
      <c r="CE907" s="1317">
        <f t="shared" si="2793"/>
        <v>0</v>
      </c>
      <c r="CF907" s="1317">
        <f t="shared" si="2793"/>
        <v>0</v>
      </c>
      <c r="CG907" s="1317">
        <f t="shared" si="2793"/>
        <v>0</v>
      </c>
      <c r="CH907" s="1318">
        <f t="shared" si="2793"/>
        <v>0</v>
      </c>
      <c r="CI907" s="1318">
        <f t="shared" si="2793"/>
        <v>0</v>
      </c>
      <c r="CJ907" s="1317">
        <f t="shared" si="2793"/>
        <v>0</v>
      </c>
      <c r="CK907" s="1317">
        <f t="shared" si="2793"/>
        <v>0</v>
      </c>
      <c r="CL907" s="1317">
        <f t="shared" si="2793"/>
        <v>0</v>
      </c>
      <c r="CM907" s="1316">
        <f t="shared" si="2793"/>
        <v>0</v>
      </c>
      <c r="CN907" s="538" t="str">
        <f t="shared" si="2768"/>
        <v/>
      </c>
      <c r="CO907" s="539" t="str">
        <f t="shared" si="2769"/>
        <v/>
      </c>
      <c r="CP907" s="539" t="str">
        <f t="shared" si="2770"/>
        <v/>
      </c>
      <c r="CQ907" s="539">
        <f t="shared" si="2771"/>
        <v>0</v>
      </c>
      <c r="CR907" s="539">
        <f t="shared" si="2772"/>
        <v>0</v>
      </c>
      <c r="CS907" s="539">
        <f t="shared" si="2773"/>
        <v>0</v>
      </c>
      <c r="CT907" s="540">
        <f t="shared" si="2774"/>
        <v>0</v>
      </c>
      <c r="CU907" s="540">
        <f t="shared" si="2775"/>
        <v>0</v>
      </c>
      <c r="CV907" s="540">
        <f t="shared" si="2776"/>
        <v>0</v>
      </c>
      <c r="CW907" s="539">
        <f t="shared" si="2777"/>
        <v>0</v>
      </c>
      <c r="CX907" s="539">
        <f t="shared" si="2778"/>
        <v>0</v>
      </c>
      <c r="CY907" s="539">
        <f t="shared" si="2779"/>
        <v>0</v>
      </c>
      <c r="CZ907" s="539">
        <f t="shared" si="2780"/>
        <v>0</v>
      </c>
      <c r="DA907" s="539" t="str">
        <f t="shared" si="2781"/>
        <v/>
      </c>
      <c r="DB907" s="538" t="str">
        <f t="shared" si="2782"/>
        <v/>
      </c>
      <c r="DC907" s="537" t="str">
        <f t="shared" si="2783"/>
        <v/>
      </c>
      <c r="DD907" s="641">
        <f t="shared" si="2784"/>
        <v>10</v>
      </c>
      <c r="DE907" s="95">
        <f t="shared" si="2785"/>
        <v>10</v>
      </c>
      <c r="DF907" s="95">
        <f t="shared" si="2786"/>
        <v>10</v>
      </c>
      <c r="DG907" s="95">
        <f t="shared" si="2787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394</v>
      </c>
      <c r="B908" s="784">
        <f t="shared" ref="B908:K908" si="2802">SUM(B107)</f>
        <v>0</v>
      </c>
      <c r="C908" s="784">
        <f t="shared" si="2802"/>
        <v>0</v>
      </c>
      <c r="D908" s="784">
        <f t="shared" si="2802"/>
        <v>0</v>
      </c>
      <c r="E908" s="784">
        <f t="shared" si="2802"/>
        <v>0</v>
      </c>
      <c r="F908" s="784">
        <f t="shared" si="2802"/>
        <v>0</v>
      </c>
      <c r="G908" s="784">
        <f t="shared" si="2802"/>
        <v>0</v>
      </c>
      <c r="H908" s="784">
        <f t="shared" si="2802"/>
        <v>0</v>
      </c>
      <c r="I908" s="784">
        <f t="shared" si="2802"/>
        <v>0</v>
      </c>
      <c r="J908" s="784">
        <f t="shared" si="2802"/>
        <v>0</v>
      </c>
      <c r="K908" s="784">
        <f t="shared" si="2802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803">SUM(T107)</f>
        <v>0</v>
      </c>
      <c r="U908" s="784">
        <f t="shared" si="2803"/>
        <v>0</v>
      </c>
      <c r="V908" s="784">
        <f t="shared" si="2803"/>
        <v>0</v>
      </c>
      <c r="W908" s="784">
        <f t="shared" si="2803"/>
        <v>0</v>
      </c>
      <c r="X908" s="784">
        <f t="shared" si="2803"/>
        <v>0</v>
      </c>
      <c r="Y908" s="784">
        <f t="shared" si="2803"/>
        <v>0</v>
      </c>
      <c r="Z908" s="784">
        <f t="shared" si="2803"/>
        <v>0</v>
      </c>
      <c r="AA908" s="784">
        <f t="shared" si="2803"/>
        <v>0</v>
      </c>
      <c r="AB908" s="784">
        <f t="shared" si="2803"/>
        <v>0</v>
      </c>
      <c r="AC908" s="784">
        <f t="shared" si="2803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804">SUM(AL107)</f>
        <v>0</v>
      </c>
      <c r="AM908" s="784">
        <f t="shared" si="2804"/>
        <v>0</v>
      </c>
      <c r="AN908" s="784">
        <f t="shared" si="2804"/>
        <v>0</v>
      </c>
      <c r="AO908" s="784">
        <f t="shared" si="2804"/>
        <v>0</v>
      </c>
      <c r="AP908" s="784">
        <f t="shared" si="2804"/>
        <v>0</v>
      </c>
      <c r="AQ908" s="784">
        <f t="shared" si="2804"/>
        <v>0</v>
      </c>
      <c r="AR908" s="784">
        <f t="shared" si="2804"/>
        <v>0</v>
      </c>
      <c r="AS908" s="784">
        <f t="shared" si="2804"/>
        <v>0</v>
      </c>
      <c r="AT908" s="784">
        <f t="shared" si="2804"/>
        <v>0</v>
      </c>
      <c r="AU908" s="784">
        <f t="shared" si="2804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805">SUM(BD107)</f>
        <v>0</v>
      </c>
      <c r="BE908" s="784">
        <f t="shared" si="2805"/>
        <v>0</v>
      </c>
      <c r="BF908" s="784">
        <f t="shared" si="2805"/>
        <v>0</v>
      </c>
      <c r="BG908" s="784">
        <f t="shared" si="2805"/>
        <v>0</v>
      </c>
      <c r="BH908" s="784">
        <f t="shared" si="2805"/>
        <v>0</v>
      </c>
      <c r="BI908" s="784">
        <f t="shared" si="2805"/>
        <v>0</v>
      </c>
      <c r="BJ908" s="784">
        <f t="shared" si="2805"/>
        <v>0</v>
      </c>
      <c r="BK908" s="784">
        <f t="shared" si="2805"/>
        <v>0</v>
      </c>
      <c r="BL908" s="784">
        <f t="shared" si="2805"/>
        <v>0</v>
      </c>
      <c r="BM908" s="784">
        <f t="shared" si="2805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63"/>
        <v>0</v>
      </c>
      <c r="CA908" s="586">
        <f t="shared" si="2764"/>
        <v>0</v>
      </c>
      <c r="CB908" s="586">
        <f t="shared" si="2765"/>
        <v>0</v>
      </c>
      <c r="CC908" s="586">
        <f t="shared" si="2766"/>
        <v>0</v>
      </c>
      <c r="CD908" s="1316">
        <f t="shared" si="2792"/>
        <v>0</v>
      </c>
      <c r="CE908" s="1317">
        <f t="shared" si="2793"/>
        <v>0</v>
      </c>
      <c r="CF908" s="1317">
        <f t="shared" si="2793"/>
        <v>0</v>
      </c>
      <c r="CG908" s="1317">
        <f t="shared" si="2793"/>
        <v>0</v>
      </c>
      <c r="CH908" s="1318">
        <f t="shared" si="2793"/>
        <v>0</v>
      </c>
      <c r="CI908" s="1318">
        <f t="shared" si="2793"/>
        <v>0</v>
      </c>
      <c r="CJ908" s="1317">
        <f t="shared" si="2793"/>
        <v>0</v>
      </c>
      <c r="CK908" s="1317">
        <f t="shared" si="2793"/>
        <v>0</v>
      </c>
      <c r="CL908" s="1317">
        <f t="shared" si="2793"/>
        <v>0</v>
      </c>
      <c r="CM908" s="1316">
        <f t="shared" si="2793"/>
        <v>0</v>
      </c>
      <c r="CN908" s="538" t="str">
        <f t="shared" si="2768"/>
        <v/>
      </c>
      <c r="CO908" s="539" t="str">
        <f t="shared" si="2769"/>
        <v/>
      </c>
      <c r="CP908" s="539" t="str">
        <f t="shared" si="2770"/>
        <v/>
      </c>
      <c r="CQ908" s="539">
        <f t="shared" si="2771"/>
        <v>0</v>
      </c>
      <c r="CR908" s="539">
        <f t="shared" si="2772"/>
        <v>0</v>
      </c>
      <c r="CS908" s="539">
        <f t="shared" si="2773"/>
        <v>0</v>
      </c>
      <c r="CT908" s="540">
        <f t="shared" si="2774"/>
        <v>0</v>
      </c>
      <c r="CU908" s="540">
        <f t="shared" si="2775"/>
        <v>0</v>
      </c>
      <c r="CV908" s="540">
        <f t="shared" si="2776"/>
        <v>0</v>
      </c>
      <c r="CW908" s="539">
        <f t="shared" si="2777"/>
        <v>0</v>
      </c>
      <c r="CX908" s="539">
        <f t="shared" si="2778"/>
        <v>0</v>
      </c>
      <c r="CY908" s="539">
        <f t="shared" si="2779"/>
        <v>0</v>
      </c>
      <c r="CZ908" s="539">
        <f t="shared" si="2780"/>
        <v>0</v>
      </c>
      <c r="DA908" s="539" t="str">
        <f t="shared" si="2781"/>
        <v/>
      </c>
      <c r="DB908" s="538" t="str">
        <f t="shared" si="2782"/>
        <v/>
      </c>
      <c r="DC908" s="537" t="str">
        <f t="shared" si="2783"/>
        <v/>
      </c>
      <c r="DD908" s="641">
        <f t="shared" si="2784"/>
        <v>10</v>
      </c>
      <c r="DE908" s="95">
        <f t="shared" si="2785"/>
        <v>10</v>
      </c>
      <c r="DF908" s="95">
        <f t="shared" si="2786"/>
        <v>10</v>
      </c>
      <c r="DG908" s="95">
        <f t="shared" si="2787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395</v>
      </c>
      <c r="B909" s="784">
        <f t="shared" ref="B909:K909" si="2806">SUM(B115)</f>
        <v>0</v>
      </c>
      <c r="C909" s="784">
        <f t="shared" si="2806"/>
        <v>0</v>
      </c>
      <c r="D909" s="784">
        <f t="shared" si="2806"/>
        <v>0</v>
      </c>
      <c r="E909" s="784">
        <f t="shared" si="2806"/>
        <v>0</v>
      </c>
      <c r="F909" s="784">
        <f t="shared" si="2806"/>
        <v>0</v>
      </c>
      <c r="G909" s="784">
        <f t="shared" si="2806"/>
        <v>0</v>
      </c>
      <c r="H909" s="784">
        <f t="shared" si="2806"/>
        <v>0</v>
      </c>
      <c r="I909" s="784">
        <f t="shared" si="2806"/>
        <v>0</v>
      </c>
      <c r="J909" s="784">
        <f t="shared" si="2806"/>
        <v>0</v>
      </c>
      <c r="K909" s="784">
        <f t="shared" si="2806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807">SUM(T115)</f>
        <v>0</v>
      </c>
      <c r="U909" s="784">
        <f t="shared" si="2807"/>
        <v>0</v>
      </c>
      <c r="V909" s="784">
        <f t="shared" si="2807"/>
        <v>0</v>
      </c>
      <c r="W909" s="784">
        <f t="shared" si="2807"/>
        <v>0</v>
      </c>
      <c r="X909" s="784">
        <f t="shared" si="2807"/>
        <v>0</v>
      </c>
      <c r="Y909" s="784">
        <f t="shared" si="2807"/>
        <v>0</v>
      </c>
      <c r="Z909" s="784">
        <f t="shared" si="2807"/>
        <v>0</v>
      </c>
      <c r="AA909" s="784">
        <f t="shared" si="2807"/>
        <v>0</v>
      </c>
      <c r="AB909" s="784">
        <f t="shared" si="2807"/>
        <v>0</v>
      </c>
      <c r="AC909" s="784">
        <f t="shared" si="2807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808">SUM(AL115)</f>
        <v>0</v>
      </c>
      <c r="AM909" s="784">
        <f t="shared" si="2808"/>
        <v>0</v>
      </c>
      <c r="AN909" s="784">
        <f t="shared" si="2808"/>
        <v>0</v>
      </c>
      <c r="AO909" s="784">
        <f t="shared" si="2808"/>
        <v>0</v>
      </c>
      <c r="AP909" s="784">
        <f t="shared" si="2808"/>
        <v>0</v>
      </c>
      <c r="AQ909" s="784">
        <f t="shared" si="2808"/>
        <v>0</v>
      </c>
      <c r="AR909" s="784">
        <f t="shared" si="2808"/>
        <v>0</v>
      </c>
      <c r="AS909" s="784">
        <f t="shared" si="2808"/>
        <v>0</v>
      </c>
      <c r="AT909" s="784">
        <f t="shared" si="2808"/>
        <v>0</v>
      </c>
      <c r="AU909" s="784">
        <f t="shared" si="2808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809">SUM(BD115)</f>
        <v>0</v>
      </c>
      <c r="BE909" s="784">
        <f t="shared" si="2809"/>
        <v>0</v>
      </c>
      <c r="BF909" s="784">
        <f t="shared" si="2809"/>
        <v>0</v>
      </c>
      <c r="BG909" s="784">
        <f t="shared" si="2809"/>
        <v>0</v>
      </c>
      <c r="BH909" s="784">
        <f t="shared" si="2809"/>
        <v>0</v>
      </c>
      <c r="BI909" s="784">
        <f t="shared" si="2809"/>
        <v>0</v>
      </c>
      <c r="BJ909" s="784">
        <f t="shared" si="2809"/>
        <v>0</v>
      </c>
      <c r="BK909" s="784">
        <f t="shared" si="2809"/>
        <v>0</v>
      </c>
      <c r="BL909" s="784">
        <f t="shared" si="2809"/>
        <v>0</v>
      </c>
      <c r="BM909" s="784">
        <f t="shared" si="2809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63"/>
        <v>0</v>
      </c>
      <c r="CA909" s="586">
        <f t="shared" si="2764"/>
        <v>0</v>
      </c>
      <c r="CB909" s="586">
        <f t="shared" si="2765"/>
        <v>0</v>
      </c>
      <c r="CC909" s="586">
        <f t="shared" si="2766"/>
        <v>0</v>
      </c>
      <c r="CD909" s="1316">
        <f t="shared" si="2792"/>
        <v>0</v>
      </c>
      <c r="CE909" s="1317">
        <f t="shared" si="2793"/>
        <v>0</v>
      </c>
      <c r="CF909" s="1317">
        <f t="shared" si="2793"/>
        <v>0</v>
      </c>
      <c r="CG909" s="1317">
        <f t="shared" si="2793"/>
        <v>0</v>
      </c>
      <c r="CH909" s="1318">
        <f t="shared" si="2793"/>
        <v>0</v>
      </c>
      <c r="CI909" s="1318">
        <f t="shared" si="2793"/>
        <v>0</v>
      </c>
      <c r="CJ909" s="1317">
        <f t="shared" si="2793"/>
        <v>0</v>
      </c>
      <c r="CK909" s="1317">
        <f t="shared" si="2793"/>
        <v>0</v>
      </c>
      <c r="CL909" s="1317">
        <f t="shared" si="2793"/>
        <v>0</v>
      </c>
      <c r="CM909" s="1316">
        <f t="shared" si="2793"/>
        <v>0</v>
      </c>
      <c r="CN909" s="538" t="str">
        <f t="shared" si="2768"/>
        <v/>
      </c>
      <c r="CO909" s="539" t="str">
        <f t="shared" si="2769"/>
        <v/>
      </c>
      <c r="CP909" s="539" t="str">
        <f t="shared" si="2770"/>
        <v/>
      </c>
      <c r="CQ909" s="539">
        <f t="shared" si="2771"/>
        <v>0</v>
      </c>
      <c r="CR909" s="539">
        <f t="shared" si="2772"/>
        <v>0</v>
      </c>
      <c r="CS909" s="539">
        <f t="shared" si="2773"/>
        <v>0</v>
      </c>
      <c r="CT909" s="540">
        <f t="shared" si="2774"/>
        <v>0</v>
      </c>
      <c r="CU909" s="540">
        <f t="shared" si="2775"/>
        <v>0</v>
      </c>
      <c r="CV909" s="540">
        <f t="shared" si="2776"/>
        <v>0</v>
      </c>
      <c r="CW909" s="539">
        <f t="shared" si="2777"/>
        <v>0</v>
      </c>
      <c r="CX909" s="539">
        <f t="shared" si="2778"/>
        <v>0</v>
      </c>
      <c r="CY909" s="539">
        <f t="shared" si="2779"/>
        <v>0</v>
      </c>
      <c r="CZ909" s="539">
        <f t="shared" si="2780"/>
        <v>0</v>
      </c>
      <c r="DA909" s="539" t="str">
        <f t="shared" si="2781"/>
        <v/>
      </c>
      <c r="DB909" s="538" t="str">
        <f t="shared" si="2782"/>
        <v/>
      </c>
      <c r="DC909" s="537" t="str">
        <f t="shared" si="2783"/>
        <v/>
      </c>
      <c r="DD909" s="641">
        <f t="shared" si="2784"/>
        <v>10</v>
      </c>
      <c r="DE909" s="95">
        <f t="shared" si="2785"/>
        <v>10</v>
      </c>
      <c r="DF909" s="95">
        <f t="shared" si="2786"/>
        <v>10</v>
      </c>
      <c r="DG909" s="95">
        <f t="shared" si="2787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396</v>
      </c>
      <c r="B910" s="784">
        <f t="shared" ref="B910:K910" si="2810">SUM(B126)</f>
        <v>0</v>
      </c>
      <c r="C910" s="784">
        <f t="shared" si="2810"/>
        <v>0</v>
      </c>
      <c r="D910" s="784">
        <f t="shared" si="2810"/>
        <v>0</v>
      </c>
      <c r="E910" s="784">
        <f t="shared" si="2810"/>
        <v>0</v>
      </c>
      <c r="F910" s="784">
        <f t="shared" si="2810"/>
        <v>0</v>
      </c>
      <c r="G910" s="784">
        <f t="shared" si="2810"/>
        <v>0</v>
      </c>
      <c r="H910" s="784">
        <f t="shared" si="2810"/>
        <v>0</v>
      </c>
      <c r="I910" s="784">
        <f t="shared" si="2810"/>
        <v>0</v>
      </c>
      <c r="J910" s="784">
        <f t="shared" si="2810"/>
        <v>0</v>
      </c>
      <c r="K910" s="784">
        <f t="shared" si="2810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811">SUM(T126)</f>
        <v>0</v>
      </c>
      <c r="U910" s="784">
        <f t="shared" si="2811"/>
        <v>0</v>
      </c>
      <c r="V910" s="784">
        <f t="shared" si="2811"/>
        <v>0</v>
      </c>
      <c r="W910" s="784">
        <f t="shared" si="2811"/>
        <v>0</v>
      </c>
      <c r="X910" s="784">
        <f t="shared" si="2811"/>
        <v>0</v>
      </c>
      <c r="Y910" s="784">
        <f t="shared" si="2811"/>
        <v>0</v>
      </c>
      <c r="Z910" s="784">
        <f t="shared" si="2811"/>
        <v>0</v>
      </c>
      <c r="AA910" s="784">
        <f t="shared" si="2811"/>
        <v>0</v>
      </c>
      <c r="AB910" s="784">
        <f t="shared" si="2811"/>
        <v>0</v>
      </c>
      <c r="AC910" s="784">
        <f t="shared" si="2811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812">SUM(AL126)</f>
        <v>0</v>
      </c>
      <c r="AM910" s="784">
        <f t="shared" si="2812"/>
        <v>0</v>
      </c>
      <c r="AN910" s="784">
        <f t="shared" si="2812"/>
        <v>0</v>
      </c>
      <c r="AO910" s="784">
        <f t="shared" si="2812"/>
        <v>0</v>
      </c>
      <c r="AP910" s="784">
        <f t="shared" si="2812"/>
        <v>0</v>
      </c>
      <c r="AQ910" s="784">
        <f t="shared" si="2812"/>
        <v>0</v>
      </c>
      <c r="AR910" s="784">
        <f t="shared" si="2812"/>
        <v>0</v>
      </c>
      <c r="AS910" s="784">
        <f t="shared" si="2812"/>
        <v>0</v>
      </c>
      <c r="AT910" s="784">
        <f t="shared" si="2812"/>
        <v>0</v>
      </c>
      <c r="AU910" s="784">
        <f t="shared" si="2812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813">SUM(BD126)</f>
        <v>0</v>
      </c>
      <c r="BE910" s="784">
        <f t="shared" si="2813"/>
        <v>0</v>
      </c>
      <c r="BF910" s="784">
        <f t="shared" si="2813"/>
        <v>0</v>
      </c>
      <c r="BG910" s="784">
        <f t="shared" si="2813"/>
        <v>0</v>
      </c>
      <c r="BH910" s="784">
        <f t="shared" si="2813"/>
        <v>0</v>
      </c>
      <c r="BI910" s="784">
        <f t="shared" si="2813"/>
        <v>0</v>
      </c>
      <c r="BJ910" s="784">
        <f t="shared" si="2813"/>
        <v>0</v>
      </c>
      <c r="BK910" s="784">
        <f t="shared" si="2813"/>
        <v>0</v>
      </c>
      <c r="BL910" s="784">
        <f t="shared" si="2813"/>
        <v>0</v>
      </c>
      <c r="BM910" s="784">
        <f t="shared" si="2813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63"/>
        <v>0</v>
      </c>
      <c r="CA910" s="586">
        <f t="shared" si="2764"/>
        <v>0</v>
      </c>
      <c r="CB910" s="586">
        <f t="shared" si="2765"/>
        <v>0</v>
      </c>
      <c r="CC910" s="586">
        <f t="shared" si="2766"/>
        <v>0</v>
      </c>
      <c r="CD910" s="1316">
        <f t="shared" si="2792"/>
        <v>0</v>
      </c>
      <c r="CE910" s="1317">
        <f t="shared" si="2793"/>
        <v>0</v>
      </c>
      <c r="CF910" s="1317">
        <f t="shared" si="2793"/>
        <v>0</v>
      </c>
      <c r="CG910" s="1317">
        <f t="shared" si="2793"/>
        <v>0</v>
      </c>
      <c r="CH910" s="1318">
        <f t="shared" si="2793"/>
        <v>0</v>
      </c>
      <c r="CI910" s="1318">
        <f t="shared" si="2793"/>
        <v>0</v>
      </c>
      <c r="CJ910" s="1317">
        <f t="shared" si="2793"/>
        <v>0</v>
      </c>
      <c r="CK910" s="1317">
        <f t="shared" si="2793"/>
        <v>0</v>
      </c>
      <c r="CL910" s="1317">
        <f t="shared" si="2793"/>
        <v>0</v>
      </c>
      <c r="CM910" s="1316">
        <f t="shared" si="2793"/>
        <v>0</v>
      </c>
      <c r="CN910" s="538" t="str">
        <f t="shared" si="2768"/>
        <v/>
      </c>
      <c r="CO910" s="539" t="str">
        <f t="shared" si="2769"/>
        <v/>
      </c>
      <c r="CP910" s="539" t="str">
        <f t="shared" si="2770"/>
        <v/>
      </c>
      <c r="CQ910" s="539">
        <f t="shared" si="2771"/>
        <v>0</v>
      </c>
      <c r="CR910" s="539">
        <f t="shared" si="2772"/>
        <v>0</v>
      </c>
      <c r="CS910" s="539">
        <f t="shared" si="2773"/>
        <v>0</v>
      </c>
      <c r="CT910" s="540">
        <f t="shared" si="2774"/>
        <v>0</v>
      </c>
      <c r="CU910" s="540">
        <f t="shared" si="2775"/>
        <v>0</v>
      </c>
      <c r="CV910" s="540">
        <f t="shared" si="2776"/>
        <v>0</v>
      </c>
      <c r="CW910" s="539">
        <f t="shared" si="2777"/>
        <v>0</v>
      </c>
      <c r="CX910" s="539">
        <f t="shared" si="2778"/>
        <v>0</v>
      </c>
      <c r="CY910" s="539">
        <f t="shared" si="2779"/>
        <v>0</v>
      </c>
      <c r="CZ910" s="539">
        <f t="shared" si="2780"/>
        <v>0</v>
      </c>
      <c r="DA910" s="539" t="str">
        <f t="shared" si="2781"/>
        <v/>
      </c>
      <c r="DB910" s="538" t="str">
        <f t="shared" si="2782"/>
        <v/>
      </c>
      <c r="DC910" s="537" t="str">
        <f t="shared" si="2783"/>
        <v/>
      </c>
      <c r="DD910" s="641">
        <f t="shared" si="2784"/>
        <v>10</v>
      </c>
      <c r="DE910" s="95">
        <f t="shared" si="2785"/>
        <v>10</v>
      </c>
      <c r="DF910" s="95">
        <f t="shared" si="2786"/>
        <v>10</v>
      </c>
      <c r="DG910" s="95">
        <f t="shared" si="2787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397</v>
      </c>
      <c r="B911" s="784">
        <f t="shared" ref="B911:K911" si="2814">SUM(B135)</f>
        <v>0</v>
      </c>
      <c r="C911" s="784">
        <f t="shared" si="2814"/>
        <v>0</v>
      </c>
      <c r="D911" s="784">
        <f t="shared" si="2814"/>
        <v>0</v>
      </c>
      <c r="E911" s="784">
        <f t="shared" si="2814"/>
        <v>0</v>
      </c>
      <c r="F911" s="784">
        <f t="shared" si="2814"/>
        <v>0</v>
      </c>
      <c r="G911" s="784">
        <f t="shared" si="2814"/>
        <v>0</v>
      </c>
      <c r="H911" s="784">
        <f t="shared" si="2814"/>
        <v>0</v>
      </c>
      <c r="I911" s="784">
        <f t="shared" si="2814"/>
        <v>0</v>
      </c>
      <c r="J911" s="784">
        <f t="shared" si="2814"/>
        <v>0</v>
      </c>
      <c r="K911" s="784">
        <f t="shared" si="2814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815">SUM(T135)</f>
        <v>0</v>
      </c>
      <c r="U911" s="784">
        <f t="shared" si="2815"/>
        <v>0</v>
      </c>
      <c r="V911" s="784">
        <f t="shared" si="2815"/>
        <v>0</v>
      </c>
      <c r="W911" s="784">
        <f t="shared" si="2815"/>
        <v>0</v>
      </c>
      <c r="X911" s="784">
        <f t="shared" si="2815"/>
        <v>0</v>
      </c>
      <c r="Y911" s="784">
        <f t="shared" si="2815"/>
        <v>0</v>
      </c>
      <c r="Z911" s="784">
        <f t="shared" si="2815"/>
        <v>0</v>
      </c>
      <c r="AA911" s="784">
        <f t="shared" si="2815"/>
        <v>0</v>
      </c>
      <c r="AB911" s="784">
        <f t="shared" si="2815"/>
        <v>0</v>
      </c>
      <c r="AC911" s="784">
        <f t="shared" si="2815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816">SUM(AL135)</f>
        <v>0</v>
      </c>
      <c r="AM911" s="784">
        <f t="shared" si="2816"/>
        <v>0</v>
      </c>
      <c r="AN911" s="784">
        <f t="shared" si="2816"/>
        <v>0</v>
      </c>
      <c r="AO911" s="784">
        <f t="shared" si="2816"/>
        <v>0</v>
      </c>
      <c r="AP911" s="784">
        <f t="shared" si="2816"/>
        <v>0</v>
      </c>
      <c r="AQ911" s="784">
        <f t="shared" si="2816"/>
        <v>0</v>
      </c>
      <c r="AR911" s="784">
        <f t="shared" si="2816"/>
        <v>0</v>
      </c>
      <c r="AS911" s="784">
        <f t="shared" si="2816"/>
        <v>0</v>
      </c>
      <c r="AT911" s="784">
        <f t="shared" si="2816"/>
        <v>0</v>
      </c>
      <c r="AU911" s="784">
        <f t="shared" si="2816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817">SUM(BD135)</f>
        <v>0</v>
      </c>
      <c r="BE911" s="784">
        <f t="shared" si="2817"/>
        <v>0</v>
      </c>
      <c r="BF911" s="784">
        <f t="shared" si="2817"/>
        <v>0</v>
      </c>
      <c r="BG911" s="784">
        <f t="shared" si="2817"/>
        <v>0</v>
      </c>
      <c r="BH911" s="784">
        <f t="shared" si="2817"/>
        <v>0</v>
      </c>
      <c r="BI911" s="784">
        <f t="shared" si="2817"/>
        <v>0</v>
      </c>
      <c r="BJ911" s="784">
        <f t="shared" si="2817"/>
        <v>0</v>
      </c>
      <c r="BK911" s="784">
        <f t="shared" si="2817"/>
        <v>0</v>
      </c>
      <c r="BL911" s="784">
        <f t="shared" si="2817"/>
        <v>0</v>
      </c>
      <c r="BM911" s="784">
        <f t="shared" si="2817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63"/>
        <v>0</v>
      </c>
      <c r="CA911" s="586">
        <f t="shared" si="2764"/>
        <v>0</v>
      </c>
      <c r="CB911" s="586">
        <f t="shared" si="2765"/>
        <v>0</v>
      </c>
      <c r="CC911" s="586">
        <f t="shared" si="2766"/>
        <v>0</v>
      </c>
      <c r="CD911" s="1316">
        <f t="shared" si="2792"/>
        <v>0</v>
      </c>
      <c r="CE911" s="1317">
        <f t="shared" si="2793"/>
        <v>0</v>
      </c>
      <c r="CF911" s="1317">
        <f t="shared" si="2793"/>
        <v>0</v>
      </c>
      <c r="CG911" s="1317">
        <f t="shared" si="2793"/>
        <v>0</v>
      </c>
      <c r="CH911" s="1318">
        <f t="shared" si="2793"/>
        <v>0</v>
      </c>
      <c r="CI911" s="1318">
        <f t="shared" si="2793"/>
        <v>0</v>
      </c>
      <c r="CJ911" s="1317">
        <f t="shared" si="2793"/>
        <v>0</v>
      </c>
      <c r="CK911" s="1317">
        <f t="shared" si="2793"/>
        <v>0</v>
      </c>
      <c r="CL911" s="1317">
        <f t="shared" si="2793"/>
        <v>0</v>
      </c>
      <c r="CM911" s="1316">
        <f t="shared" si="2793"/>
        <v>0</v>
      </c>
      <c r="CN911" s="538" t="str">
        <f t="shared" si="2768"/>
        <v/>
      </c>
      <c r="CO911" s="539" t="str">
        <f t="shared" si="2769"/>
        <v/>
      </c>
      <c r="CP911" s="539" t="str">
        <f t="shared" si="2770"/>
        <v/>
      </c>
      <c r="CQ911" s="539">
        <f t="shared" si="2771"/>
        <v>0</v>
      </c>
      <c r="CR911" s="539">
        <f t="shared" si="2772"/>
        <v>0</v>
      </c>
      <c r="CS911" s="539">
        <f t="shared" si="2773"/>
        <v>0</v>
      </c>
      <c r="CT911" s="540">
        <f t="shared" si="2774"/>
        <v>0</v>
      </c>
      <c r="CU911" s="540">
        <f t="shared" si="2775"/>
        <v>0</v>
      </c>
      <c r="CV911" s="540">
        <f t="shared" si="2776"/>
        <v>0</v>
      </c>
      <c r="CW911" s="539">
        <f t="shared" si="2777"/>
        <v>0</v>
      </c>
      <c r="CX911" s="539">
        <f t="shared" si="2778"/>
        <v>0</v>
      </c>
      <c r="CY911" s="539">
        <f t="shared" si="2779"/>
        <v>0</v>
      </c>
      <c r="CZ911" s="539">
        <f t="shared" si="2780"/>
        <v>0</v>
      </c>
      <c r="DA911" s="539" t="str">
        <f t="shared" si="2781"/>
        <v/>
      </c>
      <c r="DB911" s="538" t="str">
        <f t="shared" si="2782"/>
        <v/>
      </c>
      <c r="DC911" s="537" t="str">
        <f t="shared" si="2783"/>
        <v/>
      </c>
      <c r="DD911" s="641">
        <f t="shared" si="2784"/>
        <v>10</v>
      </c>
      <c r="DE911" s="95">
        <f t="shared" si="2785"/>
        <v>10</v>
      </c>
      <c r="DF911" s="95">
        <f t="shared" si="2786"/>
        <v>10</v>
      </c>
      <c r="DG911" s="95">
        <f t="shared" si="2787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398</v>
      </c>
      <c r="B912" s="784">
        <f t="shared" ref="B912:K912" si="2818">SUM(B143)</f>
        <v>0</v>
      </c>
      <c r="C912" s="784">
        <f t="shared" si="2818"/>
        <v>0</v>
      </c>
      <c r="D912" s="784">
        <f t="shared" si="2818"/>
        <v>0</v>
      </c>
      <c r="E912" s="784">
        <f t="shared" si="2818"/>
        <v>0</v>
      </c>
      <c r="F912" s="784">
        <f t="shared" si="2818"/>
        <v>0</v>
      </c>
      <c r="G912" s="784">
        <f t="shared" si="2818"/>
        <v>0</v>
      </c>
      <c r="H912" s="784">
        <f t="shared" si="2818"/>
        <v>0</v>
      </c>
      <c r="I912" s="784">
        <f t="shared" si="2818"/>
        <v>0</v>
      </c>
      <c r="J912" s="784">
        <f t="shared" si="2818"/>
        <v>0</v>
      </c>
      <c r="K912" s="784">
        <f t="shared" si="2818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819">SUM(T143)</f>
        <v>0</v>
      </c>
      <c r="U912" s="784">
        <f t="shared" si="2819"/>
        <v>0</v>
      </c>
      <c r="V912" s="784">
        <f t="shared" si="2819"/>
        <v>0</v>
      </c>
      <c r="W912" s="784">
        <f t="shared" si="2819"/>
        <v>0</v>
      </c>
      <c r="X912" s="784">
        <f t="shared" si="2819"/>
        <v>0</v>
      </c>
      <c r="Y912" s="784">
        <f t="shared" si="2819"/>
        <v>0</v>
      </c>
      <c r="Z912" s="784">
        <f t="shared" si="2819"/>
        <v>0</v>
      </c>
      <c r="AA912" s="784">
        <f t="shared" si="2819"/>
        <v>0</v>
      </c>
      <c r="AB912" s="784">
        <f t="shared" si="2819"/>
        <v>0</v>
      </c>
      <c r="AC912" s="784">
        <f t="shared" si="2819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820">SUM(AL143)</f>
        <v>0</v>
      </c>
      <c r="AM912" s="784">
        <f t="shared" si="2820"/>
        <v>0</v>
      </c>
      <c r="AN912" s="784">
        <f t="shared" si="2820"/>
        <v>0</v>
      </c>
      <c r="AO912" s="784">
        <f t="shared" si="2820"/>
        <v>0</v>
      </c>
      <c r="AP912" s="784">
        <f t="shared" si="2820"/>
        <v>0</v>
      </c>
      <c r="AQ912" s="784">
        <f t="shared" si="2820"/>
        <v>0</v>
      </c>
      <c r="AR912" s="784">
        <f t="shared" si="2820"/>
        <v>0</v>
      </c>
      <c r="AS912" s="784">
        <f t="shared" si="2820"/>
        <v>0</v>
      </c>
      <c r="AT912" s="784">
        <f t="shared" si="2820"/>
        <v>0</v>
      </c>
      <c r="AU912" s="784">
        <f t="shared" si="2820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821">SUM(BD143)</f>
        <v>0</v>
      </c>
      <c r="BE912" s="784">
        <f t="shared" si="2821"/>
        <v>0</v>
      </c>
      <c r="BF912" s="784">
        <f t="shared" si="2821"/>
        <v>0</v>
      </c>
      <c r="BG912" s="784">
        <f t="shared" si="2821"/>
        <v>0</v>
      </c>
      <c r="BH912" s="784">
        <f t="shared" si="2821"/>
        <v>0</v>
      </c>
      <c r="BI912" s="784">
        <f t="shared" si="2821"/>
        <v>0</v>
      </c>
      <c r="BJ912" s="784">
        <f t="shared" si="2821"/>
        <v>0</v>
      </c>
      <c r="BK912" s="784">
        <f t="shared" si="2821"/>
        <v>0</v>
      </c>
      <c r="BL912" s="784">
        <f t="shared" si="2821"/>
        <v>0</v>
      </c>
      <c r="BM912" s="784">
        <f t="shared" si="2821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63"/>
        <v>0</v>
      </c>
      <c r="CA912" s="586">
        <f t="shared" si="2764"/>
        <v>0</v>
      </c>
      <c r="CB912" s="586">
        <f t="shared" si="2765"/>
        <v>0</v>
      </c>
      <c r="CC912" s="586">
        <f t="shared" si="2766"/>
        <v>0</v>
      </c>
      <c r="CD912" s="1316">
        <f t="shared" si="2792"/>
        <v>0</v>
      </c>
      <c r="CE912" s="1317">
        <f t="shared" si="2793"/>
        <v>0</v>
      </c>
      <c r="CF912" s="1317">
        <f t="shared" si="2793"/>
        <v>0</v>
      </c>
      <c r="CG912" s="1317">
        <f t="shared" si="2793"/>
        <v>0</v>
      </c>
      <c r="CH912" s="1318">
        <f t="shared" si="2793"/>
        <v>0</v>
      </c>
      <c r="CI912" s="1318">
        <f t="shared" si="2793"/>
        <v>0</v>
      </c>
      <c r="CJ912" s="1317">
        <f t="shared" si="2793"/>
        <v>0</v>
      </c>
      <c r="CK912" s="1317">
        <f t="shared" si="2793"/>
        <v>0</v>
      </c>
      <c r="CL912" s="1317">
        <f t="shared" si="2793"/>
        <v>0</v>
      </c>
      <c r="CM912" s="1316">
        <f t="shared" si="2793"/>
        <v>0</v>
      </c>
      <c r="CN912" s="538" t="str">
        <f t="shared" si="2768"/>
        <v/>
      </c>
      <c r="CO912" s="539" t="str">
        <f t="shared" si="2769"/>
        <v/>
      </c>
      <c r="CP912" s="539" t="str">
        <f t="shared" si="2770"/>
        <v/>
      </c>
      <c r="CQ912" s="539">
        <f t="shared" si="2771"/>
        <v>0</v>
      </c>
      <c r="CR912" s="539">
        <f t="shared" si="2772"/>
        <v>0</v>
      </c>
      <c r="CS912" s="539">
        <f t="shared" si="2773"/>
        <v>0</v>
      </c>
      <c r="CT912" s="540">
        <f t="shared" si="2774"/>
        <v>0</v>
      </c>
      <c r="CU912" s="540">
        <f t="shared" si="2775"/>
        <v>0</v>
      </c>
      <c r="CV912" s="540">
        <f t="shared" si="2776"/>
        <v>0</v>
      </c>
      <c r="CW912" s="539">
        <f t="shared" si="2777"/>
        <v>0</v>
      </c>
      <c r="CX912" s="539">
        <f t="shared" si="2778"/>
        <v>0</v>
      </c>
      <c r="CY912" s="539">
        <f t="shared" si="2779"/>
        <v>0</v>
      </c>
      <c r="CZ912" s="539">
        <f t="shared" si="2780"/>
        <v>0</v>
      </c>
      <c r="DA912" s="539" t="str">
        <f t="shared" si="2781"/>
        <v/>
      </c>
      <c r="DB912" s="538" t="str">
        <f t="shared" si="2782"/>
        <v/>
      </c>
      <c r="DC912" s="537" t="str">
        <f t="shared" si="2783"/>
        <v/>
      </c>
      <c r="DD912" s="641">
        <f t="shared" si="2784"/>
        <v>10</v>
      </c>
      <c r="DE912" s="95">
        <f t="shared" si="2785"/>
        <v>10</v>
      </c>
      <c r="DF912" s="95">
        <f t="shared" si="2786"/>
        <v>10</v>
      </c>
      <c r="DG912" s="95">
        <f t="shared" si="2787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399</v>
      </c>
      <c r="B913" s="784">
        <f t="shared" ref="B913:K913" si="2822">SUM(B154)</f>
        <v>0</v>
      </c>
      <c r="C913" s="784">
        <f t="shared" si="2822"/>
        <v>0</v>
      </c>
      <c r="D913" s="784">
        <f t="shared" si="2822"/>
        <v>0</v>
      </c>
      <c r="E913" s="784">
        <f t="shared" si="2822"/>
        <v>0</v>
      </c>
      <c r="F913" s="784">
        <f t="shared" si="2822"/>
        <v>0</v>
      </c>
      <c r="G913" s="784">
        <f t="shared" si="2822"/>
        <v>0</v>
      </c>
      <c r="H913" s="784">
        <f t="shared" si="2822"/>
        <v>0</v>
      </c>
      <c r="I913" s="784">
        <f t="shared" si="2822"/>
        <v>0</v>
      </c>
      <c r="J913" s="784">
        <f t="shared" si="2822"/>
        <v>0</v>
      </c>
      <c r="K913" s="784">
        <f t="shared" si="2822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823">SUM(T154)</f>
        <v>0</v>
      </c>
      <c r="U913" s="784">
        <f t="shared" si="2823"/>
        <v>0</v>
      </c>
      <c r="V913" s="784">
        <f t="shared" si="2823"/>
        <v>0</v>
      </c>
      <c r="W913" s="784">
        <f t="shared" si="2823"/>
        <v>0</v>
      </c>
      <c r="X913" s="784">
        <f t="shared" si="2823"/>
        <v>0</v>
      </c>
      <c r="Y913" s="784">
        <f t="shared" si="2823"/>
        <v>0</v>
      </c>
      <c r="Z913" s="784">
        <f t="shared" si="2823"/>
        <v>0</v>
      </c>
      <c r="AA913" s="784">
        <f t="shared" si="2823"/>
        <v>0</v>
      </c>
      <c r="AB913" s="784">
        <f t="shared" si="2823"/>
        <v>0</v>
      </c>
      <c r="AC913" s="784">
        <f t="shared" si="2823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824">SUM(AL154)</f>
        <v>0</v>
      </c>
      <c r="AM913" s="784">
        <f t="shared" si="2824"/>
        <v>0</v>
      </c>
      <c r="AN913" s="784">
        <f t="shared" si="2824"/>
        <v>0</v>
      </c>
      <c r="AO913" s="784">
        <f t="shared" si="2824"/>
        <v>0</v>
      </c>
      <c r="AP913" s="784">
        <f t="shared" si="2824"/>
        <v>0</v>
      </c>
      <c r="AQ913" s="784">
        <f t="shared" si="2824"/>
        <v>0</v>
      </c>
      <c r="AR913" s="784">
        <f t="shared" si="2824"/>
        <v>0</v>
      </c>
      <c r="AS913" s="784">
        <f t="shared" si="2824"/>
        <v>0</v>
      </c>
      <c r="AT913" s="784">
        <f t="shared" si="2824"/>
        <v>0</v>
      </c>
      <c r="AU913" s="784">
        <f t="shared" si="2824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825">SUM(BD154)</f>
        <v>0</v>
      </c>
      <c r="BE913" s="784">
        <f t="shared" si="2825"/>
        <v>0</v>
      </c>
      <c r="BF913" s="784">
        <f t="shared" si="2825"/>
        <v>0</v>
      </c>
      <c r="BG913" s="784">
        <f t="shared" si="2825"/>
        <v>0</v>
      </c>
      <c r="BH913" s="784">
        <f t="shared" si="2825"/>
        <v>0</v>
      </c>
      <c r="BI913" s="784">
        <f t="shared" si="2825"/>
        <v>0</v>
      </c>
      <c r="BJ913" s="784">
        <f t="shared" si="2825"/>
        <v>0</v>
      </c>
      <c r="BK913" s="784">
        <f t="shared" si="2825"/>
        <v>0</v>
      </c>
      <c r="BL913" s="784">
        <f t="shared" si="2825"/>
        <v>0</v>
      </c>
      <c r="BM913" s="784">
        <f t="shared" si="2825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63"/>
        <v>0</v>
      </c>
      <c r="CA913" s="586">
        <f t="shared" si="2764"/>
        <v>0</v>
      </c>
      <c r="CB913" s="586">
        <f t="shared" si="2765"/>
        <v>0</v>
      </c>
      <c r="CC913" s="586">
        <f t="shared" si="2766"/>
        <v>0</v>
      </c>
      <c r="CD913" s="1316">
        <f t="shared" si="2792"/>
        <v>0</v>
      </c>
      <c r="CE913" s="1317">
        <f t="shared" si="2793"/>
        <v>0</v>
      </c>
      <c r="CF913" s="1317">
        <f t="shared" si="2793"/>
        <v>0</v>
      </c>
      <c r="CG913" s="1317">
        <f t="shared" si="2793"/>
        <v>0</v>
      </c>
      <c r="CH913" s="1318">
        <f t="shared" si="2793"/>
        <v>0</v>
      </c>
      <c r="CI913" s="1318">
        <f t="shared" si="2793"/>
        <v>0</v>
      </c>
      <c r="CJ913" s="1317">
        <f t="shared" si="2793"/>
        <v>0</v>
      </c>
      <c r="CK913" s="1317">
        <f t="shared" si="2793"/>
        <v>0</v>
      </c>
      <c r="CL913" s="1317">
        <f t="shared" si="2793"/>
        <v>0</v>
      </c>
      <c r="CM913" s="1316">
        <f t="shared" si="2793"/>
        <v>0</v>
      </c>
      <c r="CN913" s="538" t="str">
        <f t="shared" si="2768"/>
        <v/>
      </c>
      <c r="CO913" s="539" t="str">
        <f t="shared" si="2769"/>
        <v/>
      </c>
      <c r="CP913" s="539" t="str">
        <f t="shared" si="2770"/>
        <v/>
      </c>
      <c r="CQ913" s="539">
        <f t="shared" si="2771"/>
        <v>0</v>
      </c>
      <c r="CR913" s="539">
        <f t="shared" si="2772"/>
        <v>0</v>
      </c>
      <c r="CS913" s="539">
        <f t="shared" si="2773"/>
        <v>0</v>
      </c>
      <c r="CT913" s="540">
        <f t="shared" si="2774"/>
        <v>0</v>
      </c>
      <c r="CU913" s="540">
        <f t="shared" si="2775"/>
        <v>0</v>
      </c>
      <c r="CV913" s="540">
        <f t="shared" si="2776"/>
        <v>0</v>
      </c>
      <c r="CW913" s="539">
        <f t="shared" si="2777"/>
        <v>0</v>
      </c>
      <c r="CX913" s="539">
        <f t="shared" si="2778"/>
        <v>0</v>
      </c>
      <c r="CY913" s="539">
        <f t="shared" si="2779"/>
        <v>0</v>
      </c>
      <c r="CZ913" s="539">
        <f t="shared" si="2780"/>
        <v>0</v>
      </c>
      <c r="DA913" s="539" t="str">
        <f t="shared" si="2781"/>
        <v/>
      </c>
      <c r="DB913" s="538" t="str">
        <f t="shared" si="2782"/>
        <v/>
      </c>
      <c r="DC913" s="537" t="str">
        <f t="shared" si="2783"/>
        <v/>
      </c>
      <c r="DD913" s="641">
        <f t="shared" si="2784"/>
        <v>10</v>
      </c>
      <c r="DE913" s="95">
        <f t="shared" si="2785"/>
        <v>10</v>
      </c>
      <c r="DF913" s="95">
        <f t="shared" si="2786"/>
        <v>10</v>
      </c>
      <c r="DG913" s="95">
        <f t="shared" si="2787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400</v>
      </c>
      <c r="B914" s="784">
        <f t="shared" ref="B914:K914" si="2826">SUM(B163)</f>
        <v>0</v>
      </c>
      <c r="C914" s="784">
        <f t="shared" si="2826"/>
        <v>0</v>
      </c>
      <c r="D914" s="784">
        <f t="shared" si="2826"/>
        <v>0</v>
      </c>
      <c r="E914" s="784">
        <f t="shared" si="2826"/>
        <v>0</v>
      </c>
      <c r="F914" s="784">
        <f t="shared" si="2826"/>
        <v>0</v>
      </c>
      <c r="G914" s="784">
        <f t="shared" si="2826"/>
        <v>0</v>
      </c>
      <c r="H914" s="784">
        <f t="shared" si="2826"/>
        <v>0</v>
      </c>
      <c r="I914" s="784">
        <f t="shared" si="2826"/>
        <v>0</v>
      </c>
      <c r="J914" s="784">
        <f t="shared" si="2826"/>
        <v>0</v>
      </c>
      <c r="K914" s="784">
        <f t="shared" si="2826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827">SUM(T163)</f>
        <v>0</v>
      </c>
      <c r="U914" s="784">
        <f t="shared" si="2827"/>
        <v>0</v>
      </c>
      <c r="V914" s="784">
        <f t="shared" si="2827"/>
        <v>0</v>
      </c>
      <c r="W914" s="784">
        <f t="shared" si="2827"/>
        <v>0</v>
      </c>
      <c r="X914" s="784">
        <f t="shared" si="2827"/>
        <v>0</v>
      </c>
      <c r="Y914" s="784">
        <f t="shared" si="2827"/>
        <v>0</v>
      </c>
      <c r="Z914" s="784">
        <f t="shared" si="2827"/>
        <v>0</v>
      </c>
      <c r="AA914" s="784">
        <f t="shared" si="2827"/>
        <v>0</v>
      </c>
      <c r="AB914" s="784">
        <f t="shared" si="2827"/>
        <v>0</v>
      </c>
      <c r="AC914" s="784">
        <f t="shared" si="2827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828">SUM(AL163)</f>
        <v>0</v>
      </c>
      <c r="AM914" s="784">
        <f t="shared" si="2828"/>
        <v>0</v>
      </c>
      <c r="AN914" s="784">
        <f t="shared" si="2828"/>
        <v>0</v>
      </c>
      <c r="AO914" s="784">
        <f t="shared" si="2828"/>
        <v>0</v>
      </c>
      <c r="AP914" s="784">
        <f t="shared" si="2828"/>
        <v>0</v>
      </c>
      <c r="AQ914" s="784">
        <f t="shared" si="2828"/>
        <v>0</v>
      </c>
      <c r="AR914" s="784">
        <f t="shared" si="2828"/>
        <v>0</v>
      </c>
      <c r="AS914" s="784">
        <f t="shared" si="2828"/>
        <v>0</v>
      </c>
      <c r="AT914" s="784">
        <f t="shared" si="2828"/>
        <v>0</v>
      </c>
      <c r="AU914" s="784">
        <f t="shared" si="2828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829">SUM(BD163)</f>
        <v>0</v>
      </c>
      <c r="BE914" s="784">
        <f t="shared" si="2829"/>
        <v>0</v>
      </c>
      <c r="BF914" s="784">
        <f t="shared" si="2829"/>
        <v>0</v>
      </c>
      <c r="BG914" s="784">
        <f t="shared" si="2829"/>
        <v>0</v>
      </c>
      <c r="BH914" s="784">
        <f t="shared" si="2829"/>
        <v>0</v>
      </c>
      <c r="BI914" s="784">
        <f t="shared" si="2829"/>
        <v>0</v>
      </c>
      <c r="BJ914" s="784">
        <f t="shared" si="2829"/>
        <v>0</v>
      </c>
      <c r="BK914" s="784">
        <f t="shared" si="2829"/>
        <v>0</v>
      </c>
      <c r="BL914" s="784">
        <f t="shared" si="2829"/>
        <v>0</v>
      </c>
      <c r="BM914" s="784">
        <f t="shared" si="2829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63"/>
        <v>0</v>
      </c>
      <c r="CA914" s="586">
        <f t="shared" si="2764"/>
        <v>0</v>
      </c>
      <c r="CB914" s="586">
        <f t="shared" si="2765"/>
        <v>0</v>
      </c>
      <c r="CC914" s="586">
        <f t="shared" si="2766"/>
        <v>0</v>
      </c>
      <c r="CD914" s="1316">
        <f t="shared" si="2792"/>
        <v>0</v>
      </c>
      <c r="CE914" s="1317">
        <f t="shared" si="2793"/>
        <v>0</v>
      </c>
      <c r="CF914" s="1317">
        <f t="shared" si="2793"/>
        <v>0</v>
      </c>
      <c r="CG914" s="1317">
        <f t="shared" si="2793"/>
        <v>0</v>
      </c>
      <c r="CH914" s="1318">
        <f t="shared" si="2793"/>
        <v>0</v>
      </c>
      <c r="CI914" s="1318">
        <f t="shared" si="2793"/>
        <v>0</v>
      </c>
      <c r="CJ914" s="1317">
        <f t="shared" si="2793"/>
        <v>0</v>
      </c>
      <c r="CK914" s="1317">
        <f t="shared" si="2793"/>
        <v>0</v>
      </c>
      <c r="CL914" s="1317">
        <f t="shared" si="2793"/>
        <v>0</v>
      </c>
      <c r="CM914" s="1316">
        <f t="shared" si="2793"/>
        <v>0</v>
      </c>
      <c r="CN914" s="538" t="str">
        <f t="shared" si="2768"/>
        <v/>
      </c>
      <c r="CO914" s="539" t="str">
        <f t="shared" si="2769"/>
        <v/>
      </c>
      <c r="CP914" s="539" t="str">
        <f t="shared" si="2770"/>
        <v/>
      </c>
      <c r="CQ914" s="539">
        <f t="shared" si="2771"/>
        <v>0</v>
      </c>
      <c r="CR914" s="539">
        <f t="shared" si="2772"/>
        <v>0</v>
      </c>
      <c r="CS914" s="539">
        <f t="shared" si="2773"/>
        <v>0</v>
      </c>
      <c r="CT914" s="540">
        <f t="shared" si="2774"/>
        <v>0</v>
      </c>
      <c r="CU914" s="540">
        <f t="shared" si="2775"/>
        <v>0</v>
      </c>
      <c r="CV914" s="540">
        <f t="shared" si="2776"/>
        <v>0</v>
      </c>
      <c r="CW914" s="539">
        <f t="shared" si="2777"/>
        <v>0</v>
      </c>
      <c r="CX914" s="539">
        <f t="shared" si="2778"/>
        <v>0</v>
      </c>
      <c r="CY914" s="539">
        <f t="shared" si="2779"/>
        <v>0</v>
      </c>
      <c r="CZ914" s="539">
        <f t="shared" si="2780"/>
        <v>0</v>
      </c>
      <c r="DA914" s="539" t="str">
        <f t="shared" si="2781"/>
        <v/>
      </c>
      <c r="DB914" s="538" t="str">
        <f t="shared" si="2782"/>
        <v/>
      </c>
      <c r="DC914" s="537" t="str">
        <f t="shared" si="2783"/>
        <v/>
      </c>
      <c r="DD914" s="641">
        <f t="shared" si="2784"/>
        <v>10</v>
      </c>
      <c r="DE914" s="95">
        <f t="shared" si="2785"/>
        <v>10</v>
      </c>
      <c r="DF914" s="95">
        <f t="shared" si="2786"/>
        <v>10</v>
      </c>
      <c r="DG914" s="95">
        <f t="shared" si="2787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401</v>
      </c>
      <c r="B915" s="784">
        <f t="shared" ref="B915:K915" si="2830">SUM(B171)</f>
        <v>0</v>
      </c>
      <c r="C915" s="784">
        <f t="shared" si="2830"/>
        <v>0</v>
      </c>
      <c r="D915" s="784">
        <f t="shared" si="2830"/>
        <v>0</v>
      </c>
      <c r="E915" s="784">
        <f t="shared" si="2830"/>
        <v>0</v>
      </c>
      <c r="F915" s="784">
        <f t="shared" si="2830"/>
        <v>0</v>
      </c>
      <c r="G915" s="784">
        <f t="shared" si="2830"/>
        <v>0</v>
      </c>
      <c r="H915" s="784">
        <f t="shared" si="2830"/>
        <v>0</v>
      </c>
      <c r="I915" s="784">
        <f t="shared" si="2830"/>
        <v>0</v>
      </c>
      <c r="J915" s="784">
        <f t="shared" si="2830"/>
        <v>0</v>
      </c>
      <c r="K915" s="784">
        <f t="shared" si="2830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31">SUM(T171)</f>
        <v>0</v>
      </c>
      <c r="U915" s="784">
        <f t="shared" si="2831"/>
        <v>0</v>
      </c>
      <c r="V915" s="784">
        <f t="shared" si="2831"/>
        <v>0</v>
      </c>
      <c r="W915" s="784">
        <f t="shared" si="2831"/>
        <v>0</v>
      </c>
      <c r="X915" s="784">
        <f t="shared" si="2831"/>
        <v>0</v>
      </c>
      <c r="Y915" s="784">
        <f t="shared" si="2831"/>
        <v>0</v>
      </c>
      <c r="Z915" s="784">
        <f t="shared" si="2831"/>
        <v>0</v>
      </c>
      <c r="AA915" s="784">
        <f t="shared" si="2831"/>
        <v>0</v>
      </c>
      <c r="AB915" s="784">
        <f t="shared" si="2831"/>
        <v>0</v>
      </c>
      <c r="AC915" s="784">
        <f t="shared" si="2831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32">SUM(AL171)</f>
        <v>0</v>
      </c>
      <c r="AM915" s="784">
        <f t="shared" si="2832"/>
        <v>0</v>
      </c>
      <c r="AN915" s="784">
        <f t="shared" si="2832"/>
        <v>0</v>
      </c>
      <c r="AO915" s="784">
        <f t="shared" si="2832"/>
        <v>0</v>
      </c>
      <c r="AP915" s="784">
        <f t="shared" si="2832"/>
        <v>0</v>
      </c>
      <c r="AQ915" s="784">
        <f t="shared" si="2832"/>
        <v>0</v>
      </c>
      <c r="AR915" s="784">
        <f t="shared" si="2832"/>
        <v>0</v>
      </c>
      <c r="AS915" s="784">
        <f t="shared" si="2832"/>
        <v>0</v>
      </c>
      <c r="AT915" s="784">
        <f t="shared" si="2832"/>
        <v>0</v>
      </c>
      <c r="AU915" s="784">
        <f t="shared" si="2832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33">SUM(BD171)</f>
        <v>0</v>
      </c>
      <c r="BE915" s="784">
        <f t="shared" si="2833"/>
        <v>0</v>
      </c>
      <c r="BF915" s="784">
        <f t="shared" si="2833"/>
        <v>0</v>
      </c>
      <c r="BG915" s="784">
        <f t="shared" si="2833"/>
        <v>0</v>
      </c>
      <c r="BH915" s="784">
        <f t="shared" si="2833"/>
        <v>0</v>
      </c>
      <c r="BI915" s="784">
        <f t="shared" si="2833"/>
        <v>0</v>
      </c>
      <c r="BJ915" s="784">
        <f t="shared" si="2833"/>
        <v>0</v>
      </c>
      <c r="BK915" s="784">
        <f t="shared" si="2833"/>
        <v>0</v>
      </c>
      <c r="BL915" s="784">
        <f t="shared" si="2833"/>
        <v>0</v>
      </c>
      <c r="BM915" s="784">
        <f t="shared" si="2833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63"/>
        <v>0</v>
      </c>
      <c r="CA915" s="586">
        <f t="shared" si="2764"/>
        <v>0</v>
      </c>
      <c r="CB915" s="586">
        <f t="shared" si="2765"/>
        <v>0</v>
      </c>
      <c r="CC915" s="586">
        <f t="shared" si="2766"/>
        <v>0</v>
      </c>
      <c r="CD915" s="1316">
        <f t="shared" si="2792"/>
        <v>0</v>
      </c>
      <c r="CE915" s="1317">
        <f t="shared" si="2793"/>
        <v>0</v>
      </c>
      <c r="CF915" s="1317">
        <f t="shared" si="2793"/>
        <v>0</v>
      </c>
      <c r="CG915" s="1317">
        <f t="shared" si="2793"/>
        <v>0</v>
      </c>
      <c r="CH915" s="1318">
        <f t="shared" si="2793"/>
        <v>0</v>
      </c>
      <c r="CI915" s="1318">
        <f t="shared" si="2793"/>
        <v>0</v>
      </c>
      <c r="CJ915" s="1317">
        <f t="shared" si="2793"/>
        <v>0</v>
      </c>
      <c r="CK915" s="1317">
        <f t="shared" si="2793"/>
        <v>0</v>
      </c>
      <c r="CL915" s="1317">
        <f t="shared" si="2793"/>
        <v>0</v>
      </c>
      <c r="CM915" s="1316">
        <f t="shared" si="2793"/>
        <v>0</v>
      </c>
      <c r="CN915" s="538" t="str">
        <f t="shared" si="2768"/>
        <v/>
      </c>
      <c r="CO915" s="539" t="str">
        <f t="shared" si="2769"/>
        <v/>
      </c>
      <c r="CP915" s="539" t="str">
        <f t="shared" si="2770"/>
        <v/>
      </c>
      <c r="CQ915" s="539">
        <f t="shared" si="2771"/>
        <v>0</v>
      </c>
      <c r="CR915" s="539">
        <f t="shared" si="2772"/>
        <v>0</v>
      </c>
      <c r="CS915" s="539">
        <f t="shared" si="2773"/>
        <v>0</v>
      </c>
      <c r="CT915" s="540">
        <f t="shared" si="2774"/>
        <v>0</v>
      </c>
      <c r="CU915" s="540">
        <f t="shared" si="2775"/>
        <v>0</v>
      </c>
      <c r="CV915" s="540">
        <f t="shared" si="2776"/>
        <v>0</v>
      </c>
      <c r="CW915" s="539">
        <f t="shared" si="2777"/>
        <v>0</v>
      </c>
      <c r="CX915" s="539">
        <f t="shared" si="2778"/>
        <v>0</v>
      </c>
      <c r="CY915" s="539">
        <f t="shared" si="2779"/>
        <v>0</v>
      </c>
      <c r="CZ915" s="539">
        <f t="shared" si="2780"/>
        <v>0</v>
      </c>
      <c r="DA915" s="539" t="str">
        <f t="shared" si="2781"/>
        <v/>
      </c>
      <c r="DB915" s="538" t="str">
        <f t="shared" si="2782"/>
        <v/>
      </c>
      <c r="DC915" s="537" t="str">
        <f t="shared" si="2783"/>
        <v/>
      </c>
      <c r="DD915" s="641">
        <f t="shared" si="2784"/>
        <v>10</v>
      </c>
      <c r="DE915" s="95">
        <f t="shared" si="2785"/>
        <v>10</v>
      </c>
      <c r="DF915" s="95">
        <f t="shared" si="2786"/>
        <v>10</v>
      </c>
      <c r="DG915" s="95">
        <f t="shared" si="2787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34">SUM(B220)</f>
        <v>0</v>
      </c>
      <c r="C916" s="784">
        <f t="shared" si="2834"/>
        <v>0</v>
      </c>
      <c r="D916" s="784">
        <f t="shared" si="2834"/>
        <v>0</v>
      </c>
      <c r="E916" s="784">
        <f t="shared" si="2834"/>
        <v>0</v>
      </c>
      <c r="F916" s="784">
        <f t="shared" si="2834"/>
        <v>0</v>
      </c>
      <c r="G916" s="784">
        <f t="shared" si="2834"/>
        <v>0</v>
      </c>
      <c r="H916" s="784">
        <f t="shared" si="2834"/>
        <v>0</v>
      </c>
      <c r="I916" s="784">
        <f t="shared" si="2834"/>
        <v>0</v>
      </c>
      <c r="J916" s="784">
        <f t="shared" si="2834"/>
        <v>0</v>
      </c>
      <c r="K916" s="784">
        <f t="shared" si="2834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35">SUM(T220)</f>
        <v>0</v>
      </c>
      <c r="U916" s="784">
        <f t="shared" si="2835"/>
        <v>0</v>
      </c>
      <c r="V916" s="784">
        <f t="shared" si="2835"/>
        <v>0</v>
      </c>
      <c r="W916" s="784">
        <f t="shared" si="2835"/>
        <v>0</v>
      </c>
      <c r="X916" s="784">
        <f t="shared" si="2835"/>
        <v>0</v>
      </c>
      <c r="Y916" s="784">
        <f t="shared" si="2835"/>
        <v>0</v>
      </c>
      <c r="Z916" s="784">
        <f t="shared" si="2835"/>
        <v>0</v>
      </c>
      <c r="AA916" s="784">
        <f t="shared" si="2835"/>
        <v>0</v>
      </c>
      <c r="AB916" s="784">
        <f t="shared" si="2835"/>
        <v>0</v>
      </c>
      <c r="AC916" s="784">
        <f t="shared" si="2835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36">SUM(AL220)</f>
        <v>0</v>
      </c>
      <c r="AM916" s="784">
        <f t="shared" si="2836"/>
        <v>0</v>
      </c>
      <c r="AN916" s="784">
        <f t="shared" si="2836"/>
        <v>0</v>
      </c>
      <c r="AO916" s="784">
        <f t="shared" si="2836"/>
        <v>0</v>
      </c>
      <c r="AP916" s="784">
        <f t="shared" si="2836"/>
        <v>0</v>
      </c>
      <c r="AQ916" s="784">
        <f t="shared" si="2836"/>
        <v>0</v>
      </c>
      <c r="AR916" s="784">
        <f t="shared" si="2836"/>
        <v>0</v>
      </c>
      <c r="AS916" s="784">
        <f t="shared" si="2836"/>
        <v>0</v>
      </c>
      <c r="AT916" s="784">
        <f t="shared" si="2836"/>
        <v>0</v>
      </c>
      <c r="AU916" s="784">
        <f t="shared" si="2836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37">SUM(BD220)</f>
        <v>0</v>
      </c>
      <c r="BE916" s="784">
        <f t="shared" si="2837"/>
        <v>0</v>
      </c>
      <c r="BF916" s="784">
        <f t="shared" si="2837"/>
        <v>0</v>
      </c>
      <c r="BG916" s="784">
        <f t="shared" si="2837"/>
        <v>0</v>
      </c>
      <c r="BH916" s="784">
        <f t="shared" si="2837"/>
        <v>0</v>
      </c>
      <c r="BI916" s="784">
        <f t="shared" si="2837"/>
        <v>0</v>
      </c>
      <c r="BJ916" s="784">
        <f t="shared" si="2837"/>
        <v>0</v>
      </c>
      <c r="BK916" s="784">
        <f t="shared" si="2837"/>
        <v>0</v>
      </c>
      <c r="BL916" s="784">
        <f t="shared" si="2837"/>
        <v>0</v>
      </c>
      <c r="BM916" s="784">
        <f t="shared" si="2837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63"/>
        <v>0</v>
      </c>
      <c r="CA916" s="586">
        <f t="shared" si="2764"/>
        <v>0</v>
      </c>
      <c r="CB916" s="586">
        <f t="shared" si="2765"/>
        <v>0</v>
      </c>
      <c r="CC916" s="586">
        <f t="shared" si="2766"/>
        <v>0</v>
      </c>
      <c r="CD916" s="1316">
        <f t="shared" si="2792"/>
        <v>0</v>
      </c>
      <c r="CE916" s="1317">
        <f t="shared" si="2793"/>
        <v>0</v>
      </c>
      <c r="CF916" s="1317">
        <f t="shared" si="2793"/>
        <v>0</v>
      </c>
      <c r="CG916" s="1317">
        <f t="shared" si="2793"/>
        <v>0</v>
      </c>
      <c r="CH916" s="1318">
        <f t="shared" si="2793"/>
        <v>0</v>
      </c>
      <c r="CI916" s="1318">
        <f t="shared" si="2793"/>
        <v>0</v>
      </c>
      <c r="CJ916" s="1317">
        <f t="shared" si="2793"/>
        <v>0</v>
      </c>
      <c r="CK916" s="1317">
        <f t="shared" si="2793"/>
        <v>0</v>
      </c>
      <c r="CL916" s="1317">
        <f t="shared" si="2793"/>
        <v>0</v>
      </c>
      <c r="CM916" s="1316">
        <f t="shared" si="2793"/>
        <v>0</v>
      </c>
      <c r="CN916" s="538" t="str">
        <f t="shared" si="2768"/>
        <v/>
      </c>
      <c r="CO916" s="539" t="str">
        <f t="shared" si="2769"/>
        <v/>
      </c>
      <c r="CP916" s="539" t="str">
        <f t="shared" si="2770"/>
        <v/>
      </c>
      <c r="CQ916" s="539">
        <f t="shared" si="2771"/>
        <v>0</v>
      </c>
      <c r="CR916" s="539">
        <f t="shared" si="2772"/>
        <v>0</v>
      </c>
      <c r="CS916" s="539">
        <f t="shared" si="2773"/>
        <v>0</v>
      </c>
      <c r="CT916" s="540">
        <f t="shared" si="2774"/>
        <v>0</v>
      </c>
      <c r="CU916" s="540">
        <f t="shared" si="2775"/>
        <v>0</v>
      </c>
      <c r="CV916" s="540">
        <f t="shared" si="2776"/>
        <v>0</v>
      </c>
      <c r="CW916" s="539">
        <f t="shared" si="2777"/>
        <v>0</v>
      </c>
      <c r="CX916" s="539">
        <f t="shared" si="2778"/>
        <v>0</v>
      </c>
      <c r="CY916" s="539">
        <f t="shared" si="2779"/>
        <v>0</v>
      </c>
      <c r="CZ916" s="539">
        <f t="shared" si="2780"/>
        <v>0</v>
      </c>
      <c r="DA916" s="539" t="str">
        <f t="shared" si="2781"/>
        <v/>
      </c>
      <c r="DB916" s="538" t="str">
        <f t="shared" si="2782"/>
        <v/>
      </c>
      <c r="DC916" s="537" t="str">
        <f t="shared" si="2783"/>
        <v/>
      </c>
      <c r="DD916" s="641">
        <f t="shared" si="2784"/>
        <v>10</v>
      </c>
      <c r="DE916" s="95">
        <f t="shared" si="2785"/>
        <v>10</v>
      </c>
      <c r="DF916" s="95">
        <f t="shared" si="2786"/>
        <v>10</v>
      </c>
      <c r="DG916" s="95">
        <f t="shared" si="2787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38">SUM(B223)</f>
        <v>0</v>
      </c>
      <c r="C917" s="784">
        <f t="shared" si="2838"/>
        <v>0</v>
      </c>
      <c r="D917" s="784">
        <f t="shared" si="2838"/>
        <v>0</v>
      </c>
      <c r="E917" s="784">
        <f t="shared" si="2838"/>
        <v>0</v>
      </c>
      <c r="F917" s="784">
        <f t="shared" si="2838"/>
        <v>0</v>
      </c>
      <c r="G917" s="784">
        <f t="shared" si="2838"/>
        <v>0</v>
      </c>
      <c r="H917" s="784">
        <f t="shared" si="2838"/>
        <v>0</v>
      </c>
      <c r="I917" s="784">
        <f t="shared" si="2838"/>
        <v>0</v>
      </c>
      <c r="J917" s="784">
        <f t="shared" si="2838"/>
        <v>0</v>
      </c>
      <c r="K917" s="784">
        <f t="shared" si="2838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39">SUM(T223)</f>
        <v>0</v>
      </c>
      <c r="U917" s="784">
        <f t="shared" si="2839"/>
        <v>0</v>
      </c>
      <c r="V917" s="784">
        <f t="shared" si="2839"/>
        <v>0</v>
      </c>
      <c r="W917" s="784">
        <f t="shared" si="2839"/>
        <v>0</v>
      </c>
      <c r="X917" s="784">
        <f t="shared" si="2839"/>
        <v>0</v>
      </c>
      <c r="Y917" s="784">
        <f t="shared" si="2839"/>
        <v>0</v>
      </c>
      <c r="Z917" s="784">
        <f t="shared" si="2839"/>
        <v>0</v>
      </c>
      <c r="AA917" s="784">
        <f t="shared" si="2839"/>
        <v>0</v>
      </c>
      <c r="AB917" s="784">
        <f t="shared" si="2839"/>
        <v>0</v>
      </c>
      <c r="AC917" s="784">
        <f t="shared" si="2839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40">SUM(AL223)</f>
        <v>0</v>
      </c>
      <c r="AM917" s="784">
        <f t="shared" si="2840"/>
        <v>0</v>
      </c>
      <c r="AN917" s="784">
        <f t="shared" si="2840"/>
        <v>0</v>
      </c>
      <c r="AO917" s="784">
        <f t="shared" si="2840"/>
        <v>0</v>
      </c>
      <c r="AP917" s="784">
        <f t="shared" si="2840"/>
        <v>0</v>
      </c>
      <c r="AQ917" s="784">
        <f t="shared" si="2840"/>
        <v>0</v>
      </c>
      <c r="AR917" s="784">
        <f t="shared" si="2840"/>
        <v>0</v>
      </c>
      <c r="AS917" s="784">
        <f t="shared" si="2840"/>
        <v>0</v>
      </c>
      <c r="AT917" s="784">
        <f t="shared" si="2840"/>
        <v>0</v>
      </c>
      <c r="AU917" s="784">
        <f t="shared" si="2840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41">SUM(BD223)</f>
        <v>0</v>
      </c>
      <c r="BE917" s="784">
        <f t="shared" si="2841"/>
        <v>0</v>
      </c>
      <c r="BF917" s="784">
        <f t="shared" si="2841"/>
        <v>0</v>
      </c>
      <c r="BG917" s="784">
        <f t="shared" si="2841"/>
        <v>0</v>
      </c>
      <c r="BH917" s="784">
        <f t="shared" si="2841"/>
        <v>0</v>
      </c>
      <c r="BI917" s="784">
        <f t="shared" si="2841"/>
        <v>0</v>
      </c>
      <c r="BJ917" s="784">
        <f t="shared" si="2841"/>
        <v>0</v>
      </c>
      <c r="BK917" s="784">
        <f t="shared" si="2841"/>
        <v>0</v>
      </c>
      <c r="BL917" s="784">
        <f t="shared" si="2841"/>
        <v>0</v>
      </c>
      <c r="BM917" s="784">
        <f t="shared" si="2841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63"/>
        <v>0</v>
      </c>
      <c r="CA917" s="586">
        <f t="shared" si="2764"/>
        <v>0</v>
      </c>
      <c r="CB917" s="586">
        <f t="shared" si="2765"/>
        <v>0</v>
      </c>
      <c r="CC917" s="586">
        <f t="shared" si="2766"/>
        <v>0</v>
      </c>
      <c r="CD917" s="1316">
        <f t="shared" si="2792"/>
        <v>0</v>
      </c>
      <c r="CE917" s="1317">
        <f t="shared" si="2793"/>
        <v>0</v>
      </c>
      <c r="CF917" s="1317">
        <f t="shared" si="2793"/>
        <v>0</v>
      </c>
      <c r="CG917" s="1317">
        <f t="shared" si="2793"/>
        <v>0</v>
      </c>
      <c r="CH917" s="1318">
        <f t="shared" si="2793"/>
        <v>0</v>
      </c>
      <c r="CI917" s="1318">
        <f t="shared" si="2793"/>
        <v>0</v>
      </c>
      <c r="CJ917" s="1317">
        <f t="shared" si="2793"/>
        <v>0</v>
      </c>
      <c r="CK917" s="1317">
        <f t="shared" si="2793"/>
        <v>0</v>
      </c>
      <c r="CL917" s="1317">
        <f t="shared" si="2793"/>
        <v>0</v>
      </c>
      <c r="CM917" s="1316">
        <f t="shared" si="2793"/>
        <v>0</v>
      </c>
      <c r="CN917" s="538" t="str">
        <f t="shared" si="2768"/>
        <v/>
      </c>
      <c r="CO917" s="539" t="str">
        <f t="shared" si="2769"/>
        <v/>
      </c>
      <c r="CP917" s="539" t="str">
        <f t="shared" si="2770"/>
        <v/>
      </c>
      <c r="CQ917" s="539">
        <f t="shared" si="2771"/>
        <v>0</v>
      </c>
      <c r="CR917" s="539">
        <f t="shared" si="2772"/>
        <v>0</v>
      </c>
      <c r="CS917" s="539">
        <f t="shared" si="2773"/>
        <v>0</v>
      </c>
      <c r="CT917" s="540">
        <f t="shared" si="2774"/>
        <v>0</v>
      </c>
      <c r="CU917" s="540">
        <f t="shared" si="2775"/>
        <v>0</v>
      </c>
      <c r="CV917" s="540">
        <f t="shared" si="2776"/>
        <v>0</v>
      </c>
      <c r="CW917" s="539">
        <f t="shared" si="2777"/>
        <v>0</v>
      </c>
      <c r="CX917" s="539">
        <f t="shared" si="2778"/>
        <v>0</v>
      </c>
      <c r="CY917" s="539">
        <f t="shared" si="2779"/>
        <v>0</v>
      </c>
      <c r="CZ917" s="539">
        <f t="shared" si="2780"/>
        <v>0</v>
      </c>
      <c r="DA917" s="539" t="str">
        <f t="shared" si="2781"/>
        <v/>
      </c>
      <c r="DB917" s="538" t="str">
        <f t="shared" si="2782"/>
        <v/>
      </c>
      <c r="DC917" s="537" t="str">
        <f t="shared" si="2783"/>
        <v/>
      </c>
      <c r="DD917" s="641">
        <f t="shared" si="2784"/>
        <v>10</v>
      </c>
      <c r="DE917" s="95">
        <f t="shared" si="2785"/>
        <v>10</v>
      </c>
      <c r="DF917" s="95">
        <f t="shared" si="2786"/>
        <v>10</v>
      </c>
      <c r="DG917" s="95">
        <f t="shared" si="2787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42">SUM(B226)</f>
        <v>0</v>
      </c>
      <c r="C918" s="784">
        <f t="shared" si="2842"/>
        <v>0</v>
      </c>
      <c r="D918" s="784">
        <f t="shared" si="2842"/>
        <v>0</v>
      </c>
      <c r="E918" s="784">
        <f t="shared" si="2842"/>
        <v>0</v>
      </c>
      <c r="F918" s="784">
        <f t="shared" si="2842"/>
        <v>0</v>
      </c>
      <c r="G918" s="784">
        <f t="shared" si="2842"/>
        <v>0</v>
      </c>
      <c r="H918" s="784">
        <f t="shared" si="2842"/>
        <v>0</v>
      </c>
      <c r="I918" s="784">
        <f t="shared" si="2842"/>
        <v>0</v>
      </c>
      <c r="J918" s="784">
        <f t="shared" si="2842"/>
        <v>0</v>
      </c>
      <c r="K918" s="784">
        <f t="shared" si="2842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43">SUM(T226)</f>
        <v>0</v>
      </c>
      <c r="U918" s="784">
        <f t="shared" si="2843"/>
        <v>0</v>
      </c>
      <c r="V918" s="784">
        <f t="shared" si="2843"/>
        <v>0</v>
      </c>
      <c r="W918" s="784">
        <f t="shared" si="2843"/>
        <v>0</v>
      </c>
      <c r="X918" s="784">
        <f t="shared" si="2843"/>
        <v>0</v>
      </c>
      <c r="Y918" s="784">
        <f t="shared" si="2843"/>
        <v>0</v>
      </c>
      <c r="Z918" s="784">
        <f t="shared" si="2843"/>
        <v>0</v>
      </c>
      <c r="AA918" s="784">
        <f t="shared" si="2843"/>
        <v>0</v>
      </c>
      <c r="AB918" s="784">
        <f t="shared" si="2843"/>
        <v>0</v>
      </c>
      <c r="AC918" s="784">
        <f t="shared" si="2843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44">SUM(AL226)</f>
        <v>0</v>
      </c>
      <c r="AM918" s="784">
        <f t="shared" si="2844"/>
        <v>0</v>
      </c>
      <c r="AN918" s="784">
        <f t="shared" si="2844"/>
        <v>0</v>
      </c>
      <c r="AO918" s="784">
        <f t="shared" si="2844"/>
        <v>0</v>
      </c>
      <c r="AP918" s="784">
        <f t="shared" si="2844"/>
        <v>0</v>
      </c>
      <c r="AQ918" s="784">
        <f t="shared" si="2844"/>
        <v>0</v>
      </c>
      <c r="AR918" s="784">
        <f t="shared" si="2844"/>
        <v>0</v>
      </c>
      <c r="AS918" s="784">
        <f t="shared" si="2844"/>
        <v>0</v>
      </c>
      <c r="AT918" s="784">
        <f t="shared" si="2844"/>
        <v>0</v>
      </c>
      <c r="AU918" s="784">
        <f t="shared" si="2844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45">SUM(BD226)</f>
        <v>0</v>
      </c>
      <c r="BE918" s="784">
        <f t="shared" si="2845"/>
        <v>0</v>
      </c>
      <c r="BF918" s="784">
        <f t="shared" si="2845"/>
        <v>0</v>
      </c>
      <c r="BG918" s="784">
        <f t="shared" si="2845"/>
        <v>0</v>
      </c>
      <c r="BH918" s="784">
        <f t="shared" si="2845"/>
        <v>0</v>
      </c>
      <c r="BI918" s="784">
        <f t="shared" si="2845"/>
        <v>0</v>
      </c>
      <c r="BJ918" s="784">
        <f t="shared" si="2845"/>
        <v>0</v>
      </c>
      <c r="BK918" s="784">
        <f t="shared" si="2845"/>
        <v>0</v>
      </c>
      <c r="BL918" s="784">
        <f t="shared" si="2845"/>
        <v>0</v>
      </c>
      <c r="BM918" s="784">
        <f t="shared" si="2845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63"/>
        <v>0</v>
      </c>
      <c r="CA918" s="586">
        <f t="shared" si="2764"/>
        <v>0</v>
      </c>
      <c r="CB918" s="586">
        <f t="shared" si="2765"/>
        <v>0</v>
      </c>
      <c r="CC918" s="586">
        <f t="shared" si="2766"/>
        <v>0</v>
      </c>
      <c r="CD918" s="1316">
        <f t="shared" si="2792"/>
        <v>0</v>
      </c>
      <c r="CE918" s="1317">
        <f t="shared" si="2793"/>
        <v>0</v>
      </c>
      <c r="CF918" s="1317">
        <f t="shared" si="2793"/>
        <v>0</v>
      </c>
      <c r="CG918" s="1317">
        <f t="shared" si="2793"/>
        <v>0</v>
      </c>
      <c r="CH918" s="1318">
        <f t="shared" si="2793"/>
        <v>0</v>
      </c>
      <c r="CI918" s="1318">
        <f t="shared" si="2793"/>
        <v>0</v>
      </c>
      <c r="CJ918" s="1317">
        <f t="shared" si="2793"/>
        <v>0</v>
      </c>
      <c r="CK918" s="1317">
        <f t="shared" si="2793"/>
        <v>0</v>
      </c>
      <c r="CL918" s="1317">
        <f t="shared" si="2793"/>
        <v>0</v>
      </c>
      <c r="CM918" s="1316">
        <f t="shared" si="2793"/>
        <v>0</v>
      </c>
      <c r="CN918" s="538" t="str">
        <f t="shared" si="2768"/>
        <v/>
      </c>
      <c r="CO918" s="539" t="str">
        <f t="shared" si="2769"/>
        <v/>
      </c>
      <c r="CP918" s="539" t="str">
        <f t="shared" si="2770"/>
        <v/>
      </c>
      <c r="CQ918" s="539">
        <f t="shared" si="2771"/>
        <v>0</v>
      </c>
      <c r="CR918" s="539">
        <f t="shared" si="2772"/>
        <v>0</v>
      </c>
      <c r="CS918" s="539">
        <f t="shared" si="2773"/>
        <v>0</v>
      </c>
      <c r="CT918" s="540">
        <f t="shared" si="2774"/>
        <v>0</v>
      </c>
      <c r="CU918" s="540">
        <f t="shared" si="2775"/>
        <v>0</v>
      </c>
      <c r="CV918" s="540">
        <f t="shared" si="2776"/>
        <v>0</v>
      </c>
      <c r="CW918" s="539">
        <f t="shared" si="2777"/>
        <v>0</v>
      </c>
      <c r="CX918" s="539">
        <f t="shared" si="2778"/>
        <v>0</v>
      </c>
      <c r="CY918" s="539">
        <f t="shared" si="2779"/>
        <v>0</v>
      </c>
      <c r="CZ918" s="539">
        <f t="shared" si="2780"/>
        <v>0</v>
      </c>
      <c r="DA918" s="539" t="str">
        <f t="shared" si="2781"/>
        <v/>
      </c>
      <c r="DB918" s="538" t="str">
        <f t="shared" si="2782"/>
        <v/>
      </c>
      <c r="DC918" s="537" t="str">
        <f t="shared" si="2783"/>
        <v/>
      </c>
      <c r="DD918" s="641">
        <f t="shared" si="2784"/>
        <v>10</v>
      </c>
      <c r="DE918" s="95">
        <f t="shared" si="2785"/>
        <v>10</v>
      </c>
      <c r="DF918" s="95">
        <f t="shared" si="2786"/>
        <v>10</v>
      </c>
      <c r="DG918" s="95">
        <f t="shared" si="2787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2"/>
      <c r="CE919" s="1322"/>
      <c r="CF919" s="1322"/>
      <c r="CG919" s="1322"/>
      <c r="CH919" s="1322"/>
      <c r="CI919" s="1322"/>
      <c r="CJ919" s="1322"/>
      <c r="CK919" s="1322"/>
      <c r="CL919" s="1322"/>
      <c r="CM919" s="1322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46">SUM(B186)</f>
        <v>0</v>
      </c>
      <c r="C920" s="784">
        <f t="shared" si="2846"/>
        <v>0</v>
      </c>
      <c r="D920" s="784">
        <f t="shared" si="2846"/>
        <v>0</v>
      </c>
      <c r="E920" s="784">
        <f t="shared" si="2846"/>
        <v>0</v>
      </c>
      <c r="F920" s="784">
        <f t="shared" si="2846"/>
        <v>0</v>
      </c>
      <c r="G920" s="784">
        <f t="shared" si="2846"/>
        <v>0</v>
      </c>
      <c r="H920" s="784">
        <f t="shared" si="2846"/>
        <v>0</v>
      </c>
      <c r="I920" s="784">
        <f t="shared" si="2846"/>
        <v>0</v>
      </c>
      <c r="J920" s="784">
        <f t="shared" si="2846"/>
        <v>0</v>
      </c>
      <c r="K920" s="784">
        <f t="shared" si="2846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47">SUM(T186)</f>
        <v>0</v>
      </c>
      <c r="U920" s="784">
        <f t="shared" si="2847"/>
        <v>0</v>
      </c>
      <c r="V920" s="784">
        <f t="shared" si="2847"/>
        <v>0</v>
      </c>
      <c r="W920" s="784">
        <f t="shared" si="2847"/>
        <v>0</v>
      </c>
      <c r="X920" s="784">
        <f t="shared" si="2847"/>
        <v>0</v>
      </c>
      <c r="Y920" s="784">
        <f t="shared" si="2847"/>
        <v>0</v>
      </c>
      <c r="Z920" s="784">
        <f t="shared" si="2847"/>
        <v>0</v>
      </c>
      <c r="AA920" s="784">
        <f t="shared" si="2847"/>
        <v>0</v>
      </c>
      <c r="AB920" s="784">
        <f t="shared" si="2847"/>
        <v>0</v>
      </c>
      <c r="AC920" s="784">
        <f t="shared" si="2847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48">SUM(AL186)</f>
        <v>0</v>
      </c>
      <c r="AM920" s="784">
        <f t="shared" si="2848"/>
        <v>0</v>
      </c>
      <c r="AN920" s="784">
        <f t="shared" si="2848"/>
        <v>0</v>
      </c>
      <c r="AO920" s="784">
        <f t="shared" si="2848"/>
        <v>0</v>
      </c>
      <c r="AP920" s="784">
        <f t="shared" si="2848"/>
        <v>0</v>
      </c>
      <c r="AQ920" s="784">
        <f t="shared" si="2848"/>
        <v>0</v>
      </c>
      <c r="AR920" s="784">
        <f t="shared" si="2848"/>
        <v>0</v>
      </c>
      <c r="AS920" s="784">
        <f t="shared" si="2848"/>
        <v>0</v>
      </c>
      <c r="AT920" s="784">
        <f t="shared" si="2848"/>
        <v>0</v>
      </c>
      <c r="AU920" s="784">
        <f t="shared" si="2848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49">SUM(BD186)</f>
        <v>0</v>
      </c>
      <c r="BE920" s="784">
        <f t="shared" si="2849"/>
        <v>0</v>
      </c>
      <c r="BF920" s="784">
        <f t="shared" si="2849"/>
        <v>0</v>
      </c>
      <c r="BG920" s="784">
        <f t="shared" si="2849"/>
        <v>0</v>
      </c>
      <c r="BH920" s="784">
        <f t="shared" si="2849"/>
        <v>0</v>
      </c>
      <c r="BI920" s="784">
        <f t="shared" si="2849"/>
        <v>0</v>
      </c>
      <c r="BJ920" s="784">
        <f t="shared" si="2849"/>
        <v>0</v>
      </c>
      <c r="BK920" s="784">
        <f t="shared" si="2849"/>
        <v>0</v>
      </c>
      <c r="BL920" s="784">
        <f t="shared" si="2849"/>
        <v>0</v>
      </c>
      <c r="BM920" s="784">
        <f t="shared" si="2849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50">IF(DD920&lt;3,"",(SUM(B920:R920)-MIN(B920:R920)-MAX(B920:R920))/(DD920-2))</f>
        <v>0</v>
      </c>
      <c r="CA920" s="586">
        <f t="shared" ref="CA920:CA929" si="2851">IF(DE920&lt;3,"",(SUM(T920:AJ920)-MIN(T920:AJ920)-MAX(T920:AJ920))/(DE920-2))</f>
        <v>0</v>
      </c>
      <c r="CB920" s="586">
        <f t="shared" ref="CB920:CB929" si="2852">IF(DF920&lt;3,"",(SUM(AL920:BB920)-MIN(AL920:BB920)-MAX(AL920:BB920))/(DF920-2))</f>
        <v>0</v>
      </c>
      <c r="CC920" s="586">
        <f t="shared" ref="CC920:CC929" si="2853">IF(DG920&lt;3,"",(SUM(BD920:BT920)-MIN(BD920:BT920)-MAX(BD920:BT920))/(DG920-2))</f>
        <v>0</v>
      </c>
      <c r="CD920" s="1316">
        <f t="shared" ref="CD920:CM920" si="285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7">
        <f t="shared" si="2854"/>
        <v>0</v>
      </c>
      <c r="CF920" s="1317">
        <f t="shared" si="2854"/>
        <v>0</v>
      </c>
      <c r="CG920" s="1317">
        <f t="shared" si="2854"/>
        <v>0</v>
      </c>
      <c r="CH920" s="1318">
        <f t="shared" si="2854"/>
        <v>0</v>
      </c>
      <c r="CI920" s="1318">
        <f t="shared" si="2854"/>
        <v>0</v>
      </c>
      <c r="CJ920" s="1317">
        <f t="shared" si="2854"/>
        <v>0</v>
      </c>
      <c r="CK920" s="1317">
        <f t="shared" si="2854"/>
        <v>0</v>
      </c>
      <c r="CL920" s="1317">
        <f t="shared" si="2854"/>
        <v>0</v>
      </c>
      <c r="CM920" s="1316">
        <f t="shared" si="2854"/>
        <v>0</v>
      </c>
      <c r="CN920" s="538" t="str">
        <f t="shared" ref="CN920:CN929" si="285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5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5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5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5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6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6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6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6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6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6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6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6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6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6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7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71">COUNT(B920:R920)</f>
        <v>10</v>
      </c>
      <c r="DE920" s="95">
        <f t="shared" ref="DE920:DE929" si="2872">COUNT(T920:AJ920)</f>
        <v>10</v>
      </c>
      <c r="DF920" s="95">
        <f t="shared" ref="DF920:DF929" si="2873">COUNT(AL920:BB920)</f>
        <v>10</v>
      </c>
      <c r="DG920" s="95">
        <f t="shared" ref="DG920:DG929" si="2874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75">SUM(B189)</f>
        <v>0</v>
      </c>
      <c r="C921" s="784">
        <f t="shared" si="2875"/>
        <v>0</v>
      </c>
      <c r="D921" s="784">
        <f t="shared" si="2875"/>
        <v>0</v>
      </c>
      <c r="E921" s="784">
        <f t="shared" si="2875"/>
        <v>0</v>
      </c>
      <c r="F921" s="784">
        <f t="shared" si="2875"/>
        <v>0</v>
      </c>
      <c r="G921" s="784">
        <f t="shared" si="2875"/>
        <v>0</v>
      </c>
      <c r="H921" s="784">
        <f t="shared" si="2875"/>
        <v>0</v>
      </c>
      <c r="I921" s="784">
        <f t="shared" si="2875"/>
        <v>0</v>
      </c>
      <c r="J921" s="784">
        <f t="shared" si="2875"/>
        <v>0</v>
      </c>
      <c r="K921" s="784">
        <f t="shared" si="2875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76">SUM(T189)</f>
        <v>0</v>
      </c>
      <c r="U921" s="784">
        <f t="shared" si="2876"/>
        <v>0</v>
      </c>
      <c r="V921" s="784">
        <f t="shared" si="2876"/>
        <v>0</v>
      </c>
      <c r="W921" s="784">
        <f t="shared" si="2876"/>
        <v>0</v>
      </c>
      <c r="X921" s="784">
        <f t="shared" si="2876"/>
        <v>0</v>
      </c>
      <c r="Y921" s="784">
        <f t="shared" si="2876"/>
        <v>0</v>
      </c>
      <c r="Z921" s="784">
        <f t="shared" si="2876"/>
        <v>0</v>
      </c>
      <c r="AA921" s="784">
        <f t="shared" si="2876"/>
        <v>0</v>
      </c>
      <c r="AB921" s="784">
        <f t="shared" si="2876"/>
        <v>0</v>
      </c>
      <c r="AC921" s="784">
        <f t="shared" si="2876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77">SUM(AL189)</f>
        <v>0</v>
      </c>
      <c r="AM921" s="784">
        <f t="shared" si="2877"/>
        <v>0</v>
      </c>
      <c r="AN921" s="784">
        <f t="shared" si="2877"/>
        <v>0</v>
      </c>
      <c r="AO921" s="784">
        <f t="shared" si="2877"/>
        <v>0</v>
      </c>
      <c r="AP921" s="784">
        <f t="shared" si="2877"/>
        <v>0</v>
      </c>
      <c r="AQ921" s="784">
        <f t="shared" si="2877"/>
        <v>0</v>
      </c>
      <c r="AR921" s="784">
        <f t="shared" si="2877"/>
        <v>0</v>
      </c>
      <c r="AS921" s="784">
        <f t="shared" si="2877"/>
        <v>0</v>
      </c>
      <c r="AT921" s="784">
        <f t="shared" si="2877"/>
        <v>0</v>
      </c>
      <c r="AU921" s="784">
        <f t="shared" si="2877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78">SUM(BD189)</f>
        <v>0</v>
      </c>
      <c r="BE921" s="784">
        <f t="shared" si="2878"/>
        <v>0</v>
      </c>
      <c r="BF921" s="784">
        <f t="shared" si="2878"/>
        <v>0</v>
      </c>
      <c r="BG921" s="784">
        <f t="shared" si="2878"/>
        <v>0</v>
      </c>
      <c r="BH921" s="784">
        <f t="shared" si="2878"/>
        <v>0</v>
      </c>
      <c r="BI921" s="784">
        <f t="shared" si="2878"/>
        <v>0</v>
      </c>
      <c r="BJ921" s="784">
        <f t="shared" si="2878"/>
        <v>0</v>
      </c>
      <c r="BK921" s="784">
        <f t="shared" si="2878"/>
        <v>0</v>
      </c>
      <c r="BL921" s="784">
        <f t="shared" si="2878"/>
        <v>0</v>
      </c>
      <c r="BM921" s="784">
        <f t="shared" si="2878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50"/>
        <v>0</v>
      </c>
      <c r="CA921" s="586">
        <f t="shared" si="2851"/>
        <v>0</v>
      </c>
      <c r="CB921" s="586">
        <f t="shared" si="2852"/>
        <v>0</v>
      </c>
      <c r="CC921" s="586">
        <f t="shared" si="2853"/>
        <v>0</v>
      </c>
      <c r="CD921" s="1316">
        <f t="shared" ref="CD921:CD929" si="287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7">
        <f t="shared" ref="CE921:CM929" si="288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7">
        <f t="shared" si="2880"/>
        <v>0</v>
      </c>
      <c r="CG921" s="1317">
        <f t="shared" si="2880"/>
        <v>0</v>
      </c>
      <c r="CH921" s="1318">
        <f t="shared" si="2880"/>
        <v>0</v>
      </c>
      <c r="CI921" s="1318">
        <f t="shared" si="2880"/>
        <v>0</v>
      </c>
      <c r="CJ921" s="1317">
        <f t="shared" si="2880"/>
        <v>0</v>
      </c>
      <c r="CK921" s="1317">
        <f t="shared" si="2880"/>
        <v>0</v>
      </c>
      <c r="CL921" s="1317">
        <f t="shared" si="2880"/>
        <v>0</v>
      </c>
      <c r="CM921" s="1316">
        <f t="shared" si="2880"/>
        <v>0</v>
      </c>
      <c r="CN921" s="538" t="str">
        <f t="shared" si="2855"/>
        <v/>
      </c>
      <c r="CO921" s="539" t="str">
        <f t="shared" si="2856"/>
        <v/>
      </c>
      <c r="CP921" s="539" t="str">
        <f t="shared" si="2857"/>
        <v/>
      </c>
      <c r="CQ921" s="539">
        <f t="shared" si="2858"/>
        <v>0</v>
      </c>
      <c r="CR921" s="539">
        <f t="shared" si="2859"/>
        <v>0</v>
      </c>
      <c r="CS921" s="539">
        <f t="shared" si="2860"/>
        <v>0</v>
      </c>
      <c r="CT921" s="540">
        <f t="shared" si="2861"/>
        <v>0</v>
      </c>
      <c r="CU921" s="540">
        <f t="shared" si="2862"/>
        <v>0</v>
      </c>
      <c r="CV921" s="540">
        <f t="shared" si="2863"/>
        <v>0</v>
      </c>
      <c r="CW921" s="539">
        <f t="shared" si="2864"/>
        <v>0</v>
      </c>
      <c r="CX921" s="539">
        <f t="shared" si="2865"/>
        <v>0</v>
      </c>
      <c r="CY921" s="539">
        <f t="shared" si="2866"/>
        <v>0</v>
      </c>
      <c r="CZ921" s="539">
        <f t="shared" si="2867"/>
        <v>0</v>
      </c>
      <c r="DA921" s="539" t="str">
        <f t="shared" si="2868"/>
        <v/>
      </c>
      <c r="DB921" s="538" t="str">
        <f t="shared" si="2869"/>
        <v/>
      </c>
      <c r="DC921" s="537" t="str">
        <f t="shared" si="2870"/>
        <v/>
      </c>
      <c r="DD921" s="641">
        <f t="shared" si="2871"/>
        <v>10</v>
      </c>
      <c r="DE921" s="95">
        <f t="shared" si="2872"/>
        <v>10</v>
      </c>
      <c r="DF921" s="95">
        <f t="shared" si="2873"/>
        <v>10</v>
      </c>
      <c r="DG921" s="95">
        <f t="shared" si="2874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81">SUM(B194)</f>
        <v>0</v>
      </c>
      <c r="C922" s="784">
        <f t="shared" si="2881"/>
        <v>0</v>
      </c>
      <c r="D922" s="784">
        <f t="shared" si="2881"/>
        <v>0</v>
      </c>
      <c r="E922" s="784">
        <f t="shared" si="2881"/>
        <v>0</v>
      </c>
      <c r="F922" s="784">
        <f t="shared" si="2881"/>
        <v>0</v>
      </c>
      <c r="G922" s="784">
        <f t="shared" si="2881"/>
        <v>0</v>
      </c>
      <c r="H922" s="784">
        <f t="shared" si="2881"/>
        <v>0</v>
      </c>
      <c r="I922" s="784">
        <f t="shared" si="2881"/>
        <v>0</v>
      </c>
      <c r="J922" s="784">
        <f t="shared" si="2881"/>
        <v>0</v>
      </c>
      <c r="K922" s="784">
        <f t="shared" si="2881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82">SUM(T194)</f>
        <v>0</v>
      </c>
      <c r="U922" s="784">
        <f t="shared" si="2882"/>
        <v>0</v>
      </c>
      <c r="V922" s="784">
        <f t="shared" si="2882"/>
        <v>0</v>
      </c>
      <c r="W922" s="784">
        <f t="shared" si="2882"/>
        <v>0</v>
      </c>
      <c r="X922" s="784">
        <f t="shared" si="2882"/>
        <v>0</v>
      </c>
      <c r="Y922" s="784">
        <f t="shared" si="2882"/>
        <v>0</v>
      </c>
      <c r="Z922" s="784">
        <f t="shared" si="2882"/>
        <v>0</v>
      </c>
      <c r="AA922" s="784">
        <f t="shared" si="2882"/>
        <v>0</v>
      </c>
      <c r="AB922" s="784">
        <f t="shared" si="2882"/>
        <v>0</v>
      </c>
      <c r="AC922" s="784">
        <f t="shared" si="2882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83">SUM(AL194)</f>
        <v>0</v>
      </c>
      <c r="AM922" s="784">
        <f t="shared" si="2883"/>
        <v>0</v>
      </c>
      <c r="AN922" s="784">
        <f t="shared" si="2883"/>
        <v>0</v>
      </c>
      <c r="AO922" s="784">
        <f t="shared" si="2883"/>
        <v>0</v>
      </c>
      <c r="AP922" s="784">
        <f t="shared" si="2883"/>
        <v>0</v>
      </c>
      <c r="AQ922" s="784">
        <f t="shared" si="2883"/>
        <v>0</v>
      </c>
      <c r="AR922" s="784">
        <f t="shared" si="2883"/>
        <v>0</v>
      </c>
      <c r="AS922" s="784">
        <f t="shared" si="2883"/>
        <v>0</v>
      </c>
      <c r="AT922" s="784">
        <f t="shared" si="2883"/>
        <v>0</v>
      </c>
      <c r="AU922" s="784">
        <f t="shared" si="2883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84">SUM(BD194)</f>
        <v>0</v>
      </c>
      <c r="BE922" s="784">
        <f t="shared" si="2884"/>
        <v>0</v>
      </c>
      <c r="BF922" s="784">
        <f t="shared" si="2884"/>
        <v>0</v>
      </c>
      <c r="BG922" s="784">
        <f t="shared" si="2884"/>
        <v>0</v>
      </c>
      <c r="BH922" s="784">
        <f t="shared" si="2884"/>
        <v>0</v>
      </c>
      <c r="BI922" s="784">
        <f t="shared" si="2884"/>
        <v>0</v>
      </c>
      <c r="BJ922" s="784">
        <f t="shared" si="2884"/>
        <v>0</v>
      </c>
      <c r="BK922" s="784">
        <f t="shared" si="2884"/>
        <v>0</v>
      </c>
      <c r="BL922" s="784">
        <f t="shared" si="2884"/>
        <v>0</v>
      </c>
      <c r="BM922" s="784">
        <f t="shared" si="2884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50"/>
        <v>0</v>
      </c>
      <c r="CA922" s="586">
        <f t="shared" si="2851"/>
        <v>0</v>
      </c>
      <c r="CB922" s="586">
        <f t="shared" si="2852"/>
        <v>0</v>
      </c>
      <c r="CC922" s="586">
        <f t="shared" si="2853"/>
        <v>0</v>
      </c>
      <c r="CD922" s="1316">
        <f t="shared" si="2879"/>
        <v>0</v>
      </c>
      <c r="CE922" s="1317">
        <f t="shared" si="2880"/>
        <v>0</v>
      </c>
      <c r="CF922" s="1317">
        <f t="shared" si="2880"/>
        <v>0</v>
      </c>
      <c r="CG922" s="1317">
        <f t="shared" si="2880"/>
        <v>0</v>
      </c>
      <c r="CH922" s="1318">
        <f t="shared" si="2880"/>
        <v>0</v>
      </c>
      <c r="CI922" s="1318">
        <f t="shared" si="2880"/>
        <v>0</v>
      </c>
      <c r="CJ922" s="1317">
        <f t="shared" si="2880"/>
        <v>0</v>
      </c>
      <c r="CK922" s="1317">
        <f t="shared" si="2880"/>
        <v>0</v>
      </c>
      <c r="CL922" s="1317">
        <f t="shared" si="2880"/>
        <v>0</v>
      </c>
      <c r="CM922" s="1316">
        <f t="shared" si="2880"/>
        <v>0</v>
      </c>
      <c r="CN922" s="538" t="str">
        <f t="shared" si="2855"/>
        <v/>
      </c>
      <c r="CO922" s="539" t="str">
        <f t="shared" si="2856"/>
        <v/>
      </c>
      <c r="CP922" s="539" t="str">
        <f t="shared" si="2857"/>
        <v/>
      </c>
      <c r="CQ922" s="539">
        <f t="shared" si="2858"/>
        <v>0</v>
      </c>
      <c r="CR922" s="539">
        <f t="shared" si="2859"/>
        <v>0</v>
      </c>
      <c r="CS922" s="539">
        <f t="shared" si="2860"/>
        <v>0</v>
      </c>
      <c r="CT922" s="540">
        <f t="shared" si="2861"/>
        <v>0</v>
      </c>
      <c r="CU922" s="540">
        <f t="shared" si="2862"/>
        <v>0</v>
      </c>
      <c r="CV922" s="540">
        <f t="shared" si="2863"/>
        <v>0</v>
      </c>
      <c r="CW922" s="539">
        <f t="shared" si="2864"/>
        <v>0</v>
      </c>
      <c r="CX922" s="539">
        <f t="shared" si="2865"/>
        <v>0</v>
      </c>
      <c r="CY922" s="539">
        <f t="shared" si="2866"/>
        <v>0</v>
      </c>
      <c r="CZ922" s="539">
        <f t="shared" si="2867"/>
        <v>0</v>
      </c>
      <c r="DA922" s="539" t="str">
        <f t="shared" si="2868"/>
        <v/>
      </c>
      <c r="DB922" s="538" t="str">
        <f t="shared" si="2869"/>
        <v/>
      </c>
      <c r="DC922" s="537" t="str">
        <f t="shared" si="2870"/>
        <v/>
      </c>
      <c r="DD922" s="641">
        <f t="shared" si="2871"/>
        <v>10</v>
      </c>
      <c r="DE922" s="95">
        <f t="shared" si="2872"/>
        <v>10</v>
      </c>
      <c r="DF922" s="95">
        <f t="shared" si="2873"/>
        <v>10</v>
      </c>
      <c r="DG922" s="95">
        <f t="shared" si="2874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85">SUM(B197)</f>
        <v>0</v>
      </c>
      <c r="C923" s="784">
        <f t="shared" si="2885"/>
        <v>0</v>
      </c>
      <c r="D923" s="784">
        <f t="shared" si="2885"/>
        <v>0</v>
      </c>
      <c r="E923" s="784">
        <f t="shared" si="2885"/>
        <v>0</v>
      </c>
      <c r="F923" s="784">
        <f t="shared" si="2885"/>
        <v>0</v>
      </c>
      <c r="G923" s="784">
        <f t="shared" si="2885"/>
        <v>0</v>
      </c>
      <c r="H923" s="784">
        <f t="shared" si="2885"/>
        <v>0</v>
      </c>
      <c r="I923" s="784">
        <f t="shared" si="2885"/>
        <v>0</v>
      </c>
      <c r="J923" s="784">
        <f t="shared" si="2885"/>
        <v>0</v>
      </c>
      <c r="K923" s="784">
        <f t="shared" si="2885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86">SUM(T197)</f>
        <v>0</v>
      </c>
      <c r="U923" s="784">
        <f t="shared" si="2886"/>
        <v>0</v>
      </c>
      <c r="V923" s="784">
        <f t="shared" si="2886"/>
        <v>0</v>
      </c>
      <c r="W923" s="784">
        <f t="shared" si="2886"/>
        <v>0</v>
      </c>
      <c r="X923" s="784">
        <f t="shared" si="2886"/>
        <v>0</v>
      </c>
      <c r="Y923" s="784">
        <f t="shared" si="2886"/>
        <v>0</v>
      </c>
      <c r="Z923" s="784">
        <f t="shared" si="2886"/>
        <v>0</v>
      </c>
      <c r="AA923" s="784">
        <f t="shared" si="2886"/>
        <v>0</v>
      </c>
      <c r="AB923" s="784">
        <f t="shared" si="2886"/>
        <v>0</v>
      </c>
      <c r="AC923" s="784">
        <f t="shared" si="2886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87">SUM(AL197)</f>
        <v>0</v>
      </c>
      <c r="AM923" s="784">
        <f t="shared" si="2887"/>
        <v>0</v>
      </c>
      <c r="AN923" s="784">
        <f t="shared" si="2887"/>
        <v>0</v>
      </c>
      <c r="AO923" s="784">
        <f t="shared" si="2887"/>
        <v>0</v>
      </c>
      <c r="AP923" s="784">
        <f t="shared" si="2887"/>
        <v>0</v>
      </c>
      <c r="AQ923" s="784">
        <f t="shared" si="2887"/>
        <v>0</v>
      </c>
      <c r="AR923" s="784">
        <f t="shared" si="2887"/>
        <v>0</v>
      </c>
      <c r="AS923" s="784">
        <f t="shared" si="2887"/>
        <v>0</v>
      </c>
      <c r="AT923" s="784">
        <f t="shared" si="2887"/>
        <v>0</v>
      </c>
      <c r="AU923" s="784">
        <f t="shared" si="2887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88">SUM(BD197)</f>
        <v>0</v>
      </c>
      <c r="BE923" s="784">
        <f t="shared" si="2888"/>
        <v>0</v>
      </c>
      <c r="BF923" s="784">
        <f t="shared" si="2888"/>
        <v>0</v>
      </c>
      <c r="BG923" s="784">
        <f t="shared" si="2888"/>
        <v>0</v>
      </c>
      <c r="BH923" s="784">
        <f t="shared" si="2888"/>
        <v>0</v>
      </c>
      <c r="BI923" s="784">
        <f t="shared" si="2888"/>
        <v>0</v>
      </c>
      <c r="BJ923" s="784">
        <f t="shared" si="2888"/>
        <v>0</v>
      </c>
      <c r="BK923" s="784">
        <f t="shared" si="2888"/>
        <v>0</v>
      </c>
      <c r="BL923" s="784">
        <f t="shared" si="2888"/>
        <v>0</v>
      </c>
      <c r="BM923" s="784">
        <f t="shared" si="2888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50"/>
        <v>0</v>
      </c>
      <c r="CA923" s="586">
        <f t="shared" si="2851"/>
        <v>0</v>
      </c>
      <c r="CB923" s="586">
        <f t="shared" si="2852"/>
        <v>0</v>
      </c>
      <c r="CC923" s="586">
        <f t="shared" si="2853"/>
        <v>0</v>
      </c>
      <c r="CD923" s="1316">
        <f t="shared" si="2879"/>
        <v>0</v>
      </c>
      <c r="CE923" s="1317">
        <f t="shared" si="2880"/>
        <v>0</v>
      </c>
      <c r="CF923" s="1317">
        <f t="shared" si="2880"/>
        <v>0</v>
      </c>
      <c r="CG923" s="1317">
        <f t="shared" si="2880"/>
        <v>0</v>
      </c>
      <c r="CH923" s="1318">
        <f t="shared" si="2880"/>
        <v>0</v>
      </c>
      <c r="CI923" s="1318">
        <f t="shared" si="2880"/>
        <v>0</v>
      </c>
      <c r="CJ923" s="1317">
        <f t="shared" si="2880"/>
        <v>0</v>
      </c>
      <c r="CK923" s="1317">
        <f t="shared" si="2880"/>
        <v>0</v>
      </c>
      <c r="CL923" s="1317">
        <f t="shared" si="2880"/>
        <v>0</v>
      </c>
      <c r="CM923" s="1316">
        <f t="shared" si="2880"/>
        <v>0</v>
      </c>
      <c r="CN923" s="538" t="str">
        <f t="shared" si="2855"/>
        <v/>
      </c>
      <c r="CO923" s="539" t="str">
        <f t="shared" si="2856"/>
        <v/>
      </c>
      <c r="CP923" s="539" t="str">
        <f t="shared" si="2857"/>
        <v/>
      </c>
      <c r="CQ923" s="539">
        <f t="shared" si="2858"/>
        <v>0</v>
      </c>
      <c r="CR923" s="539">
        <f t="shared" si="2859"/>
        <v>0</v>
      </c>
      <c r="CS923" s="539">
        <f t="shared" si="2860"/>
        <v>0</v>
      </c>
      <c r="CT923" s="540">
        <f t="shared" si="2861"/>
        <v>0</v>
      </c>
      <c r="CU923" s="540">
        <f t="shared" si="2862"/>
        <v>0</v>
      </c>
      <c r="CV923" s="540">
        <f t="shared" si="2863"/>
        <v>0</v>
      </c>
      <c r="CW923" s="539">
        <f t="shared" si="2864"/>
        <v>0</v>
      </c>
      <c r="CX923" s="539">
        <f t="shared" si="2865"/>
        <v>0</v>
      </c>
      <c r="CY923" s="539">
        <f t="shared" si="2866"/>
        <v>0</v>
      </c>
      <c r="CZ923" s="539">
        <f t="shared" si="2867"/>
        <v>0</v>
      </c>
      <c r="DA923" s="539" t="str">
        <f t="shared" si="2868"/>
        <v/>
      </c>
      <c r="DB923" s="538" t="str">
        <f t="shared" si="2869"/>
        <v/>
      </c>
      <c r="DC923" s="537" t="str">
        <f t="shared" si="2870"/>
        <v/>
      </c>
      <c r="DD923" s="641">
        <f t="shared" si="2871"/>
        <v>10</v>
      </c>
      <c r="DE923" s="95">
        <f t="shared" si="2872"/>
        <v>10</v>
      </c>
      <c r="DF923" s="95">
        <f t="shared" si="2873"/>
        <v>10</v>
      </c>
      <c r="DG923" s="95">
        <f t="shared" si="2874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89">SUM(B200)</f>
        <v>0</v>
      </c>
      <c r="C924" s="784">
        <f t="shared" si="2889"/>
        <v>0</v>
      </c>
      <c r="D924" s="784">
        <f t="shared" si="2889"/>
        <v>0</v>
      </c>
      <c r="E924" s="784">
        <f t="shared" si="2889"/>
        <v>0</v>
      </c>
      <c r="F924" s="784">
        <f t="shared" si="2889"/>
        <v>0</v>
      </c>
      <c r="G924" s="784">
        <f t="shared" si="2889"/>
        <v>0</v>
      </c>
      <c r="H924" s="784">
        <f t="shared" si="2889"/>
        <v>0</v>
      </c>
      <c r="I924" s="784">
        <f t="shared" si="2889"/>
        <v>0</v>
      </c>
      <c r="J924" s="784">
        <f t="shared" si="2889"/>
        <v>0</v>
      </c>
      <c r="K924" s="784">
        <f t="shared" si="2889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90">SUM(T200)</f>
        <v>0</v>
      </c>
      <c r="U924" s="784">
        <f t="shared" si="2890"/>
        <v>0</v>
      </c>
      <c r="V924" s="784">
        <f t="shared" si="2890"/>
        <v>0</v>
      </c>
      <c r="W924" s="784">
        <f t="shared" si="2890"/>
        <v>0</v>
      </c>
      <c r="X924" s="784">
        <f t="shared" si="2890"/>
        <v>0</v>
      </c>
      <c r="Y924" s="784">
        <f t="shared" si="2890"/>
        <v>0</v>
      </c>
      <c r="Z924" s="784">
        <f t="shared" si="2890"/>
        <v>0</v>
      </c>
      <c r="AA924" s="784">
        <f t="shared" si="2890"/>
        <v>0</v>
      </c>
      <c r="AB924" s="784">
        <f t="shared" si="2890"/>
        <v>0</v>
      </c>
      <c r="AC924" s="784">
        <f t="shared" si="2890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91">SUM(AL200)</f>
        <v>0</v>
      </c>
      <c r="AM924" s="784">
        <f t="shared" si="2891"/>
        <v>0</v>
      </c>
      <c r="AN924" s="784">
        <f t="shared" si="2891"/>
        <v>0</v>
      </c>
      <c r="AO924" s="784">
        <f t="shared" si="2891"/>
        <v>0</v>
      </c>
      <c r="AP924" s="784">
        <f t="shared" si="2891"/>
        <v>0</v>
      </c>
      <c r="AQ924" s="784">
        <f t="shared" si="2891"/>
        <v>0</v>
      </c>
      <c r="AR924" s="784">
        <f t="shared" si="2891"/>
        <v>0</v>
      </c>
      <c r="AS924" s="784">
        <f t="shared" si="2891"/>
        <v>0</v>
      </c>
      <c r="AT924" s="784">
        <f t="shared" si="2891"/>
        <v>0</v>
      </c>
      <c r="AU924" s="784">
        <f t="shared" si="2891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92">SUM(BD200)</f>
        <v>22500</v>
      </c>
      <c r="BE924" s="784">
        <f t="shared" si="2892"/>
        <v>12000</v>
      </c>
      <c r="BF924" s="784">
        <f t="shared" si="2892"/>
        <v>9040</v>
      </c>
      <c r="BG924" s="784">
        <f t="shared" si="2892"/>
        <v>11000</v>
      </c>
      <c r="BH924" s="784">
        <f t="shared" si="2892"/>
        <v>17500</v>
      </c>
      <c r="BI924" s="784">
        <f t="shared" si="2892"/>
        <v>0</v>
      </c>
      <c r="BJ924" s="784">
        <f t="shared" si="2892"/>
        <v>7000</v>
      </c>
      <c r="BK924" s="784">
        <f t="shared" si="2892"/>
        <v>0</v>
      </c>
      <c r="BL924" s="784">
        <f t="shared" si="2892"/>
        <v>14000</v>
      </c>
      <c r="BM924" s="784">
        <f t="shared" si="2892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50"/>
        <v>0</v>
      </c>
      <c r="CA924" s="586">
        <f t="shared" si="2851"/>
        <v>0</v>
      </c>
      <c r="CB924" s="586">
        <f t="shared" si="2852"/>
        <v>0</v>
      </c>
      <c r="CC924" s="586">
        <f t="shared" si="2853"/>
        <v>8817.5</v>
      </c>
      <c r="CD924" s="1316">
        <f t="shared" si="2879"/>
        <v>0</v>
      </c>
      <c r="CE924" s="1317">
        <f t="shared" si="2880"/>
        <v>0</v>
      </c>
      <c r="CF924" s="1317">
        <f t="shared" si="2880"/>
        <v>0</v>
      </c>
      <c r="CG924" s="1317">
        <f t="shared" si="2880"/>
        <v>0</v>
      </c>
      <c r="CH924" s="1318">
        <f t="shared" si="2880"/>
        <v>0</v>
      </c>
      <c r="CI924" s="1318">
        <f t="shared" si="2880"/>
        <v>0</v>
      </c>
      <c r="CJ924" s="1317">
        <f t="shared" si="2880"/>
        <v>0</v>
      </c>
      <c r="CK924" s="1317">
        <f t="shared" si="2880"/>
        <v>0</v>
      </c>
      <c r="CL924" s="1317">
        <f t="shared" si="2880"/>
        <v>0</v>
      </c>
      <c r="CM924" s="1316">
        <f t="shared" si="2880"/>
        <v>0</v>
      </c>
      <c r="CN924" s="538" t="str">
        <f t="shared" si="2855"/>
        <v/>
      </c>
      <c r="CO924" s="539" t="str">
        <f t="shared" si="2856"/>
        <v/>
      </c>
      <c r="CP924" s="539" t="str">
        <f t="shared" si="2857"/>
        <v/>
      </c>
      <c r="CQ924" s="539">
        <f t="shared" si="2858"/>
        <v>0</v>
      </c>
      <c r="CR924" s="539">
        <f t="shared" si="2859"/>
        <v>0</v>
      </c>
      <c r="CS924" s="539">
        <f t="shared" si="2860"/>
        <v>0</v>
      </c>
      <c r="CT924" s="540">
        <f t="shared" si="2861"/>
        <v>7000</v>
      </c>
      <c r="CU924" s="540">
        <f t="shared" si="2862"/>
        <v>9040</v>
      </c>
      <c r="CV924" s="540">
        <f t="shared" si="2863"/>
        <v>11000</v>
      </c>
      <c r="CW924" s="539">
        <f t="shared" si="2864"/>
        <v>12000</v>
      </c>
      <c r="CX924" s="539">
        <f t="shared" si="2865"/>
        <v>14000</v>
      </c>
      <c r="CY924" s="539">
        <f t="shared" si="2866"/>
        <v>17500</v>
      </c>
      <c r="CZ924" s="539">
        <f t="shared" si="2867"/>
        <v>22500</v>
      </c>
      <c r="DA924" s="539" t="str">
        <f t="shared" si="2868"/>
        <v/>
      </c>
      <c r="DB924" s="538" t="str">
        <f t="shared" si="2869"/>
        <v/>
      </c>
      <c r="DC924" s="537" t="str">
        <f t="shared" si="2870"/>
        <v/>
      </c>
      <c r="DD924" s="641">
        <f t="shared" si="2871"/>
        <v>10</v>
      </c>
      <c r="DE924" s="95">
        <f t="shared" si="2872"/>
        <v>10</v>
      </c>
      <c r="DF924" s="95">
        <f t="shared" si="2873"/>
        <v>10</v>
      </c>
      <c r="DG924" s="95">
        <f t="shared" si="2874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93">SUM(B204)</f>
        <v>0</v>
      </c>
      <c r="C925" s="784">
        <f t="shared" si="2893"/>
        <v>0</v>
      </c>
      <c r="D925" s="784">
        <f t="shared" si="2893"/>
        <v>0</v>
      </c>
      <c r="E925" s="784">
        <f t="shared" si="2893"/>
        <v>0</v>
      </c>
      <c r="F925" s="784">
        <f t="shared" si="2893"/>
        <v>0</v>
      </c>
      <c r="G925" s="784">
        <f t="shared" si="2893"/>
        <v>0</v>
      </c>
      <c r="H925" s="784">
        <f t="shared" si="2893"/>
        <v>0</v>
      </c>
      <c r="I925" s="784">
        <f t="shared" si="2893"/>
        <v>0</v>
      </c>
      <c r="J925" s="784">
        <f t="shared" si="2893"/>
        <v>0</v>
      </c>
      <c r="K925" s="784">
        <f t="shared" si="2893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94">SUM(T204)</f>
        <v>0</v>
      </c>
      <c r="U925" s="784">
        <f t="shared" si="2894"/>
        <v>0</v>
      </c>
      <c r="V925" s="784">
        <f t="shared" si="2894"/>
        <v>0</v>
      </c>
      <c r="W925" s="784">
        <f t="shared" si="2894"/>
        <v>0</v>
      </c>
      <c r="X925" s="784">
        <f t="shared" si="2894"/>
        <v>0</v>
      </c>
      <c r="Y925" s="784">
        <f t="shared" si="2894"/>
        <v>0</v>
      </c>
      <c r="Z925" s="784">
        <f t="shared" si="2894"/>
        <v>0</v>
      </c>
      <c r="AA925" s="784">
        <f t="shared" si="2894"/>
        <v>0</v>
      </c>
      <c r="AB925" s="784">
        <f t="shared" si="2894"/>
        <v>0</v>
      </c>
      <c r="AC925" s="784">
        <f t="shared" si="2894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95">SUM(AL204)</f>
        <v>0</v>
      </c>
      <c r="AM925" s="784">
        <f t="shared" si="2895"/>
        <v>0</v>
      </c>
      <c r="AN925" s="784">
        <f t="shared" si="2895"/>
        <v>0</v>
      </c>
      <c r="AO925" s="784">
        <f t="shared" si="2895"/>
        <v>0</v>
      </c>
      <c r="AP925" s="784">
        <f t="shared" si="2895"/>
        <v>0</v>
      </c>
      <c r="AQ925" s="784">
        <f t="shared" si="2895"/>
        <v>0</v>
      </c>
      <c r="AR925" s="784">
        <f t="shared" si="2895"/>
        <v>0</v>
      </c>
      <c r="AS925" s="784">
        <f t="shared" si="2895"/>
        <v>0</v>
      </c>
      <c r="AT925" s="784">
        <f t="shared" si="2895"/>
        <v>0</v>
      </c>
      <c r="AU925" s="784">
        <f t="shared" si="2895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96">SUM(BD204)</f>
        <v>0</v>
      </c>
      <c r="BE925" s="784">
        <f t="shared" si="2896"/>
        <v>0</v>
      </c>
      <c r="BF925" s="784">
        <f t="shared" si="2896"/>
        <v>0</v>
      </c>
      <c r="BG925" s="784">
        <f t="shared" si="2896"/>
        <v>0</v>
      </c>
      <c r="BH925" s="784">
        <f t="shared" si="2896"/>
        <v>0</v>
      </c>
      <c r="BI925" s="784">
        <f t="shared" si="2896"/>
        <v>0</v>
      </c>
      <c r="BJ925" s="784">
        <f t="shared" si="2896"/>
        <v>0</v>
      </c>
      <c r="BK925" s="784">
        <f t="shared" si="2896"/>
        <v>0</v>
      </c>
      <c r="BL925" s="784">
        <f t="shared" si="2896"/>
        <v>0</v>
      </c>
      <c r="BM925" s="784">
        <f t="shared" si="2896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50"/>
        <v>0</v>
      </c>
      <c r="CA925" s="586">
        <f t="shared" si="2851"/>
        <v>0</v>
      </c>
      <c r="CB925" s="586">
        <f t="shared" si="2852"/>
        <v>0</v>
      </c>
      <c r="CC925" s="586">
        <f t="shared" si="2853"/>
        <v>0</v>
      </c>
      <c r="CD925" s="1316">
        <f t="shared" si="2879"/>
        <v>0</v>
      </c>
      <c r="CE925" s="1317">
        <f t="shared" si="2880"/>
        <v>0</v>
      </c>
      <c r="CF925" s="1317">
        <f t="shared" si="2880"/>
        <v>0</v>
      </c>
      <c r="CG925" s="1317">
        <f t="shared" si="2880"/>
        <v>0</v>
      </c>
      <c r="CH925" s="1318">
        <f t="shared" si="2880"/>
        <v>0</v>
      </c>
      <c r="CI925" s="1318">
        <f t="shared" si="2880"/>
        <v>0</v>
      </c>
      <c r="CJ925" s="1317">
        <f t="shared" si="2880"/>
        <v>0</v>
      </c>
      <c r="CK925" s="1317">
        <f t="shared" si="2880"/>
        <v>0</v>
      </c>
      <c r="CL925" s="1317">
        <f t="shared" si="2880"/>
        <v>0</v>
      </c>
      <c r="CM925" s="1316">
        <f t="shared" si="2880"/>
        <v>0</v>
      </c>
      <c r="CN925" s="538" t="str">
        <f t="shared" si="2855"/>
        <v/>
      </c>
      <c r="CO925" s="539" t="str">
        <f t="shared" si="2856"/>
        <v/>
      </c>
      <c r="CP925" s="539" t="str">
        <f t="shared" si="2857"/>
        <v/>
      </c>
      <c r="CQ925" s="539">
        <f t="shared" si="2858"/>
        <v>0</v>
      </c>
      <c r="CR925" s="539">
        <f t="shared" si="2859"/>
        <v>0</v>
      </c>
      <c r="CS925" s="539">
        <f t="shared" si="2860"/>
        <v>0</v>
      </c>
      <c r="CT925" s="540">
        <f t="shared" si="2861"/>
        <v>0</v>
      </c>
      <c r="CU925" s="540">
        <f t="shared" si="2862"/>
        <v>0</v>
      </c>
      <c r="CV925" s="540">
        <f t="shared" si="2863"/>
        <v>0</v>
      </c>
      <c r="CW925" s="539">
        <f t="shared" si="2864"/>
        <v>0</v>
      </c>
      <c r="CX925" s="539">
        <f t="shared" si="2865"/>
        <v>0</v>
      </c>
      <c r="CY925" s="539">
        <f t="shared" si="2866"/>
        <v>0</v>
      </c>
      <c r="CZ925" s="539">
        <f t="shared" si="2867"/>
        <v>0</v>
      </c>
      <c r="DA925" s="539" t="str">
        <f t="shared" si="2868"/>
        <v/>
      </c>
      <c r="DB925" s="538" t="str">
        <f t="shared" si="2869"/>
        <v/>
      </c>
      <c r="DC925" s="537" t="str">
        <f t="shared" si="2870"/>
        <v/>
      </c>
      <c r="DD925" s="641">
        <f t="shared" si="2871"/>
        <v>10</v>
      </c>
      <c r="DE925" s="95">
        <f t="shared" si="2872"/>
        <v>10</v>
      </c>
      <c r="DF925" s="95">
        <f t="shared" si="2873"/>
        <v>10</v>
      </c>
      <c r="DG925" s="95">
        <f t="shared" si="2874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97">SUM(B207)</f>
        <v>0</v>
      </c>
      <c r="C926" s="784">
        <f t="shared" si="2897"/>
        <v>0</v>
      </c>
      <c r="D926" s="784">
        <f t="shared" si="2897"/>
        <v>0</v>
      </c>
      <c r="E926" s="784">
        <f t="shared" si="2897"/>
        <v>0</v>
      </c>
      <c r="F926" s="784">
        <f t="shared" si="2897"/>
        <v>0</v>
      </c>
      <c r="G926" s="784">
        <f t="shared" si="2897"/>
        <v>0</v>
      </c>
      <c r="H926" s="784">
        <f t="shared" si="2897"/>
        <v>0</v>
      </c>
      <c r="I926" s="784">
        <f t="shared" si="2897"/>
        <v>0</v>
      </c>
      <c r="J926" s="784">
        <f t="shared" si="2897"/>
        <v>0</v>
      </c>
      <c r="K926" s="784">
        <f t="shared" si="2897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98">SUM(T207)</f>
        <v>0</v>
      </c>
      <c r="U926" s="784">
        <f t="shared" si="2898"/>
        <v>0</v>
      </c>
      <c r="V926" s="784">
        <f t="shared" si="2898"/>
        <v>0</v>
      </c>
      <c r="W926" s="784">
        <f t="shared" si="2898"/>
        <v>0</v>
      </c>
      <c r="X926" s="784">
        <f t="shared" si="2898"/>
        <v>0</v>
      </c>
      <c r="Y926" s="784">
        <f t="shared" si="2898"/>
        <v>0</v>
      </c>
      <c r="Z926" s="784">
        <f t="shared" si="2898"/>
        <v>0</v>
      </c>
      <c r="AA926" s="784">
        <f t="shared" si="2898"/>
        <v>0</v>
      </c>
      <c r="AB926" s="784">
        <f t="shared" si="2898"/>
        <v>0</v>
      </c>
      <c r="AC926" s="784">
        <f t="shared" si="2898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99">SUM(AL207)</f>
        <v>0</v>
      </c>
      <c r="AM926" s="784">
        <f t="shared" si="2899"/>
        <v>0</v>
      </c>
      <c r="AN926" s="784">
        <f t="shared" si="2899"/>
        <v>0</v>
      </c>
      <c r="AO926" s="784">
        <f t="shared" si="2899"/>
        <v>0</v>
      </c>
      <c r="AP926" s="784">
        <f t="shared" si="2899"/>
        <v>0</v>
      </c>
      <c r="AQ926" s="784">
        <f t="shared" si="2899"/>
        <v>0</v>
      </c>
      <c r="AR926" s="784">
        <f t="shared" si="2899"/>
        <v>0</v>
      </c>
      <c r="AS926" s="784">
        <f t="shared" si="2899"/>
        <v>0</v>
      </c>
      <c r="AT926" s="784">
        <f t="shared" si="2899"/>
        <v>0</v>
      </c>
      <c r="AU926" s="784">
        <f t="shared" si="2899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900">SUM(BD207)</f>
        <v>2000</v>
      </c>
      <c r="BE926" s="784">
        <f t="shared" si="2900"/>
        <v>1000</v>
      </c>
      <c r="BF926" s="784">
        <f t="shared" si="2900"/>
        <v>8400</v>
      </c>
      <c r="BG926" s="784">
        <f t="shared" si="2900"/>
        <v>1000</v>
      </c>
      <c r="BH926" s="784">
        <f t="shared" si="2900"/>
        <v>3600</v>
      </c>
      <c r="BI926" s="784">
        <f t="shared" si="2900"/>
        <v>5700</v>
      </c>
      <c r="BJ926" s="784">
        <f t="shared" si="2900"/>
        <v>3000</v>
      </c>
      <c r="BK926" s="784">
        <f t="shared" si="2900"/>
        <v>0</v>
      </c>
      <c r="BL926" s="784">
        <f t="shared" si="2900"/>
        <v>2000</v>
      </c>
      <c r="BM926" s="784">
        <f t="shared" si="2900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50"/>
        <v>0</v>
      </c>
      <c r="CA926" s="586">
        <f t="shared" si="2851"/>
        <v>0</v>
      </c>
      <c r="CB926" s="586">
        <f t="shared" si="2852"/>
        <v>0</v>
      </c>
      <c r="CC926" s="586">
        <f t="shared" si="2853"/>
        <v>2287.5</v>
      </c>
      <c r="CD926" s="1316">
        <f t="shared" si="2879"/>
        <v>0</v>
      </c>
      <c r="CE926" s="1317">
        <f t="shared" si="2880"/>
        <v>0</v>
      </c>
      <c r="CF926" s="1317">
        <f t="shared" si="2880"/>
        <v>0</v>
      </c>
      <c r="CG926" s="1317">
        <f t="shared" si="2880"/>
        <v>0</v>
      </c>
      <c r="CH926" s="1318">
        <f t="shared" si="2880"/>
        <v>0</v>
      </c>
      <c r="CI926" s="1318">
        <f t="shared" si="2880"/>
        <v>0</v>
      </c>
      <c r="CJ926" s="1317">
        <f t="shared" si="2880"/>
        <v>0</v>
      </c>
      <c r="CK926" s="1317">
        <f t="shared" si="2880"/>
        <v>0</v>
      </c>
      <c r="CL926" s="1317">
        <f t="shared" si="2880"/>
        <v>0</v>
      </c>
      <c r="CM926" s="1316">
        <f t="shared" si="2880"/>
        <v>0</v>
      </c>
      <c r="CN926" s="538" t="str">
        <f t="shared" si="2855"/>
        <v/>
      </c>
      <c r="CO926" s="539" t="str">
        <f t="shared" si="2856"/>
        <v/>
      </c>
      <c r="CP926" s="539" t="str">
        <f t="shared" si="2857"/>
        <v/>
      </c>
      <c r="CQ926" s="539">
        <f t="shared" si="2858"/>
        <v>0</v>
      </c>
      <c r="CR926" s="539">
        <f t="shared" si="2859"/>
        <v>0</v>
      </c>
      <c r="CS926" s="539">
        <f t="shared" si="2860"/>
        <v>1000</v>
      </c>
      <c r="CT926" s="540">
        <f t="shared" si="2861"/>
        <v>1000</v>
      </c>
      <c r="CU926" s="540">
        <f t="shared" si="2862"/>
        <v>2000</v>
      </c>
      <c r="CV926" s="540">
        <f t="shared" si="2863"/>
        <v>2000</v>
      </c>
      <c r="CW926" s="539">
        <f t="shared" si="2864"/>
        <v>3000</v>
      </c>
      <c r="CX926" s="539">
        <f t="shared" si="2865"/>
        <v>3600</v>
      </c>
      <c r="CY926" s="539">
        <f t="shared" si="2866"/>
        <v>5700</v>
      </c>
      <c r="CZ926" s="539">
        <f t="shared" si="2867"/>
        <v>8400</v>
      </c>
      <c r="DA926" s="539" t="str">
        <f t="shared" si="2868"/>
        <v/>
      </c>
      <c r="DB926" s="538" t="str">
        <f t="shared" si="2869"/>
        <v/>
      </c>
      <c r="DC926" s="537" t="str">
        <f t="shared" si="2870"/>
        <v/>
      </c>
      <c r="DD926" s="641">
        <f t="shared" si="2871"/>
        <v>10</v>
      </c>
      <c r="DE926" s="95">
        <f t="shared" si="2872"/>
        <v>10</v>
      </c>
      <c r="DF926" s="95">
        <f t="shared" si="2873"/>
        <v>10</v>
      </c>
      <c r="DG926" s="95">
        <f t="shared" si="2874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901">SUM(B210)</f>
        <v>0</v>
      </c>
      <c r="C927" s="784">
        <f t="shared" si="2901"/>
        <v>0</v>
      </c>
      <c r="D927" s="784">
        <f t="shared" si="2901"/>
        <v>0</v>
      </c>
      <c r="E927" s="784">
        <f t="shared" si="2901"/>
        <v>0</v>
      </c>
      <c r="F927" s="784">
        <f t="shared" si="2901"/>
        <v>0</v>
      </c>
      <c r="G927" s="784">
        <f t="shared" si="2901"/>
        <v>0</v>
      </c>
      <c r="H927" s="784">
        <f t="shared" si="2901"/>
        <v>0</v>
      </c>
      <c r="I927" s="784">
        <f t="shared" si="2901"/>
        <v>0</v>
      </c>
      <c r="J927" s="784">
        <f t="shared" si="2901"/>
        <v>0</v>
      </c>
      <c r="K927" s="784">
        <f t="shared" si="2901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902">SUM(T210)</f>
        <v>0</v>
      </c>
      <c r="U927" s="784">
        <f t="shared" si="2902"/>
        <v>0</v>
      </c>
      <c r="V927" s="784">
        <f t="shared" si="2902"/>
        <v>0</v>
      </c>
      <c r="W927" s="784">
        <f t="shared" si="2902"/>
        <v>0</v>
      </c>
      <c r="X927" s="784">
        <f t="shared" si="2902"/>
        <v>0</v>
      </c>
      <c r="Y927" s="784">
        <f t="shared" si="2902"/>
        <v>0</v>
      </c>
      <c r="Z927" s="784">
        <f t="shared" si="2902"/>
        <v>0</v>
      </c>
      <c r="AA927" s="784">
        <f t="shared" si="2902"/>
        <v>0</v>
      </c>
      <c r="AB927" s="784">
        <f t="shared" si="2902"/>
        <v>0</v>
      </c>
      <c r="AC927" s="784">
        <f t="shared" si="2902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903">SUM(AL210)</f>
        <v>0</v>
      </c>
      <c r="AM927" s="784">
        <f t="shared" si="2903"/>
        <v>0</v>
      </c>
      <c r="AN927" s="784">
        <f t="shared" si="2903"/>
        <v>0</v>
      </c>
      <c r="AO927" s="784">
        <f t="shared" si="2903"/>
        <v>0</v>
      </c>
      <c r="AP927" s="784">
        <f t="shared" si="2903"/>
        <v>0</v>
      </c>
      <c r="AQ927" s="784">
        <f t="shared" si="2903"/>
        <v>0</v>
      </c>
      <c r="AR927" s="784">
        <f t="shared" si="2903"/>
        <v>0</v>
      </c>
      <c r="AS927" s="784">
        <f t="shared" si="2903"/>
        <v>0</v>
      </c>
      <c r="AT927" s="784">
        <f t="shared" si="2903"/>
        <v>0</v>
      </c>
      <c r="AU927" s="784">
        <f t="shared" si="2903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904">SUM(BD210)</f>
        <v>0</v>
      </c>
      <c r="BE927" s="784">
        <f t="shared" si="2904"/>
        <v>0</v>
      </c>
      <c r="BF927" s="784">
        <f t="shared" si="2904"/>
        <v>0</v>
      </c>
      <c r="BG927" s="784">
        <f t="shared" si="2904"/>
        <v>0</v>
      </c>
      <c r="BH927" s="784">
        <f t="shared" si="2904"/>
        <v>0</v>
      </c>
      <c r="BI927" s="784">
        <f t="shared" si="2904"/>
        <v>0</v>
      </c>
      <c r="BJ927" s="784">
        <f t="shared" si="2904"/>
        <v>0</v>
      </c>
      <c r="BK927" s="784">
        <f t="shared" si="2904"/>
        <v>0</v>
      </c>
      <c r="BL927" s="784">
        <f t="shared" si="2904"/>
        <v>0</v>
      </c>
      <c r="BM927" s="784">
        <f t="shared" si="2904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50"/>
        <v>0</v>
      </c>
      <c r="CA927" s="586">
        <f t="shared" si="2851"/>
        <v>0</v>
      </c>
      <c r="CB927" s="586">
        <f t="shared" si="2852"/>
        <v>0</v>
      </c>
      <c r="CC927" s="586">
        <f t="shared" si="2853"/>
        <v>0</v>
      </c>
      <c r="CD927" s="1316">
        <f t="shared" si="2879"/>
        <v>0</v>
      </c>
      <c r="CE927" s="1317">
        <f t="shared" si="2880"/>
        <v>0</v>
      </c>
      <c r="CF927" s="1317">
        <f t="shared" si="2880"/>
        <v>0</v>
      </c>
      <c r="CG927" s="1317">
        <f t="shared" si="2880"/>
        <v>0</v>
      </c>
      <c r="CH927" s="1318">
        <f t="shared" si="2880"/>
        <v>0</v>
      </c>
      <c r="CI927" s="1318">
        <f t="shared" si="2880"/>
        <v>0</v>
      </c>
      <c r="CJ927" s="1317">
        <f t="shared" si="2880"/>
        <v>0</v>
      </c>
      <c r="CK927" s="1317">
        <f t="shared" si="2880"/>
        <v>0</v>
      </c>
      <c r="CL927" s="1317">
        <f t="shared" si="2880"/>
        <v>0</v>
      </c>
      <c r="CM927" s="1316">
        <f t="shared" si="2880"/>
        <v>0</v>
      </c>
      <c r="CN927" s="538" t="str">
        <f t="shared" si="2855"/>
        <v/>
      </c>
      <c r="CO927" s="539" t="str">
        <f t="shared" si="2856"/>
        <v/>
      </c>
      <c r="CP927" s="539" t="str">
        <f t="shared" si="2857"/>
        <v/>
      </c>
      <c r="CQ927" s="539">
        <f t="shared" si="2858"/>
        <v>0</v>
      </c>
      <c r="CR927" s="539">
        <f t="shared" si="2859"/>
        <v>0</v>
      </c>
      <c r="CS927" s="539">
        <f t="shared" si="2860"/>
        <v>0</v>
      </c>
      <c r="CT927" s="540">
        <f t="shared" si="2861"/>
        <v>0</v>
      </c>
      <c r="CU927" s="540">
        <f t="shared" si="2862"/>
        <v>0</v>
      </c>
      <c r="CV927" s="540">
        <f t="shared" si="2863"/>
        <v>0</v>
      </c>
      <c r="CW927" s="539">
        <f t="shared" si="2864"/>
        <v>0</v>
      </c>
      <c r="CX927" s="539">
        <f t="shared" si="2865"/>
        <v>0</v>
      </c>
      <c r="CY927" s="539">
        <f t="shared" si="2866"/>
        <v>0</v>
      </c>
      <c r="CZ927" s="539">
        <f t="shared" si="2867"/>
        <v>0</v>
      </c>
      <c r="DA927" s="539" t="str">
        <f t="shared" si="2868"/>
        <v/>
      </c>
      <c r="DB927" s="538" t="str">
        <f t="shared" si="2869"/>
        <v/>
      </c>
      <c r="DC927" s="537" t="str">
        <f t="shared" si="2870"/>
        <v/>
      </c>
      <c r="DD927" s="641">
        <f t="shared" si="2871"/>
        <v>10</v>
      </c>
      <c r="DE927" s="95">
        <f t="shared" si="2872"/>
        <v>10</v>
      </c>
      <c r="DF927" s="95">
        <f t="shared" si="2873"/>
        <v>10</v>
      </c>
      <c r="DG927" s="95">
        <f t="shared" si="2874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905">SUM(B213)</f>
        <v>0</v>
      </c>
      <c r="C928" s="784">
        <f t="shared" si="2905"/>
        <v>0</v>
      </c>
      <c r="D928" s="784">
        <f t="shared" si="2905"/>
        <v>0</v>
      </c>
      <c r="E928" s="784">
        <f t="shared" si="2905"/>
        <v>0</v>
      </c>
      <c r="F928" s="784">
        <f t="shared" si="2905"/>
        <v>0</v>
      </c>
      <c r="G928" s="784">
        <f t="shared" si="2905"/>
        <v>0</v>
      </c>
      <c r="H928" s="784">
        <f t="shared" si="2905"/>
        <v>0</v>
      </c>
      <c r="I928" s="784">
        <f t="shared" si="2905"/>
        <v>0</v>
      </c>
      <c r="J928" s="784">
        <f t="shared" si="2905"/>
        <v>0</v>
      </c>
      <c r="K928" s="784">
        <f t="shared" si="2905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906">SUM(T213)</f>
        <v>0</v>
      </c>
      <c r="U928" s="784">
        <f t="shared" si="2906"/>
        <v>0</v>
      </c>
      <c r="V928" s="784">
        <f t="shared" si="2906"/>
        <v>0</v>
      </c>
      <c r="W928" s="784">
        <f t="shared" si="2906"/>
        <v>0</v>
      </c>
      <c r="X928" s="784">
        <f t="shared" si="2906"/>
        <v>0</v>
      </c>
      <c r="Y928" s="784">
        <f t="shared" si="2906"/>
        <v>0</v>
      </c>
      <c r="Z928" s="784">
        <f t="shared" si="2906"/>
        <v>0</v>
      </c>
      <c r="AA928" s="784">
        <f t="shared" si="2906"/>
        <v>0</v>
      </c>
      <c r="AB928" s="784">
        <f t="shared" si="2906"/>
        <v>0</v>
      </c>
      <c r="AC928" s="784">
        <f t="shared" si="2906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907">SUM(AL213)</f>
        <v>0</v>
      </c>
      <c r="AM928" s="784">
        <f t="shared" si="2907"/>
        <v>0</v>
      </c>
      <c r="AN928" s="784">
        <f t="shared" si="2907"/>
        <v>0</v>
      </c>
      <c r="AO928" s="784">
        <f t="shared" si="2907"/>
        <v>0</v>
      </c>
      <c r="AP928" s="784">
        <f t="shared" si="2907"/>
        <v>0</v>
      </c>
      <c r="AQ928" s="784">
        <f t="shared" si="2907"/>
        <v>0</v>
      </c>
      <c r="AR928" s="784">
        <f t="shared" si="2907"/>
        <v>0</v>
      </c>
      <c r="AS928" s="784">
        <f t="shared" si="2907"/>
        <v>0</v>
      </c>
      <c r="AT928" s="784">
        <f t="shared" si="2907"/>
        <v>0</v>
      </c>
      <c r="AU928" s="784">
        <f t="shared" si="2907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908">SUM(BD213)</f>
        <v>0</v>
      </c>
      <c r="BE928" s="784">
        <f t="shared" si="2908"/>
        <v>0</v>
      </c>
      <c r="BF928" s="784">
        <f t="shared" si="2908"/>
        <v>0</v>
      </c>
      <c r="BG928" s="784">
        <f t="shared" si="2908"/>
        <v>1900</v>
      </c>
      <c r="BH928" s="784">
        <f t="shared" si="2908"/>
        <v>0</v>
      </c>
      <c r="BI928" s="784">
        <f t="shared" si="2908"/>
        <v>0</v>
      </c>
      <c r="BJ928" s="784">
        <f t="shared" si="2908"/>
        <v>0</v>
      </c>
      <c r="BK928" s="784">
        <f t="shared" si="2908"/>
        <v>0</v>
      </c>
      <c r="BL928" s="784">
        <f t="shared" si="2908"/>
        <v>0</v>
      </c>
      <c r="BM928" s="784">
        <f t="shared" si="2908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50"/>
        <v>0</v>
      </c>
      <c r="CA928" s="586">
        <f t="shared" si="2851"/>
        <v>0</v>
      </c>
      <c r="CB928" s="586">
        <f t="shared" si="2852"/>
        <v>0</v>
      </c>
      <c r="CC928" s="586">
        <f t="shared" si="2853"/>
        <v>0</v>
      </c>
      <c r="CD928" s="1316">
        <f t="shared" si="2879"/>
        <v>0</v>
      </c>
      <c r="CE928" s="1317">
        <f t="shared" si="2880"/>
        <v>0</v>
      </c>
      <c r="CF928" s="1317">
        <f t="shared" si="2880"/>
        <v>0</v>
      </c>
      <c r="CG928" s="1317">
        <f t="shared" si="2880"/>
        <v>0</v>
      </c>
      <c r="CH928" s="1318">
        <f t="shared" si="2880"/>
        <v>0</v>
      </c>
      <c r="CI928" s="1318">
        <f t="shared" si="2880"/>
        <v>0</v>
      </c>
      <c r="CJ928" s="1317">
        <f t="shared" si="2880"/>
        <v>0</v>
      </c>
      <c r="CK928" s="1317">
        <f t="shared" si="2880"/>
        <v>0</v>
      </c>
      <c r="CL928" s="1317">
        <f t="shared" si="2880"/>
        <v>0</v>
      </c>
      <c r="CM928" s="1316">
        <f t="shared" si="2880"/>
        <v>0</v>
      </c>
      <c r="CN928" s="538" t="str">
        <f t="shared" si="2855"/>
        <v/>
      </c>
      <c r="CO928" s="539" t="str">
        <f t="shared" si="2856"/>
        <v/>
      </c>
      <c r="CP928" s="539" t="str">
        <f t="shared" si="2857"/>
        <v/>
      </c>
      <c r="CQ928" s="539">
        <f t="shared" si="2858"/>
        <v>0</v>
      </c>
      <c r="CR928" s="539">
        <f t="shared" si="2859"/>
        <v>0</v>
      </c>
      <c r="CS928" s="539">
        <f t="shared" si="2860"/>
        <v>0</v>
      </c>
      <c r="CT928" s="540">
        <f t="shared" si="2861"/>
        <v>0</v>
      </c>
      <c r="CU928" s="540">
        <f t="shared" si="2862"/>
        <v>0</v>
      </c>
      <c r="CV928" s="540">
        <f t="shared" si="2863"/>
        <v>0</v>
      </c>
      <c r="CW928" s="539">
        <f t="shared" si="2864"/>
        <v>0</v>
      </c>
      <c r="CX928" s="539">
        <f t="shared" si="2865"/>
        <v>0</v>
      </c>
      <c r="CY928" s="539">
        <f t="shared" si="2866"/>
        <v>0</v>
      </c>
      <c r="CZ928" s="539">
        <f t="shared" si="2867"/>
        <v>1900</v>
      </c>
      <c r="DA928" s="539" t="str">
        <f t="shared" si="2868"/>
        <v/>
      </c>
      <c r="DB928" s="538" t="str">
        <f t="shared" si="2869"/>
        <v/>
      </c>
      <c r="DC928" s="537" t="str">
        <f t="shared" si="2870"/>
        <v/>
      </c>
      <c r="DD928" s="641">
        <f t="shared" si="2871"/>
        <v>10</v>
      </c>
      <c r="DE928" s="95">
        <f t="shared" si="2872"/>
        <v>10</v>
      </c>
      <c r="DF928" s="95">
        <f t="shared" si="2873"/>
        <v>10</v>
      </c>
      <c r="DG928" s="95">
        <f t="shared" si="2874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909">SUM(B217)</f>
        <v>0</v>
      </c>
      <c r="C929" s="784">
        <f t="shared" si="2909"/>
        <v>0</v>
      </c>
      <c r="D929" s="784">
        <f t="shared" si="2909"/>
        <v>0</v>
      </c>
      <c r="E929" s="784">
        <f t="shared" si="2909"/>
        <v>0</v>
      </c>
      <c r="F929" s="784">
        <f t="shared" si="2909"/>
        <v>0</v>
      </c>
      <c r="G929" s="784">
        <f t="shared" si="2909"/>
        <v>0</v>
      </c>
      <c r="H929" s="784">
        <f t="shared" si="2909"/>
        <v>0</v>
      </c>
      <c r="I929" s="784">
        <f t="shared" si="2909"/>
        <v>0</v>
      </c>
      <c r="J929" s="784">
        <f t="shared" si="2909"/>
        <v>0</v>
      </c>
      <c r="K929" s="784">
        <f t="shared" si="2909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910">SUM(T217)</f>
        <v>0</v>
      </c>
      <c r="U929" s="784">
        <f t="shared" si="2910"/>
        <v>0</v>
      </c>
      <c r="V929" s="784">
        <f t="shared" si="2910"/>
        <v>0</v>
      </c>
      <c r="W929" s="784">
        <f t="shared" si="2910"/>
        <v>0</v>
      </c>
      <c r="X929" s="784">
        <f t="shared" si="2910"/>
        <v>0</v>
      </c>
      <c r="Y929" s="784">
        <f t="shared" si="2910"/>
        <v>0</v>
      </c>
      <c r="Z929" s="784">
        <f t="shared" si="2910"/>
        <v>0</v>
      </c>
      <c r="AA929" s="784">
        <f t="shared" si="2910"/>
        <v>0</v>
      </c>
      <c r="AB929" s="784">
        <f t="shared" si="2910"/>
        <v>0</v>
      </c>
      <c r="AC929" s="784">
        <f t="shared" si="2910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911">SUM(AL217)</f>
        <v>0</v>
      </c>
      <c r="AM929" s="784">
        <f t="shared" si="2911"/>
        <v>0</v>
      </c>
      <c r="AN929" s="784">
        <f t="shared" si="2911"/>
        <v>0</v>
      </c>
      <c r="AO929" s="784">
        <f t="shared" si="2911"/>
        <v>0</v>
      </c>
      <c r="AP929" s="784">
        <f t="shared" si="2911"/>
        <v>0</v>
      </c>
      <c r="AQ929" s="784">
        <f t="shared" si="2911"/>
        <v>0</v>
      </c>
      <c r="AR929" s="784">
        <f t="shared" si="2911"/>
        <v>0</v>
      </c>
      <c r="AS929" s="784">
        <f t="shared" si="2911"/>
        <v>0</v>
      </c>
      <c r="AT929" s="784">
        <f t="shared" si="2911"/>
        <v>0</v>
      </c>
      <c r="AU929" s="784">
        <f t="shared" si="2911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912">SUM(BD217)</f>
        <v>650</v>
      </c>
      <c r="BE929" s="784">
        <f t="shared" si="2912"/>
        <v>550</v>
      </c>
      <c r="BF929" s="784">
        <f t="shared" si="2912"/>
        <v>0</v>
      </c>
      <c r="BG929" s="784">
        <f t="shared" si="2912"/>
        <v>600</v>
      </c>
      <c r="BH929" s="784">
        <f t="shared" si="2912"/>
        <v>0</v>
      </c>
      <c r="BI929" s="784">
        <f t="shared" si="2912"/>
        <v>500</v>
      </c>
      <c r="BJ929" s="784">
        <f t="shared" si="2912"/>
        <v>0</v>
      </c>
      <c r="BK929" s="784">
        <f t="shared" si="2912"/>
        <v>0</v>
      </c>
      <c r="BL929" s="784">
        <f t="shared" si="2912"/>
        <v>500</v>
      </c>
      <c r="BM929" s="784">
        <f t="shared" si="2912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50"/>
        <v>0</v>
      </c>
      <c r="CA929" s="586">
        <f t="shared" si="2851"/>
        <v>0</v>
      </c>
      <c r="CB929" s="586">
        <f t="shared" si="2852"/>
        <v>0</v>
      </c>
      <c r="CC929" s="586">
        <f t="shared" si="2853"/>
        <v>350</v>
      </c>
      <c r="CD929" s="1316">
        <f t="shared" si="2879"/>
        <v>0</v>
      </c>
      <c r="CE929" s="1317">
        <f t="shared" si="2880"/>
        <v>0</v>
      </c>
      <c r="CF929" s="1317">
        <f t="shared" si="2880"/>
        <v>0</v>
      </c>
      <c r="CG929" s="1317">
        <f t="shared" si="2880"/>
        <v>0</v>
      </c>
      <c r="CH929" s="1318">
        <f t="shared" si="2880"/>
        <v>0</v>
      </c>
      <c r="CI929" s="1318">
        <f t="shared" si="2880"/>
        <v>0</v>
      </c>
      <c r="CJ929" s="1317">
        <f t="shared" si="2880"/>
        <v>0</v>
      </c>
      <c r="CK929" s="1317">
        <f t="shared" si="2880"/>
        <v>0</v>
      </c>
      <c r="CL929" s="1317">
        <f t="shared" si="2880"/>
        <v>0</v>
      </c>
      <c r="CM929" s="1316">
        <f t="shared" si="2880"/>
        <v>0</v>
      </c>
      <c r="CN929" s="538" t="str">
        <f t="shared" si="2855"/>
        <v/>
      </c>
      <c r="CO929" s="539" t="str">
        <f t="shared" si="2856"/>
        <v/>
      </c>
      <c r="CP929" s="539" t="str">
        <f t="shared" si="2857"/>
        <v/>
      </c>
      <c r="CQ929" s="539">
        <f t="shared" si="2858"/>
        <v>0</v>
      </c>
      <c r="CR929" s="539">
        <f t="shared" si="2859"/>
        <v>0</v>
      </c>
      <c r="CS929" s="539">
        <f t="shared" si="2860"/>
        <v>0</v>
      </c>
      <c r="CT929" s="540">
        <f t="shared" si="2861"/>
        <v>0</v>
      </c>
      <c r="CU929" s="540">
        <f t="shared" si="2862"/>
        <v>500</v>
      </c>
      <c r="CV929" s="540">
        <f t="shared" si="2863"/>
        <v>500</v>
      </c>
      <c r="CW929" s="539">
        <f t="shared" si="2864"/>
        <v>550</v>
      </c>
      <c r="CX929" s="539">
        <f t="shared" si="2865"/>
        <v>600</v>
      </c>
      <c r="CY929" s="539">
        <f t="shared" si="2866"/>
        <v>650</v>
      </c>
      <c r="CZ929" s="539">
        <f t="shared" si="2867"/>
        <v>1250</v>
      </c>
      <c r="DA929" s="539" t="str">
        <f t="shared" si="2868"/>
        <v/>
      </c>
      <c r="DB929" s="538" t="str">
        <f t="shared" si="2869"/>
        <v/>
      </c>
      <c r="DC929" s="537" t="str">
        <f t="shared" si="2870"/>
        <v/>
      </c>
      <c r="DD929" s="641">
        <f t="shared" si="2871"/>
        <v>10</v>
      </c>
      <c r="DE929" s="95">
        <f t="shared" si="2872"/>
        <v>10</v>
      </c>
      <c r="DF929" s="95">
        <f t="shared" si="2873"/>
        <v>10</v>
      </c>
      <c r="DG929" s="95">
        <f t="shared" si="2874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2"/>
      <c r="CE930" s="1322"/>
      <c r="CF930" s="1322"/>
      <c r="CG930" s="1322"/>
      <c r="CH930" s="1322"/>
      <c r="CI930" s="1322"/>
      <c r="CJ930" s="1322"/>
      <c r="CK930" s="1322"/>
      <c r="CL930" s="1322"/>
      <c r="CM930" s="1322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913">SUM(B236)</f>
        <v>0</v>
      </c>
      <c r="C931" s="784">
        <f t="shared" si="2913"/>
        <v>0</v>
      </c>
      <c r="D931" s="784">
        <f t="shared" si="2913"/>
        <v>0</v>
      </c>
      <c r="E931" s="784">
        <f t="shared" si="2913"/>
        <v>0</v>
      </c>
      <c r="F931" s="784">
        <f t="shared" si="2913"/>
        <v>0</v>
      </c>
      <c r="G931" s="784">
        <f t="shared" si="2913"/>
        <v>0</v>
      </c>
      <c r="H931" s="784">
        <f t="shared" si="2913"/>
        <v>0</v>
      </c>
      <c r="I931" s="784">
        <f t="shared" si="2913"/>
        <v>0</v>
      </c>
      <c r="J931" s="784">
        <f t="shared" si="2913"/>
        <v>0</v>
      </c>
      <c r="K931" s="784">
        <f t="shared" si="2913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914">SUM(T236)</f>
        <v>0</v>
      </c>
      <c r="U931" s="784">
        <f t="shared" si="2914"/>
        <v>0</v>
      </c>
      <c r="V931" s="784">
        <f t="shared" si="2914"/>
        <v>0</v>
      </c>
      <c r="W931" s="784">
        <f t="shared" si="2914"/>
        <v>0</v>
      </c>
      <c r="X931" s="784">
        <f t="shared" si="2914"/>
        <v>0</v>
      </c>
      <c r="Y931" s="784">
        <f t="shared" si="2914"/>
        <v>0</v>
      </c>
      <c r="Z931" s="784">
        <f t="shared" si="2914"/>
        <v>0</v>
      </c>
      <c r="AA931" s="784">
        <f t="shared" si="2914"/>
        <v>0</v>
      </c>
      <c r="AB931" s="784">
        <f t="shared" si="2914"/>
        <v>0</v>
      </c>
      <c r="AC931" s="784">
        <f t="shared" si="2914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915">SUM(AL236)</f>
        <v>0</v>
      </c>
      <c r="AM931" s="784">
        <f t="shared" si="2915"/>
        <v>0</v>
      </c>
      <c r="AN931" s="784">
        <f t="shared" si="2915"/>
        <v>0</v>
      </c>
      <c r="AO931" s="784">
        <f t="shared" si="2915"/>
        <v>0</v>
      </c>
      <c r="AP931" s="784">
        <f t="shared" si="2915"/>
        <v>0</v>
      </c>
      <c r="AQ931" s="784">
        <f t="shared" si="2915"/>
        <v>0</v>
      </c>
      <c r="AR931" s="784">
        <f t="shared" si="2915"/>
        <v>0</v>
      </c>
      <c r="AS931" s="784">
        <f t="shared" si="2915"/>
        <v>0</v>
      </c>
      <c r="AT931" s="784">
        <f t="shared" si="2915"/>
        <v>0</v>
      </c>
      <c r="AU931" s="784">
        <f t="shared" si="2915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916">SUM(BD236)</f>
        <v>0</v>
      </c>
      <c r="BE931" s="784">
        <f t="shared" si="2916"/>
        <v>0</v>
      </c>
      <c r="BF931" s="784">
        <f t="shared" si="2916"/>
        <v>0</v>
      </c>
      <c r="BG931" s="784">
        <f t="shared" si="2916"/>
        <v>0</v>
      </c>
      <c r="BH931" s="784">
        <f t="shared" si="2916"/>
        <v>0</v>
      </c>
      <c r="BI931" s="784">
        <f t="shared" si="2916"/>
        <v>0</v>
      </c>
      <c r="BJ931" s="784">
        <f t="shared" si="2916"/>
        <v>0</v>
      </c>
      <c r="BK931" s="784">
        <f t="shared" si="2916"/>
        <v>0</v>
      </c>
      <c r="BL931" s="784">
        <f t="shared" si="2916"/>
        <v>0</v>
      </c>
      <c r="BM931" s="784">
        <f t="shared" si="2916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917">IF(DD931&lt;3,"",(SUM(B931:R931)-MIN(B931:R931)-MAX(B931:R931))/(DD931-2))</f>
        <v>0</v>
      </c>
      <c r="CA931" s="586">
        <f t="shared" ref="CA931:CA960" si="2918">IF(DE931&lt;3,"",(SUM(T931:AJ931)-MIN(T931:AJ931)-MAX(T931:AJ931))/(DE931-2))</f>
        <v>0</v>
      </c>
      <c r="CB931" s="586">
        <f t="shared" ref="CB931:CB960" si="2919">IF(DF931&lt;3,"",(SUM(AL931:BB931)-MIN(AL931:BB931)-MAX(AL931:BB931))/(DF931-2))</f>
        <v>0</v>
      </c>
      <c r="CC931" s="586">
        <f t="shared" ref="CC931:CC960" si="2920">IF(DG931&lt;3,"",(SUM(BD931:BT931)-MIN(BD931:BT931)-MAX(BD931:BT931))/(DG931-2))</f>
        <v>0</v>
      </c>
      <c r="CD931" s="1316">
        <f t="shared" ref="CD931:CM931" si="29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7">
        <f t="shared" si="2921"/>
        <v>0</v>
      </c>
      <c r="CF931" s="1317">
        <f t="shared" si="2921"/>
        <v>0</v>
      </c>
      <c r="CG931" s="1317">
        <f t="shared" si="2921"/>
        <v>0</v>
      </c>
      <c r="CH931" s="1318">
        <f t="shared" si="2921"/>
        <v>0</v>
      </c>
      <c r="CI931" s="1318">
        <f t="shared" si="2921"/>
        <v>0</v>
      </c>
      <c r="CJ931" s="1317">
        <f t="shared" si="2921"/>
        <v>0</v>
      </c>
      <c r="CK931" s="1317">
        <f t="shared" si="2921"/>
        <v>0</v>
      </c>
      <c r="CL931" s="1317">
        <f t="shared" si="2921"/>
        <v>0</v>
      </c>
      <c r="CM931" s="1316">
        <f t="shared" si="2921"/>
        <v>0</v>
      </c>
      <c r="CN931" s="538" t="str">
        <f t="shared" ref="CN931:CN960" si="292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92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92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92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92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92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92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92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3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3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3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3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3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3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3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3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38">COUNT(B931:R931)</f>
        <v>10</v>
      </c>
      <c r="DE931" s="95">
        <f t="shared" ref="DE931:DE960" si="2939">COUNT(T931:AJ931)</f>
        <v>10</v>
      </c>
      <c r="DF931" s="95">
        <f t="shared" ref="DF931:DF960" si="2940">COUNT(AL931:BB931)</f>
        <v>10</v>
      </c>
      <c r="DG931" s="95">
        <f t="shared" ref="DG931:DG960" si="2941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42">SUM(B241)</f>
        <v>0</v>
      </c>
      <c r="C932" s="784">
        <f t="shared" si="2942"/>
        <v>0</v>
      </c>
      <c r="D932" s="784">
        <f t="shared" si="2942"/>
        <v>900</v>
      </c>
      <c r="E932" s="784">
        <f t="shared" si="2942"/>
        <v>0</v>
      </c>
      <c r="F932" s="784">
        <f t="shared" si="2942"/>
        <v>500</v>
      </c>
      <c r="G932" s="784">
        <f t="shared" si="2942"/>
        <v>0</v>
      </c>
      <c r="H932" s="784">
        <f t="shared" si="2942"/>
        <v>0</v>
      </c>
      <c r="I932" s="784">
        <f t="shared" si="2942"/>
        <v>0</v>
      </c>
      <c r="J932" s="784">
        <f t="shared" si="2942"/>
        <v>0</v>
      </c>
      <c r="K932" s="784">
        <f t="shared" si="2942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43">SUM(T241)</f>
        <v>70</v>
      </c>
      <c r="U932" s="784">
        <f t="shared" si="2943"/>
        <v>0</v>
      </c>
      <c r="V932" s="784">
        <f t="shared" si="2943"/>
        <v>0</v>
      </c>
      <c r="W932" s="784">
        <f t="shared" si="2943"/>
        <v>0</v>
      </c>
      <c r="X932" s="784">
        <f t="shared" si="2943"/>
        <v>0</v>
      </c>
      <c r="Y932" s="784">
        <f t="shared" si="2943"/>
        <v>0</v>
      </c>
      <c r="Z932" s="784">
        <f t="shared" si="2943"/>
        <v>0</v>
      </c>
      <c r="AA932" s="784">
        <f t="shared" si="2943"/>
        <v>0</v>
      </c>
      <c r="AB932" s="784">
        <f t="shared" si="2943"/>
        <v>0</v>
      </c>
      <c r="AC932" s="784">
        <f t="shared" si="2943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44">SUM(AL241)</f>
        <v>1050</v>
      </c>
      <c r="AM932" s="784">
        <f t="shared" si="2944"/>
        <v>0</v>
      </c>
      <c r="AN932" s="784">
        <f t="shared" si="2944"/>
        <v>0</v>
      </c>
      <c r="AO932" s="784">
        <f t="shared" si="2944"/>
        <v>0</v>
      </c>
      <c r="AP932" s="784">
        <f t="shared" si="2944"/>
        <v>0</v>
      </c>
      <c r="AQ932" s="784">
        <f t="shared" si="2944"/>
        <v>3600</v>
      </c>
      <c r="AR932" s="784">
        <f t="shared" si="2944"/>
        <v>450</v>
      </c>
      <c r="AS932" s="784">
        <f t="shared" si="2944"/>
        <v>0</v>
      </c>
      <c r="AT932" s="784">
        <f t="shared" si="2944"/>
        <v>400</v>
      </c>
      <c r="AU932" s="784">
        <f t="shared" si="2944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45">SUM(BD241)</f>
        <v>1500</v>
      </c>
      <c r="BE932" s="784">
        <f t="shared" si="2945"/>
        <v>0</v>
      </c>
      <c r="BF932" s="784">
        <f t="shared" si="2945"/>
        <v>0</v>
      </c>
      <c r="BG932" s="784">
        <f t="shared" si="2945"/>
        <v>0</v>
      </c>
      <c r="BH932" s="784">
        <f t="shared" si="2945"/>
        <v>480</v>
      </c>
      <c r="BI932" s="784">
        <f t="shared" si="2945"/>
        <v>2000</v>
      </c>
      <c r="BJ932" s="784">
        <f t="shared" si="2945"/>
        <v>0</v>
      </c>
      <c r="BK932" s="784">
        <f t="shared" si="2945"/>
        <v>3500</v>
      </c>
      <c r="BL932" s="784">
        <f t="shared" si="2945"/>
        <v>750</v>
      </c>
      <c r="BM932" s="784">
        <f t="shared" si="2945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500</v>
      </c>
      <c r="BY932" s="784">
        <f>SUM(BY241)</f>
        <v>655</v>
      </c>
      <c r="BZ932" s="586">
        <f t="shared" si="2917"/>
        <v>62.5</v>
      </c>
      <c r="CA932" s="586">
        <f t="shared" si="2918"/>
        <v>0</v>
      </c>
      <c r="CB932" s="586">
        <f t="shared" si="2919"/>
        <v>425</v>
      </c>
      <c r="CC932" s="586">
        <f t="shared" si="2920"/>
        <v>606.25</v>
      </c>
      <c r="CD932" s="1316">
        <f t="shared" ref="CD932:CD960" si="294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7">
        <f t="shared" ref="CE932:CM947" si="294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7">
        <f t="shared" si="2947"/>
        <v>0</v>
      </c>
      <c r="CG932" s="1317">
        <f t="shared" si="2947"/>
        <v>0</v>
      </c>
      <c r="CH932" s="1318">
        <f t="shared" si="2947"/>
        <v>0</v>
      </c>
      <c r="CI932" s="1318">
        <f t="shared" si="2947"/>
        <v>400</v>
      </c>
      <c r="CJ932" s="1317">
        <f t="shared" si="2947"/>
        <v>450</v>
      </c>
      <c r="CK932" s="1317">
        <f t="shared" si="2947"/>
        <v>1050</v>
      </c>
      <c r="CL932" s="1317">
        <f t="shared" si="2947"/>
        <v>1500</v>
      </c>
      <c r="CM932" s="1316">
        <f t="shared" si="2947"/>
        <v>3600</v>
      </c>
      <c r="CN932" s="538" t="str">
        <f t="shared" si="2922"/>
        <v/>
      </c>
      <c r="CO932" s="539" t="str">
        <f t="shared" si="2923"/>
        <v/>
      </c>
      <c r="CP932" s="539" t="str">
        <f t="shared" si="2924"/>
        <v/>
      </c>
      <c r="CQ932" s="539">
        <f t="shared" si="2925"/>
        <v>0</v>
      </c>
      <c r="CR932" s="539">
        <f t="shared" si="2926"/>
        <v>0</v>
      </c>
      <c r="CS932" s="539">
        <f t="shared" si="2927"/>
        <v>0</v>
      </c>
      <c r="CT932" s="540">
        <f t="shared" si="2928"/>
        <v>0</v>
      </c>
      <c r="CU932" s="540">
        <f t="shared" si="2929"/>
        <v>120</v>
      </c>
      <c r="CV932" s="540">
        <f t="shared" si="2930"/>
        <v>480</v>
      </c>
      <c r="CW932" s="539">
        <f t="shared" si="2931"/>
        <v>750</v>
      </c>
      <c r="CX932" s="539">
        <f t="shared" si="2932"/>
        <v>1500</v>
      </c>
      <c r="CY932" s="539">
        <f t="shared" si="2933"/>
        <v>2000</v>
      </c>
      <c r="CZ932" s="539">
        <f t="shared" si="2934"/>
        <v>3500</v>
      </c>
      <c r="DA932" s="539" t="str">
        <f t="shared" si="2935"/>
        <v/>
      </c>
      <c r="DB932" s="538" t="str">
        <f t="shared" si="2936"/>
        <v/>
      </c>
      <c r="DC932" s="537" t="str">
        <f t="shared" si="2937"/>
        <v/>
      </c>
      <c r="DD932" s="641">
        <f t="shared" si="2938"/>
        <v>10</v>
      </c>
      <c r="DE932" s="95">
        <f t="shared" si="2939"/>
        <v>10</v>
      </c>
      <c r="DF932" s="95">
        <f t="shared" si="2940"/>
        <v>10</v>
      </c>
      <c r="DG932" s="95">
        <f t="shared" si="2941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48">SUM(B248)</f>
        <v>0</v>
      </c>
      <c r="C933" s="784">
        <f t="shared" si="2948"/>
        <v>0</v>
      </c>
      <c r="D933" s="784">
        <f t="shared" si="2948"/>
        <v>0</v>
      </c>
      <c r="E933" s="784">
        <f t="shared" si="2948"/>
        <v>0</v>
      </c>
      <c r="F933" s="784">
        <f t="shared" si="2948"/>
        <v>0</v>
      </c>
      <c r="G933" s="784">
        <f t="shared" si="2948"/>
        <v>0</v>
      </c>
      <c r="H933" s="784">
        <f t="shared" si="2948"/>
        <v>0</v>
      </c>
      <c r="I933" s="784">
        <f t="shared" si="2948"/>
        <v>0</v>
      </c>
      <c r="J933" s="784">
        <f t="shared" si="2948"/>
        <v>0</v>
      </c>
      <c r="K933" s="784">
        <f t="shared" si="2948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49">SUM(T248)</f>
        <v>0</v>
      </c>
      <c r="U933" s="784">
        <f t="shared" si="2949"/>
        <v>0</v>
      </c>
      <c r="V933" s="784">
        <f t="shared" si="2949"/>
        <v>0</v>
      </c>
      <c r="W933" s="784">
        <f t="shared" si="2949"/>
        <v>0</v>
      </c>
      <c r="X933" s="784">
        <f t="shared" si="2949"/>
        <v>0</v>
      </c>
      <c r="Y933" s="784">
        <f t="shared" si="2949"/>
        <v>0</v>
      </c>
      <c r="Z933" s="784">
        <f t="shared" si="2949"/>
        <v>0</v>
      </c>
      <c r="AA933" s="784">
        <f t="shared" si="2949"/>
        <v>0</v>
      </c>
      <c r="AB933" s="784">
        <f t="shared" si="2949"/>
        <v>0</v>
      </c>
      <c r="AC933" s="784">
        <f t="shared" si="2949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50">SUM(AL248)</f>
        <v>0</v>
      </c>
      <c r="AM933" s="784">
        <f t="shared" si="2950"/>
        <v>0</v>
      </c>
      <c r="AN933" s="784">
        <f t="shared" si="2950"/>
        <v>0</v>
      </c>
      <c r="AO933" s="784">
        <f t="shared" si="2950"/>
        <v>0</v>
      </c>
      <c r="AP933" s="784">
        <f t="shared" si="2950"/>
        <v>0</v>
      </c>
      <c r="AQ933" s="784">
        <f t="shared" si="2950"/>
        <v>0</v>
      </c>
      <c r="AR933" s="784">
        <f t="shared" si="2950"/>
        <v>150</v>
      </c>
      <c r="AS933" s="784">
        <f t="shared" si="2950"/>
        <v>0</v>
      </c>
      <c r="AT933" s="784">
        <f t="shared" si="2950"/>
        <v>0</v>
      </c>
      <c r="AU933" s="784">
        <f t="shared" si="2950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51">SUM(BD248)</f>
        <v>0</v>
      </c>
      <c r="BE933" s="784">
        <f t="shared" si="2951"/>
        <v>0</v>
      </c>
      <c r="BF933" s="784">
        <f t="shared" si="2951"/>
        <v>0</v>
      </c>
      <c r="BG933" s="784">
        <f t="shared" si="2951"/>
        <v>0</v>
      </c>
      <c r="BH933" s="784">
        <f t="shared" si="2951"/>
        <v>0</v>
      </c>
      <c r="BI933" s="784">
        <f t="shared" si="2951"/>
        <v>0</v>
      </c>
      <c r="BJ933" s="784">
        <f t="shared" si="2951"/>
        <v>0</v>
      </c>
      <c r="BK933" s="784">
        <f t="shared" si="2951"/>
        <v>0</v>
      </c>
      <c r="BL933" s="784">
        <f t="shared" si="2951"/>
        <v>0</v>
      </c>
      <c r="BM933" s="784">
        <f t="shared" si="2951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917"/>
        <v>0</v>
      </c>
      <c r="CA933" s="586">
        <f t="shared" si="2918"/>
        <v>0</v>
      </c>
      <c r="CB933" s="586">
        <f t="shared" si="2919"/>
        <v>0</v>
      </c>
      <c r="CC933" s="586">
        <f t="shared" si="2920"/>
        <v>0</v>
      </c>
      <c r="CD933" s="1316">
        <f t="shared" si="2946"/>
        <v>0</v>
      </c>
      <c r="CE933" s="1317">
        <f t="shared" si="2947"/>
        <v>0</v>
      </c>
      <c r="CF933" s="1317">
        <f t="shared" si="2947"/>
        <v>0</v>
      </c>
      <c r="CG933" s="1317">
        <f t="shared" si="2947"/>
        <v>0</v>
      </c>
      <c r="CH933" s="1318">
        <f t="shared" si="2947"/>
        <v>0</v>
      </c>
      <c r="CI933" s="1318">
        <f t="shared" si="2947"/>
        <v>0</v>
      </c>
      <c r="CJ933" s="1317">
        <f t="shared" si="2947"/>
        <v>0</v>
      </c>
      <c r="CK933" s="1317">
        <f t="shared" si="2947"/>
        <v>0</v>
      </c>
      <c r="CL933" s="1317">
        <f t="shared" si="2947"/>
        <v>0</v>
      </c>
      <c r="CM933" s="1316">
        <f t="shared" si="2947"/>
        <v>150</v>
      </c>
      <c r="CN933" s="538" t="str">
        <f t="shared" si="2922"/>
        <v/>
      </c>
      <c r="CO933" s="539" t="str">
        <f t="shared" si="2923"/>
        <v/>
      </c>
      <c r="CP933" s="539" t="str">
        <f t="shared" si="2924"/>
        <v/>
      </c>
      <c r="CQ933" s="539">
        <f t="shared" si="2925"/>
        <v>0</v>
      </c>
      <c r="CR933" s="539">
        <f t="shared" si="2926"/>
        <v>0</v>
      </c>
      <c r="CS933" s="539">
        <f t="shared" si="2927"/>
        <v>0</v>
      </c>
      <c r="CT933" s="540">
        <f t="shared" si="2928"/>
        <v>0</v>
      </c>
      <c r="CU933" s="540">
        <f t="shared" si="2929"/>
        <v>0</v>
      </c>
      <c r="CV933" s="540">
        <f t="shared" si="2930"/>
        <v>0</v>
      </c>
      <c r="CW933" s="539">
        <f t="shared" si="2931"/>
        <v>0</v>
      </c>
      <c r="CX933" s="539">
        <f t="shared" si="2932"/>
        <v>0</v>
      </c>
      <c r="CY933" s="539">
        <f t="shared" si="2933"/>
        <v>0</v>
      </c>
      <c r="CZ933" s="539">
        <f t="shared" si="2934"/>
        <v>0</v>
      </c>
      <c r="DA933" s="539" t="str">
        <f t="shared" si="2935"/>
        <v/>
      </c>
      <c r="DB933" s="538" t="str">
        <f t="shared" si="2936"/>
        <v/>
      </c>
      <c r="DC933" s="537" t="str">
        <f t="shared" si="2937"/>
        <v/>
      </c>
      <c r="DD933" s="641">
        <f t="shared" si="2938"/>
        <v>10</v>
      </c>
      <c r="DE933" s="95">
        <f t="shared" si="2939"/>
        <v>10</v>
      </c>
      <c r="DF933" s="95">
        <f t="shared" si="2940"/>
        <v>10</v>
      </c>
      <c r="DG933" s="95">
        <f t="shared" si="2941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52">SUM(B255)</f>
        <v>0</v>
      </c>
      <c r="C934" s="784">
        <f t="shared" si="2952"/>
        <v>0</v>
      </c>
      <c r="D934" s="784">
        <f t="shared" si="2952"/>
        <v>0</v>
      </c>
      <c r="E934" s="784">
        <f t="shared" si="2952"/>
        <v>0</v>
      </c>
      <c r="F934" s="784">
        <f t="shared" si="2952"/>
        <v>0</v>
      </c>
      <c r="G934" s="784">
        <f t="shared" si="2952"/>
        <v>0</v>
      </c>
      <c r="H934" s="784">
        <f t="shared" si="2952"/>
        <v>0</v>
      </c>
      <c r="I934" s="784">
        <f t="shared" si="2952"/>
        <v>0</v>
      </c>
      <c r="J934" s="784">
        <f t="shared" si="2952"/>
        <v>0</v>
      </c>
      <c r="K934" s="784">
        <f t="shared" si="2952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53">SUM(T255)</f>
        <v>0</v>
      </c>
      <c r="U934" s="784">
        <f t="shared" si="2953"/>
        <v>0</v>
      </c>
      <c r="V934" s="784">
        <f t="shared" si="2953"/>
        <v>0</v>
      </c>
      <c r="W934" s="784">
        <f t="shared" si="2953"/>
        <v>0</v>
      </c>
      <c r="X934" s="784">
        <f t="shared" si="2953"/>
        <v>0</v>
      </c>
      <c r="Y934" s="784">
        <f t="shared" si="2953"/>
        <v>0</v>
      </c>
      <c r="Z934" s="784">
        <f t="shared" si="2953"/>
        <v>0</v>
      </c>
      <c r="AA934" s="784">
        <f t="shared" si="2953"/>
        <v>0</v>
      </c>
      <c r="AB934" s="784">
        <f t="shared" si="2953"/>
        <v>0</v>
      </c>
      <c r="AC934" s="784">
        <f t="shared" si="2953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54">SUM(AL255)</f>
        <v>0</v>
      </c>
      <c r="AM934" s="784">
        <f t="shared" si="2954"/>
        <v>0</v>
      </c>
      <c r="AN934" s="784">
        <f t="shared" si="2954"/>
        <v>0</v>
      </c>
      <c r="AO934" s="784">
        <f t="shared" si="2954"/>
        <v>0</v>
      </c>
      <c r="AP934" s="784">
        <f t="shared" si="2954"/>
        <v>0</v>
      </c>
      <c r="AQ934" s="784">
        <f t="shared" si="2954"/>
        <v>0</v>
      </c>
      <c r="AR934" s="784">
        <f t="shared" si="2954"/>
        <v>0</v>
      </c>
      <c r="AS934" s="784">
        <f t="shared" si="2954"/>
        <v>0</v>
      </c>
      <c r="AT934" s="784">
        <f t="shared" si="2954"/>
        <v>0</v>
      </c>
      <c r="AU934" s="784">
        <f t="shared" si="2954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55">SUM(BD255)</f>
        <v>0</v>
      </c>
      <c r="BE934" s="784">
        <f t="shared" si="2955"/>
        <v>0</v>
      </c>
      <c r="BF934" s="784">
        <f t="shared" si="2955"/>
        <v>0</v>
      </c>
      <c r="BG934" s="784">
        <f t="shared" si="2955"/>
        <v>0</v>
      </c>
      <c r="BH934" s="784">
        <f t="shared" si="2955"/>
        <v>0</v>
      </c>
      <c r="BI934" s="784">
        <f t="shared" si="2955"/>
        <v>0</v>
      </c>
      <c r="BJ934" s="784">
        <f t="shared" si="2955"/>
        <v>0</v>
      </c>
      <c r="BK934" s="784">
        <f t="shared" si="2955"/>
        <v>0</v>
      </c>
      <c r="BL934" s="784">
        <f t="shared" si="2955"/>
        <v>0</v>
      </c>
      <c r="BM934" s="784">
        <f t="shared" si="2955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917"/>
        <v>0</v>
      </c>
      <c r="CA934" s="586">
        <f t="shared" si="2918"/>
        <v>0</v>
      </c>
      <c r="CB934" s="586">
        <f t="shared" si="2919"/>
        <v>0</v>
      </c>
      <c r="CC934" s="586">
        <f t="shared" si="2920"/>
        <v>0</v>
      </c>
      <c r="CD934" s="1316">
        <f t="shared" si="2946"/>
        <v>0</v>
      </c>
      <c r="CE934" s="1317">
        <f t="shared" si="2947"/>
        <v>0</v>
      </c>
      <c r="CF934" s="1317">
        <f t="shared" si="2947"/>
        <v>0</v>
      </c>
      <c r="CG934" s="1317">
        <f t="shared" si="2947"/>
        <v>0</v>
      </c>
      <c r="CH934" s="1318">
        <f t="shared" si="2947"/>
        <v>0</v>
      </c>
      <c r="CI934" s="1318">
        <f t="shared" si="2947"/>
        <v>0</v>
      </c>
      <c r="CJ934" s="1317">
        <f t="shared" si="2947"/>
        <v>0</v>
      </c>
      <c r="CK934" s="1317">
        <f t="shared" si="2947"/>
        <v>0</v>
      </c>
      <c r="CL934" s="1317">
        <f t="shared" si="2947"/>
        <v>0</v>
      </c>
      <c r="CM934" s="1316">
        <f t="shared" si="2947"/>
        <v>0</v>
      </c>
      <c r="CN934" s="538" t="str">
        <f t="shared" si="2922"/>
        <v/>
      </c>
      <c r="CO934" s="539" t="str">
        <f t="shared" si="2923"/>
        <v/>
      </c>
      <c r="CP934" s="539" t="str">
        <f t="shared" si="2924"/>
        <v/>
      </c>
      <c r="CQ934" s="539">
        <f t="shared" si="2925"/>
        <v>0</v>
      </c>
      <c r="CR934" s="539">
        <f t="shared" si="2926"/>
        <v>0</v>
      </c>
      <c r="CS934" s="539">
        <f t="shared" si="2927"/>
        <v>0</v>
      </c>
      <c r="CT934" s="540">
        <f t="shared" si="2928"/>
        <v>0</v>
      </c>
      <c r="CU934" s="540">
        <f t="shared" si="2929"/>
        <v>0</v>
      </c>
      <c r="CV934" s="540">
        <f t="shared" si="2930"/>
        <v>0</v>
      </c>
      <c r="CW934" s="539">
        <f t="shared" si="2931"/>
        <v>0</v>
      </c>
      <c r="CX934" s="539">
        <f t="shared" si="2932"/>
        <v>0</v>
      </c>
      <c r="CY934" s="539">
        <f t="shared" si="2933"/>
        <v>0</v>
      </c>
      <c r="CZ934" s="539">
        <f t="shared" si="2934"/>
        <v>0</v>
      </c>
      <c r="DA934" s="539" t="str">
        <f t="shared" si="2935"/>
        <v/>
      </c>
      <c r="DB934" s="538" t="str">
        <f t="shared" si="2936"/>
        <v/>
      </c>
      <c r="DC934" s="537" t="str">
        <f t="shared" si="2937"/>
        <v/>
      </c>
      <c r="DD934" s="641">
        <f t="shared" si="2938"/>
        <v>10</v>
      </c>
      <c r="DE934" s="95">
        <f t="shared" si="2939"/>
        <v>10</v>
      </c>
      <c r="DF934" s="95">
        <f t="shared" si="2940"/>
        <v>10</v>
      </c>
      <c r="DG934" s="95">
        <f t="shared" si="2941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56">SUM(B262)</f>
        <v>0</v>
      </c>
      <c r="C935" s="784">
        <f t="shared" si="2956"/>
        <v>0</v>
      </c>
      <c r="D935" s="784">
        <f t="shared" si="2956"/>
        <v>0</v>
      </c>
      <c r="E935" s="784">
        <f t="shared" si="2956"/>
        <v>0</v>
      </c>
      <c r="F935" s="784">
        <f t="shared" si="2956"/>
        <v>0</v>
      </c>
      <c r="G935" s="784">
        <f t="shared" si="2956"/>
        <v>0</v>
      </c>
      <c r="H935" s="784">
        <f t="shared" si="2956"/>
        <v>0</v>
      </c>
      <c r="I935" s="784">
        <f t="shared" si="2956"/>
        <v>0</v>
      </c>
      <c r="J935" s="784">
        <f t="shared" si="2956"/>
        <v>0</v>
      </c>
      <c r="K935" s="784">
        <f t="shared" si="2956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57">SUM(T262)</f>
        <v>0</v>
      </c>
      <c r="U935" s="784">
        <f t="shared" si="2957"/>
        <v>0</v>
      </c>
      <c r="V935" s="784">
        <f t="shared" si="2957"/>
        <v>0</v>
      </c>
      <c r="W935" s="784">
        <f t="shared" si="2957"/>
        <v>0</v>
      </c>
      <c r="X935" s="784">
        <f t="shared" si="2957"/>
        <v>0</v>
      </c>
      <c r="Y935" s="784">
        <f t="shared" si="2957"/>
        <v>0</v>
      </c>
      <c r="Z935" s="784">
        <f t="shared" si="2957"/>
        <v>0</v>
      </c>
      <c r="AA935" s="784">
        <f t="shared" si="2957"/>
        <v>0</v>
      </c>
      <c r="AB935" s="784">
        <f t="shared" si="2957"/>
        <v>0</v>
      </c>
      <c r="AC935" s="784">
        <f t="shared" si="2957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58">SUM(AL262)</f>
        <v>0</v>
      </c>
      <c r="AM935" s="784">
        <f t="shared" si="2958"/>
        <v>0</v>
      </c>
      <c r="AN935" s="784">
        <f t="shared" si="2958"/>
        <v>0</v>
      </c>
      <c r="AO935" s="784">
        <f t="shared" si="2958"/>
        <v>0</v>
      </c>
      <c r="AP935" s="784">
        <f t="shared" si="2958"/>
        <v>0</v>
      </c>
      <c r="AQ935" s="784">
        <f t="shared" si="2958"/>
        <v>0</v>
      </c>
      <c r="AR935" s="784">
        <f t="shared" si="2958"/>
        <v>0</v>
      </c>
      <c r="AS935" s="784">
        <f t="shared" si="2958"/>
        <v>0</v>
      </c>
      <c r="AT935" s="784">
        <f t="shared" si="2958"/>
        <v>0</v>
      </c>
      <c r="AU935" s="784">
        <f t="shared" si="2958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59">SUM(BD262)</f>
        <v>0</v>
      </c>
      <c r="BE935" s="784">
        <f t="shared" si="2959"/>
        <v>0</v>
      </c>
      <c r="BF935" s="784">
        <f t="shared" si="2959"/>
        <v>0</v>
      </c>
      <c r="BG935" s="784">
        <f t="shared" si="2959"/>
        <v>0</v>
      </c>
      <c r="BH935" s="784">
        <f t="shared" si="2959"/>
        <v>0</v>
      </c>
      <c r="BI935" s="784">
        <f t="shared" si="2959"/>
        <v>0</v>
      </c>
      <c r="BJ935" s="784">
        <f t="shared" si="2959"/>
        <v>0</v>
      </c>
      <c r="BK935" s="784">
        <f t="shared" si="2959"/>
        <v>0</v>
      </c>
      <c r="BL935" s="784">
        <f t="shared" si="2959"/>
        <v>0</v>
      </c>
      <c r="BM935" s="784">
        <f t="shared" si="2959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917"/>
        <v>0</v>
      </c>
      <c r="CA935" s="586">
        <f t="shared" si="2918"/>
        <v>0</v>
      </c>
      <c r="CB935" s="586">
        <f t="shared" si="2919"/>
        <v>0</v>
      </c>
      <c r="CC935" s="586">
        <f t="shared" si="2920"/>
        <v>0</v>
      </c>
      <c r="CD935" s="1316">
        <f t="shared" si="2946"/>
        <v>0</v>
      </c>
      <c r="CE935" s="1317">
        <f t="shared" si="2947"/>
        <v>0</v>
      </c>
      <c r="CF935" s="1317">
        <f t="shared" si="2947"/>
        <v>0</v>
      </c>
      <c r="CG935" s="1317">
        <f t="shared" si="2947"/>
        <v>0</v>
      </c>
      <c r="CH935" s="1318">
        <f t="shared" si="2947"/>
        <v>0</v>
      </c>
      <c r="CI935" s="1318">
        <f t="shared" si="2947"/>
        <v>0</v>
      </c>
      <c r="CJ935" s="1317">
        <f t="shared" si="2947"/>
        <v>0</v>
      </c>
      <c r="CK935" s="1317">
        <f t="shared" si="2947"/>
        <v>0</v>
      </c>
      <c r="CL935" s="1317">
        <f t="shared" si="2947"/>
        <v>0</v>
      </c>
      <c r="CM935" s="1316">
        <f t="shared" si="2947"/>
        <v>0</v>
      </c>
      <c r="CN935" s="538" t="str">
        <f t="shared" si="2922"/>
        <v/>
      </c>
      <c r="CO935" s="539" t="str">
        <f t="shared" si="2923"/>
        <v/>
      </c>
      <c r="CP935" s="539" t="str">
        <f t="shared" si="2924"/>
        <v/>
      </c>
      <c r="CQ935" s="539">
        <f t="shared" si="2925"/>
        <v>0</v>
      </c>
      <c r="CR935" s="539">
        <f t="shared" si="2926"/>
        <v>0</v>
      </c>
      <c r="CS935" s="539">
        <f t="shared" si="2927"/>
        <v>0</v>
      </c>
      <c r="CT935" s="540">
        <f t="shared" si="2928"/>
        <v>0</v>
      </c>
      <c r="CU935" s="540">
        <f t="shared" si="2929"/>
        <v>0</v>
      </c>
      <c r="CV935" s="540">
        <f t="shared" si="2930"/>
        <v>0</v>
      </c>
      <c r="CW935" s="539">
        <f t="shared" si="2931"/>
        <v>0</v>
      </c>
      <c r="CX935" s="539">
        <f t="shared" si="2932"/>
        <v>0</v>
      </c>
      <c r="CY935" s="539">
        <f t="shared" si="2933"/>
        <v>0</v>
      </c>
      <c r="CZ935" s="539">
        <f t="shared" si="2934"/>
        <v>0</v>
      </c>
      <c r="DA935" s="539" t="str">
        <f t="shared" si="2935"/>
        <v/>
      </c>
      <c r="DB935" s="538" t="str">
        <f t="shared" si="2936"/>
        <v/>
      </c>
      <c r="DC935" s="537" t="str">
        <f t="shared" si="2937"/>
        <v/>
      </c>
      <c r="DD935" s="641">
        <f t="shared" si="2938"/>
        <v>10</v>
      </c>
      <c r="DE935" s="95">
        <f t="shared" si="2939"/>
        <v>10</v>
      </c>
      <c r="DF935" s="95">
        <f t="shared" si="2940"/>
        <v>10</v>
      </c>
      <c r="DG935" s="95">
        <f t="shared" si="2941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60">SUM(B269)</f>
        <v>0</v>
      </c>
      <c r="C936" s="784">
        <f t="shared" si="2960"/>
        <v>0</v>
      </c>
      <c r="D936" s="784">
        <f t="shared" si="2960"/>
        <v>800</v>
      </c>
      <c r="E936" s="784">
        <f t="shared" si="2960"/>
        <v>0</v>
      </c>
      <c r="F936" s="784">
        <f t="shared" si="2960"/>
        <v>0</v>
      </c>
      <c r="G936" s="784">
        <f t="shared" si="2960"/>
        <v>0</v>
      </c>
      <c r="H936" s="784">
        <f t="shared" si="2960"/>
        <v>0</v>
      </c>
      <c r="I936" s="784">
        <f t="shared" si="2960"/>
        <v>0</v>
      </c>
      <c r="J936" s="784">
        <f t="shared" si="2960"/>
        <v>0</v>
      </c>
      <c r="K936" s="784">
        <f t="shared" si="2960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61">SUM(T269)</f>
        <v>140</v>
      </c>
      <c r="U936" s="784">
        <f t="shared" si="2961"/>
        <v>0</v>
      </c>
      <c r="V936" s="784">
        <f t="shared" si="2961"/>
        <v>0</v>
      </c>
      <c r="W936" s="784">
        <f t="shared" si="2961"/>
        <v>0</v>
      </c>
      <c r="X936" s="784">
        <f t="shared" si="2961"/>
        <v>0</v>
      </c>
      <c r="Y936" s="784">
        <f t="shared" si="2961"/>
        <v>0</v>
      </c>
      <c r="Z936" s="784">
        <f t="shared" si="2961"/>
        <v>0</v>
      </c>
      <c r="AA936" s="784">
        <f t="shared" si="2961"/>
        <v>0</v>
      </c>
      <c r="AB936" s="784">
        <f t="shared" si="2961"/>
        <v>0</v>
      </c>
      <c r="AC936" s="784">
        <f t="shared" si="2961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62">SUM(AL269)</f>
        <v>0</v>
      </c>
      <c r="AM936" s="784">
        <f t="shared" si="2962"/>
        <v>0</v>
      </c>
      <c r="AN936" s="784">
        <f t="shared" si="2962"/>
        <v>0</v>
      </c>
      <c r="AO936" s="784">
        <f t="shared" si="2962"/>
        <v>0</v>
      </c>
      <c r="AP936" s="784">
        <f t="shared" si="2962"/>
        <v>0</v>
      </c>
      <c r="AQ936" s="784">
        <f t="shared" si="2962"/>
        <v>0</v>
      </c>
      <c r="AR936" s="784">
        <f t="shared" si="2962"/>
        <v>0</v>
      </c>
      <c r="AS936" s="784">
        <f t="shared" si="2962"/>
        <v>0</v>
      </c>
      <c r="AT936" s="784">
        <f t="shared" si="2962"/>
        <v>0</v>
      </c>
      <c r="AU936" s="784">
        <f t="shared" si="2962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63">SUM(BD269)</f>
        <v>0</v>
      </c>
      <c r="BE936" s="784">
        <f t="shared" si="2963"/>
        <v>0</v>
      </c>
      <c r="BF936" s="784">
        <f t="shared" si="2963"/>
        <v>200</v>
      </c>
      <c r="BG936" s="784">
        <f t="shared" si="2963"/>
        <v>0</v>
      </c>
      <c r="BH936" s="784">
        <f t="shared" si="2963"/>
        <v>0</v>
      </c>
      <c r="BI936" s="784">
        <f t="shared" si="2963"/>
        <v>0</v>
      </c>
      <c r="BJ936" s="784">
        <f t="shared" si="2963"/>
        <v>0</v>
      </c>
      <c r="BK936" s="784">
        <f t="shared" si="2963"/>
        <v>0</v>
      </c>
      <c r="BL936" s="784">
        <f t="shared" si="2963"/>
        <v>0</v>
      </c>
      <c r="BM936" s="784">
        <f t="shared" si="2963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917"/>
        <v>0</v>
      </c>
      <c r="CA936" s="586">
        <f t="shared" si="2918"/>
        <v>0</v>
      </c>
      <c r="CB936" s="586">
        <f t="shared" si="2919"/>
        <v>0</v>
      </c>
      <c r="CC936" s="586">
        <f t="shared" si="2920"/>
        <v>0</v>
      </c>
      <c r="CD936" s="1316">
        <f t="shared" si="2946"/>
        <v>0</v>
      </c>
      <c r="CE936" s="1317">
        <f t="shared" si="2947"/>
        <v>0</v>
      </c>
      <c r="CF936" s="1317">
        <f t="shared" si="2947"/>
        <v>0</v>
      </c>
      <c r="CG936" s="1317">
        <f t="shared" si="2947"/>
        <v>0</v>
      </c>
      <c r="CH936" s="1318">
        <f t="shared" si="2947"/>
        <v>0</v>
      </c>
      <c r="CI936" s="1318">
        <f t="shared" si="2947"/>
        <v>0</v>
      </c>
      <c r="CJ936" s="1317">
        <f t="shared" si="2947"/>
        <v>0</v>
      </c>
      <c r="CK936" s="1317">
        <f t="shared" si="2947"/>
        <v>0</v>
      </c>
      <c r="CL936" s="1317">
        <f t="shared" si="2947"/>
        <v>0</v>
      </c>
      <c r="CM936" s="1316">
        <f t="shared" si="2947"/>
        <v>0</v>
      </c>
      <c r="CN936" s="538" t="str">
        <f t="shared" si="2922"/>
        <v/>
      </c>
      <c r="CO936" s="539" t="str">
        <f t="shared" si="2923"/>
        <v/>
      </c>
      <c r="CP936" s="539" t="str">
        <f t="shared" si="2924"/>
        <v/>
      </c>
      <c r="CQ936" s="539">
        <f t="shared" si="2925"/>
        <v>0</v>
      </c>
      <c r="CR936" s="539">
        <f t="shared" si="2926"/>
        <v>0</v>
      </c>
      <c r="CS936" s="539">
        <f t="shared" si="2927"/>
        <v>0</v>
      </c>
      <c r="CT936" s="540">
        <f t="shared" si="2928"/>
        <v>0</v>
      </c>
      <c r="CU936" s="540">
        <f t="shared" si="2929"/>
        <v>0</v>
      </c>
      <c r="CV936" s="540">
        <f t="shared" si="2930"/>
        <v>0</v>
      </c>
      <c r="CW936" s="539">
        <f t="shared" si="2931"/>
        <v>0</v>
      </c>
      <c r="CX936" s="539">
        <f t="shared" si="2932"/>
        <v>0</v>
      </c>
      <c r="CY936" s="539">
        <f t="shared" si="2933"/>
        <v>0</v>
      </c>
      <c r="CZ936" s="539">
        <f t="shared" si="2934"/>
        <v>200</v>
      </c>
      <c r="DA936" s="539" t="str">
        <f t="shared" si="2935"/>
        <v/>
      </c>
      <c r="DB936" s="538" t="str">
        <f t="shared" si="2936"/>
        <v/>
      </c>
      <c r="DC936" s="537" t="str">
        <f t="shared" si="2937"/>
        <v/>
      </c>
      <c r="DD936" s="641">
        <f t="shared" si="2938"/>
        <v>10</v>
      </c>
      <c r="DE936" s="95">
        <f t="shared" si="2939"/>
        <v>10</v>
      </c>
      <c r="DF936" s="95">
        <f t="shared" si="2940"/>
        <v>10</v>
      </c>
      <c r="DG936" s="95">
        <f t="shared" si="2941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64">SUM(B276)</f>
        <v>0</v>
      </c>
      <c r="C937" s="784">
        <f t="shared" si="2964"/>
        <v>0</v>
      </c>
      <c r="D937" s="784">
        <f t="shared" si="2964"/>
        <v>0</v>
      </c>
      <c r="E937" s="784">
        <f t="shared" si="2964"/>
        <v>0</v>
      </c>
      <c r="F937" s="784">
        <f t="shared" si="2964"/>
        <v>0</v>
      </c>
      <c r="G937" s="784">
        <f t="shared" si="2964"/>
        <v>0</v>
      </c>
      <c r="H937" s="784">
        <f t="shared" si="2964"/>
        <v>0</v>
      </c>
      <c r="I937" s="784">
        <f t="shared" si="2964"/>
        <v>0</v>
      </c>
      <c r="J937" s="784">
        <f t="shared" si="2964"/>
        <v>0</v>
      </c>
      <c r="K937" s="784">
        <f t="shared" si="2964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65">SUM(T276)</f>
        <v>100.5</v>
      </c>
      <c r="U937" s="784">
        <f t="shared" si="2965"/>
        <v>0</v>
      </c>
      <c r="V937" s="784">
        <f t="shared" si="2965"/>
        <v>0</v>
      </c>
      <c r="W937" s="784">
        <f t="shared" si="2965"/>
        <v>0</v>
      </c>
      <c r="X937" s="784">
        <f t="shared" si="2965"/>
        <v>0</v>
      </c>
      <c r="Y937" s="784">
        <f t="shared" si="2965"/>
        <v>0</v>
      </c>
      <c r="Z937" s="784">
        <f t="shared" si="2965"/>
        <v>0</v>
      </c>
      <c r="AA937" s="784">
        <f t="shared" si="2965"/>
        <v>0</v>
      </c>
      <c r="AB937" s="784">
        <f t="shared" si="2965"/>
        <v>1000</v>
      </c>
      <c r="AC937" s="784">
        <f t="shared" si="2965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66">SUM(AL276)</f>
        <v>1050</v>
      </c>
      <c r="AM937" s="784">
        <f t="shared" si="2966"/>
        <v>0</v>
      </c>
      <c r="AN937" s="784">
        <f t="shared" si="2966"/>
        <v>0</v>
      </c>
      <c r="AO937" s="784">
        <f t="shared" si="2966"/>
        <v>0</v>
      </c>
      <c r="AP937" s="784">
        <f t="shared" si="2966"/>
        <v>0</v>
      </c>
      <c r="AQ937" s="784">
        <f t="shared" si="2966"/>
        <v>2200</v>
      </c>
      <c r="AR937" s="784">
        <f t="shared" si="2966"/>
        <v>1000</v>
      </c>
      <c r="AS937" s="784">
        <f t="shared" si="2966"/>
        <v>0</v>
      </c>
      <c r="AT937" s="784">
        <f t="shared" si="2966"/>
        <v>3300</v>
      </c>
      <c r="AU937" s="784">
        <f t="shared" si="2966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67">SUM(BD276)</f>
        <v>0</v>
      </c>
      <c r="BE937" s="784">
        <f t="shared" si="2967"/>
        <v>0</v>
      </c>
      <c r="BF937" s="784">
        <f t="shared" si="2967"/>
        <v>0</v>
      </c>
      <c r="BG937" s="784">
        <f t="shared" si="2967"/>
        <v>0</v>
      </c>
      <c r="BH937" s="784">
        <f t="shared" si="2967"/>
        <v>1500</v>
      </c>
      <c r="BI937" s="784">
        <f t="shared" si="2967"/>
        <v>3000</v>
      </c>
      <c r="BJ937" s="784">
        <f t="shared" si="2967"/>
        <v>0</v>
      </c>
      <c r="BK937" s="784">
        <f t="shared" si="2967"/>
        <v>6000</v>
      </c>
      <c r="BL937" s="784">
        <f t="shared" si="2967"/>
        <v>0</v>
      </c>
      <c r="BM937" s="784">
        <f t="shared" si="2967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917"/>
        <v>0</v>
      </c>
      <c r="CA937" s="586">
        <f t="shared" si="2918"/>
        <v>137.5625</v>
      </c>
      <c r="CB937" s="586">
        <f t="shared" si="2919"/>
        <v>943.75</v>
      </c>
      <c r="CC937" s="586">
        <f t="shared" si="2920"/>
        <v>687.5</v>
      </c>
      <c r="CD937" s="1316">
        <f t="shared" si="2946"/>
        <v>0</v>
      </c>
      <c r="CE937" s="1317">
        <f t="shared" si="2947"/>
        <v>0</v>
      </c>
      <c r="CF937" s="1317">
        <f t="shared" si="2947"/>
        <v>0</v>
      </c>
      <c r="CG937" s="1317">
        <f t="shared" si="2947"/>
        <v>0</v>
      </c>
      <c r="CH937" s="1318">
        <f t="shared" si="2947"/>
        <v>0</v>
      </c>
      <c r="CI937" s="1318">
        <f t="shared" si="2947"/>
        <v>1000</v>
      </c>
      <c r="CJ937" s="1317">
        <f t="shared" si="2947"/>
        <v>1050</v>
      </c>
      <c r="CK937" s="1317">
        <f t="shared" si="2947"/>
        <v>2200</v>
      </c>
      <c r="CL937" s="1317">
        <f t="shared" si="2947"/>
        <v>3300</v>
      </c>
      <c r="CM937" s="1316">
        <f t="shared" si="2947"/>
        <v>3300</v>
      </c>
      <c r="CN937" s="538" t="str">
        <f t="shared" si="2922"/>
        <v/>
      </c>
      <c r="CO937" s="539" t="str">
        <f t="shared" si="2923"/>
        <v/>
      </c>
      <c r="CP937" s="539" t="str">
        <f t="shared" si="2924"/>
        <v/>
      </c>
      <c r="CQ937" s="539">
        <f t="shared" si="2925"/>
        <v>0</v>
      </c>
      <c r="CR937" s="539">
        <f t="shared" si="2926"/>
        <v>0</v>
      </c>
      <c r="CS937" s="539">
        <f t="shared" si="2927"/>
        <v>0</v>
      </c>
      <c r="CT937" s="540">
        <f t="shared" si="2928"/>
        <v>0</v>
      </c>
      <c r="CU937" s="540">
        <f t="shared" si="2929"/>
        <v>0</v>
      </c>
      <c r="CV937" s="540">
        <f t="shared" si="2930"/>
        <v>0</v>
      </c>
      <c r="CW937" s="539">
        <f t="shared" si="2931"/>
        <v>1000</v>
      </c>
      <c r="CX937" s="539">
        <f t="shared" si="2932"/>
        <v>1500</v>
      </c>
      <c r="CY937" s="539">
        <f t="shared" si="2933"/>
        <v>3000</v>
      </c>
      <c r="CZ937" s="539">
        <f t="shared" si="2934"/>
        <v>6000</v>
      </c>
      <c r="DA937" s="539" t="str">
        <f t="shared" si="2935"/>
        <v/>
      </c>
      <c r="DB937" s="538" t="str">
        <f t="shared" si="2936"/>
        <v/>
      </c>
      <c r="DC937" s="537" t="str">
        <f t="shared" si="2937"/>
        <v/>
      </c>
      <c r="DD937" s="641">
        <f t="shared" si="2938"/>
        <v>10</v>
      </c>
      <c r="DE937" s="95">
        <f t="shared" si="2939"/>
        <v>10</v>
      </c>
      <c r="DF937" s="95">
        <f t="shared" si="2940"/>
        <v>10</v>
      </c>
      <c r="DG937" s="95">
        <f t="shared" si="2941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68">SUM(B283)</f>
        <v>0</v>
      </c>
      <c r="C938" s="784">
        <f t="shared" si="2968"/>
        <v>0</v>
      </c>
      <c r="D938" s="784">
        <f t="shared" si="2968"/>
        <v>0</v>
      </c>
      <c r="E938" s="784">
        <f t="shared" si="2968"/>
        <v>0</v>
      </c>
      <c r="F938" s="784">
        <f t="shared" si="2968"/>
        <v>0</v>
      </c>
      <c r="G938" s="784">
        <f t="shared" si="2968"/>
        <v>0</v>
      </c>
      <c r="H938" s="784">
        <f t="shared" si="2968"/>
        <v>0</v>
      </c>
      <c r="I938" s="784">
        <f t="shared" si="2968"/>
        <v>0</v>
      </c>
      <c r="J938" s="784">
        <f t="shared" si="2968"/>
        <v>0</v>
      </c>
      <c r="K938" s="784">
        <f t="shared" si="2968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69">SUM(T283)</f>
        <v>0</v>
      </c>
      <c r="U938" s="784">
        <f t="shared" si="2969"/>
        <v>0</v>
      </c>
      <c r="V938" s="784">
        <f t="shared" si="2969"/>
        <v>0</v>
      </c>
      <c r="W938" s="784">
        <f t="shared" si="2969"/>
        <v>0</v>
      </c>
      <c r="X938" s="784">
        <f t="shared" si="2969"/>
        <v>0</v>
      </c>
      <c r="Y938" s="784">
        <f t="shared" si="2969"/>
        <v>0</v>
      </c>
      <c r="Z938" s="784">
        <f t="shared" si="2969"/>
        <v>0</v>
      </c>
      <c r="AA938" s="784">
        <f t="shared" si="2969"/>
        <v>0</v>
      </c>
      <c r="AB938" s="784">
        <f t="shared" si="2969"/>
        <v>0</v>
      </c>
      <c r="AC938" s="784">
        <f t="shared" si="2969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70">SUM(AL283)</f>
        <v>0</v>
      </c>
      <c r="AM938" s="784">
        <f t="shared" si="2970"/>
        <v>0</v>
      </c>
      <c r="AN938" s="784">
        <f t="shared" si="2970"/>
        <v>0</v>
      </c>
      <c r="AO938" s="784">
        <f t="shared" si="2970"/>
        <v>0</v>
      </c>
      <c r="AP938" s="784">
        <f t="shared" si="2970"/>
        <v>0</v>
      </c>
      <c r="AQ938" s="784">
        <f t="shared" si="2970"/>
        <v>0</v>
      </c>
      <c r="AR938" s="784">
        <f t="shared" si="2970"/>
        <v>0</v>
      </c>
      <c r="AS938" s="784">
        <f t="shared" si="2970"/>
        <v>0</v>
      </c>
      <c r="AT938" s="784">
        <f t="shared" si="2970"/>
        <v>0</v>
      </c>
      <c r="AU938" s="784">
        <f t="shared" si="2970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71">SUM(BD283)</f>
        <v>0</v>
      </c>
      <c r="BE938" s="784">
        <f t="shared" si="2971"/>
        <v>0</v>
      </c>
      <c r="BF938" s="784">
        <f t="shared" si="2971"/>
        <v>0</v>
      </c>
      <c r="BG938" s="784">
        <f t="shared" si="2971"/>
        <v>0</v>
      </c>
      <c r="BH938" s="784">
        <f t="shared" si="2971"/>
        <v>0</v>
      </c>
      <c r="BI938" s="784">
        <f t="shared" si="2971"/>
        <v>0</v>
      </c>
      <c r="BJ938" s="784">
        <f t="shared" si="2971"/>
        <v>0</v>
      </c>
      <c r="BK938" s="784">
        <f t="shared" si="2971"/>
        <v>0</v>
      </c>
      <c r="BL938" s="784">
        <f t="shared" si="2971"/>
        <v>0</v>
      </c>
      <c r="BM938" s="784">
        <f t="shared" si="2971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917"/>
        <v>0</v>
      </c>
      <c r="CA938" s="586">
        <f t="shared" si="2918"/>
        <v>0</v>
      </c>
      <c r="CB938" s="586">
        <f t="shared" si="2919"/>
        <v>0</v>
      </c>
      <c r="CC938" s="586">
        <f t="shared" si="2920"/>
        <v>0</v>
      </c>
      <c r="CD938" s="1316">
        <f t="shared" si="2946"/>
        <v>0</v>
      </c>
      <c r="CE938" s="1317">
        <f t="shared" si="2947"/>
        <v>0</v>
      </c>
      <c r="CF938" s="1317">
        <f t="shared" si="2947"/>
        <v>0</v>
      </c>
      <c r="CG938" s="1317">
        <f t="shared" si="2947"/>
        <v>0</v>
      </c>
      <c r="CH938" s="1318">
        <f t="shared" si="2947"/>
        <v>0</v>
      </c>
      <c r="CI938" s="1318">
        <f t="shared" si="2947"/>
        <v>0</v>
      </c>
      <c r="CJ938" s="1317">
        <f t="shared" si="2947"/>
        <v>0</v>
      </c>
      <c r="CK938" s="1317">
        <f t="shared" si="2947"/>
        <v>0</v>
      </c>
      <c r="CL938" s="1317">
        <f t="shared" si="2947"/>
        <v>0</v>
      </c>
      <c r="CM938" s="1316">
        <f t="shared" si="2947"/>
        <v>0</v>
      </c>
      <c r="CN938" s="538" t="str">
        <f t="shared" si="2922"/>
        <v/>
      </c>
      <c r="CO938" s="539" t="str">
        <f t="shared" si="2923"/>
        <v/>
      </c>
      <c r="CP938" s="539" t="str">
        <f t="shared" si="2924"/>
        <v/>
      </c>
      <c r="CQ938" s="539">
        <f t="shared" si="2925"/>
        <v>0</v>
      </c>
      <c r="CR938" s="539">
        <f t="shared" si="2926"/>
        <v>0</v>
      </c>
      <c r="CS938" s="539">
        <f t="shared" si="2927"/>
        <v>0</v>
      </c>
      <c r="CT938" s="540">
        <f t="shared" si="2928"/>
        <v>0</v>
      </c>
      <c r="CU938" s="540">
        <f t="shared" si="2929"/>
        <v>0</v>
      </c>
      <c r="CV938" s="540">
        <f t="shared" si="2930"/>
        <v>0</v>
      </c>
      <c r="CW938" s="539">
        <f t="shared" si="2931"/>
        <v>0</v>
      </c>
      <c r="CX938" s="539">
        <f t="shared" si="2932"/>
        <v>0</v>
      </c>
      <c r="CY938" s="539">
        <f t="shared" si="2933"/>
        <v>0</v>
      </c>
      <c r="CZ938" s="539">
        <f t="shared" si="2934"/>
        <v>0</v>
      </c>
      <c r="DA938" s="539" t="str">
        <f t="shared" si="2935"/>
        <v/>
      </c>
      <c r="DB938" s="538" t="str">
        <f t="shared" si="2936"/>
        <v/>
      </c>
      <c r="DC938" s="537" t="str">
        <f t="shared" si="2937"/>
        <v/>
      </c>
      <c r="DD938" s="641">
        <f t="shared" si="2938"/>
        <v>10</v>
      </c>
      <c r="DE938" s="95">
        <f t="shared" si="2939"/>
        <v>10</v>
      </c>
      <c r="DF938" s="95">
        <f t="shared" si="2940"/>
        <v>10</v>
      </c>
      <c r="DG938" s="95">
        <f t="shared" si="2941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72">SUM(B290)</f>
        <v>0</v>
      </c>
      <c r="C939" s="784">
        <f t="shared" si="2972"/>
        <v>0</v>
      </c>
      <c r="D939" s="784">
        <f t="shared" si="2972"/>
        <v>0</v>
      </c>
      <c r="E939" s="784">
        <f t="shared" si="2972"/>
        <v>0</v>
      </c>
      <c r="F939" s="784">
        <f t="shared" si="2972"/>
        <v>0</v>
      </c>
      <c r="G939" s="784">
        <f t="shared" si="2972"/>
        <v>0</v>
      </c>
      <c r="H939" s="784">
        <f t="shared" si="2972"/>
        <v>0</v>
      </c>
      <c r="I939" s="784">
        <f t="shared" si="2972"/>
        <v>0</v>
      </c>
      <c r="J939" s="784">
        <f t="shared" si="2972"/>
        <v>0</v>
      </c>
      <c r="K939" s="784">
        <f t="shared" si="2972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73">SUM(T290)</f>
        <v>0</v>
      </c>
      <c r="U939" s="784">
        <f t="shared" si="2973"/>
        <v>0</v>
      </c>
      <c r="V939" s="784">
        <f t="shared" si="2973"/>
        <v>0</v>
      </c>
      <c r="W939" s="784">
        <f t="shared" si="2973"/>
        <v>0</v>
      </c>
      <c r="X939" s="784">
        <f t="shared" si="2973"/>
        <v>0</v>
      </c>
      <c r="Y939" s="784">
        <f t="shared" si="2973"/>
        <v>0</v>
      </c>
      <c r="Z939" s="784">
        <f t="shared" si="2973"/>
        <v>0</v>
      </c>
      <c r="AA939" s="784">
        <f t="shared" si="2973"/>
        <v>0</v>
      </c>
      <c r="AB939" s="784">
        <f t="shared" si="2973"/>
        <v>0</v>
      </c>
      <c r="AC939" s="784">
        <f t="shared" si="2973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74">SUM(AL290)</f>
        <v>0</v>
      </c>
      <c r="AM939" s="784">
        <f t="shared" si="2974"/>
        <v>0</v>
      </c>
      <c r="AN939" s="784">
        <f t="shared" si="2974"/>
        <v>0</v>
      </c>
      <c r="AO939" s="784">
        <f t="shared" si="2974"/>
        <v>0</v>
      </c>
      <c r="AP939" s="784">
        <f t="shared" si="2974"/>
        <v>0</v>
      </c>
      <c r="AQ939" s="784">
        <f t="shared" si="2974"/>
        <v>0</v>
      </c>
      <c r="AR939" s="784">
        <f t="shared" si="2974"/>
        <v>0</v>
      </c>
      <c r="AS939" s="784">
        <f t="shared" si="2974"/>
        <v>0</v>
      </c>
      <c r="AT939" s="784">
        <f t="shared" si="2974"/>
        <v>0</v>
      </c>
      <c r="AU939" s="784">
        <f t="shared" si="2974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75">SUM(BD290)</f>
        <v>0</v>
      </c>
      <c r="BE939" s="784">
        <f t="shared" si="2975"/>
        <v>0</v>
      </c>
      <c r="BF939" s="784">
        <f t="shared" si="2975"/>
        <v>0</v>
      </c>
      <c r="BG939" s="784">
        <f t="shared" si="2975"/>
        <v>0</v>
      </c>
      <c r="BH939" s="784">
        <f t="shared" si="2975"/>
        <v>0</v>
      </c>
      <c r="BI939" s="784">
        <f t="shared" si="2975"/>
        <v>0</v>
      </c>
      <c r="BJ939" s="784">
        <f t="shared" si="2975"/>
        <v>0</v>
      </c>
      <c r="BK939" s="784">
        <f t="shared" si="2975"/>
        <v>0</v>
      </c>
      <c r="BL939" s="784">
        <f t="shared" si="2975"/>
        <v>0</v>
      </c>
      <c r="BM939" s="784">
        <f t="shared" si="2975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917"/>
        <v>0</v>
      </c>
      <c r="CA939" s="586">
        <f t="shared" si="2918"/>
        <v>0</v>
      </c>
      <c r="CB939" s="586">
        <f t="shared" si="2919"/>
        <v>0</v>
      </c>
      <c r="CC939" s="586">
        <f t="shared" si="2920"/>
        <v>0</v>
      </c>
      <c r="CD939" s="1316">
        <f t="shared" si="2946"/>
        <v>0</v>
      </c>
      <c r="CE939" s="1317">
        <f t="shared" si="2947"/>
        <v>0</v>
      </c>
      <c r="CF939" s="1317">
        <f t="shared" si="2947"/>
        <v>0</v>
      </c>
      <c r="CG939" s="1317">
        <f t="shared" si="2947"/>
        <v>0</v>
      </c>
      <c r="CH939" s="1318">
        <f t="shared" si="2947"/>
        <v>0</v>
      </c>
      <c r="CI939" s="1318">
        <f t="shared" si="2947"/>
        <v>0</v>
      </c>
      <c r="CJ939" s="1317">
        <f t="shared" si="2947"/>
        <v>0</v>
      </c>
      <c r="CK939" s="1317">
        <f t="shared" si="2947"/>
        <v>0</v>
      </c>
      <c r="CL939" s="1317">
        <f t="shared" si="2947"/>
        <v>0</v>
      </c>
      <c r="CM939" s="1316">
        <f t="shared" si="2947"/>
        <v>0</v>
      </c>
      <c r="CN939" s="538" t="str">
        <f t="shared" si="2922"/>
        <v/>
      </c>
      <c r="CO939" s="539" t="str">
        <f t="shared" si="2923"/>
        <v/>
      </c>
      <c r="CP939" s="539" t="str">
        <f t="shared" si="2924"/>
        <v/>
      </c>
      <c r="CQ939" s="539">
        <f t="shared" si="2925"/>
        <v>0</v>
      </c>
      <c r="CR939" s="539">
        <f t="shared" si="2926"/>
        <v>0</v>
      </c>
      <c r="CS939" s="539">
        <f t="shared" si="2927"/>
        <v>0</v>
      </c>
      <c r="CT939" s="540">
        <f t="shared" si="2928"/>
        <v>0</v>
      </c>
      <c r="CU939" s="540">
        <f t="shared" si="2929"/>
        <v>0</v>
      </c>
      <c r="CV939" s="540">
        <f t="shared" si="2930"/>
        <v>0</v>
      </c>
      <c r="CW939" s="539">
        <f t="shared" si="2931"/>
        <v>0</v>
      </c>
      <c r="CX939" s="539">
        <f t="shared" si="2932"/>
        <v>0</v>
      </c>
      <c r="CY939" s="539">
        <f t="shared" si="2933"/>
        <v>0</v>
      </c>
      <c r="CZ939" s="539">
        <f t="shared" si="2934"/>
        <v>0</v>
      </c>
      <c r="DA939" s="539" t="str">
        <f t="shared" si="2935"/>
        <v/>
      </c>
      <c r="DB939" s="538" t="str">
        <f t="shared" si="2936"/>
        <v/>
      </c>
      <c r="DC939" s="537" t="str">
        <f t="shared" si="2937"/>
        <v/>
      </c>
      <c r="DD939" s="641">
        <f t="shared" si="2938"/>
        <v>10</v>
      </c>
      <c r="DE939" s="95">
        <f t="shared" si="2939"/>
        <v>10</v>
      </c>
      <c r="DF939" s="95">
        <f t="shared" si="2940"/>
        <v>10</v>
      </c>
      <c r="DG939" s="95">
        <f t="shared" si="2941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76">SUM(B297)</f>
        <v>0</v>
      </c>
      <c r="C940" s="784">
        <f t="shared" si="2976"/>
        <v>0</v>
      </c>
      <c r="D940" s="784">
        <f t="shared" si="2976"/>
        <v>0</v>
      </c>
      <c r="E940" s="784">
        <f t="shared" si="2976"/>
        <v>0</v>
      </c>
      <c r="F940" s="784">
        <f t="shared" si="2976"/>
        <v>0</v>
      </c>
      <c r="G940" s="784">
        <f t="shared" si="2976"/>
        <v>0</v>
      </c>
      <c r="H940" s="784">
        <f t="shared" si="2976"/>
        <v>0</v>
      </c>
      <c r="I940" s="784">
        <f t="shared" si="2976"/>
        <v>0</v>
      </c>
      <c r="J940" s="784">
        <f t="shared" si="2976"/>
        <v>0</v>
      </c>
      <c r="K940" s="784">
        <f t="shared" si="2976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77">SUM(T297)</f>
        <v>0</v>
      </c>
      <c r="U940" s="784">
        <f t="shared" si="2977"/>
        <v>0</v>
      </c>
      <c r="V940" s="784">
        <f t="shared" si="2977"/>
        <v>0</v>
      </c>
      <c r="W940" s="784">
        <f t="shared" si="2977"/>
        <v>0</v>
      </c>
      <c r="X940" s="784">
        <f t="shared" si="2977"/>
        <v>0</v>
      </c>
      <c r="Y940" s="784">
        <f t="shared" si="2977"/>
        <v>0</v>
      </c>
      <c r="Z940" s="784">
        <f t="shared" si="2977"/>
        <v>0</v>
      </c>
      <c r="AA940" s="784">
        <f t="shared" si="2977"/>
        <v>0</v>
      </c>
      <c r="AB940" s="784">
        <f t="shared" si="2977"/>
        <v>0</v>
      </c>
      <c r="AC940" s="784">
        <f t="shared" si="2977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78">SUM(AL297)</f>
        <v>0</v>
      </c>
      <c r="AM940" s="784">
        <f t="shared" si="2978"/>
        <v>0</v>
      </c>
      <c r="AN940" s="784">
        <f t="shared" si="2978"/>
        <v>0</v>
      </c>
      <c r="AO940" s="784">
        <f t="shared" si="2978"/>
        <v>0</v>
      </c>
      <c r="AP940" s="784">
        <f t="shared" si="2978"/>
        <v>0</v>
      </c>
      <c r="AQ940" s="784">
        <f t="shared" si="2978"/>
        <v>0</v>
      </c>
      <c r="AR940" s="784">
        <f t="shared" si="2978"/>
        <v>0</v>
      </c>
      <c r="AS940" s="784">
        <f t="shared" si="2978"/>
        <v>0</v>
      </c>
      <c r="AT940" s="784">
        <f t="shared" si="2978"/>
        <v>0</v>
      </c>
      <c r="AU940" s="784">
        <f t="shared" si="2978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79">SUM(BD297)</f>
        <v>0</v>
      </c>
      <c r="BE940" s="784">
        <f t="shared" si="2979"/>
        <v>0</v>
      </c>
      <c r="BF940" s="784">
        <f t="shared" si="2979"/>
        <v>0</v>
      </c>
      <c r="BG940" s="784">
        <f t="shared" si="2979"/>
        <v>0</v>
      </c>
      <c r="BH940" s="784">
        <f t="shared" si="2979"/>
        <v>0</v>
      </c>
      <c r="BI940" s="784">
        <f t="shared" si="2979"/>
        <v>0</v>
      </c>
      <c r="BJ940" s="784">
        <f t="shared" si="2979"/>
        <v>0</v>
      </c>
      <c r="BK940" s="784">
        <f t="shared" si="2979"/>
        <v>0</v>
      </c>
      <c r="BL940" s="784">
        <f t="shared" si="2979"/>
        <v>0</v>
      </c>
      <c r="BM940" s="784">
        <f t="shared" si="2979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917"/>
        <v>0</v>
      </c>
      <c r="CA940" s="586">
        <f t="shared" si="2918"/>
        <v>0</v>
      </c>
      <c r="CB940" s="586">
        <f t="shared" si="2919"/>
        <v>0</v>
      </c>
      <c r="CC940" s="586">
        <f t="shared" si="2920"/>
        <v>0</v>
      </c>
      <c r="CD940" s="1316">
        <f t="shared" si="2946"/>
        <v>0</v>
      </c>
      <c r="CE940" s="1317">
        <f t="shared" si="2947"/>
        <v>0</v>
      </c>
      <c r="CF940" s="1317">
        <f t="shared" si="2947"/>
        <v>0</v>
      </c>
      <c r="CG940" s="1317">
        <f t="shared" si="2947"/>
        <v>0</v>
      </c>
      <c r="CH940" s="1318">
        <f t="shared" si="2947"/>
        <v>0</v>
      </c>
      <c r="CI940" s="1318">
        <f t="shared" si="2947"/>
        <v>0</v>
      </c>
      <c r="CJ940" s="1317">
        <f t="shared" si="2947"/>
        <v>0</v>
      </c>
      <c r="CK940" s="1317">
        <f t="shared" si="2947"/>
        <v>0</v>
      </c>
      <c r="CL940" s="1317">
        <f t="shared" si="2947"/>
        <v>0</v>
      </c>
      <c r="CM940" s="1316">
        <f t="shared" si="2947"/>
        <v>0</v>
      </c>
      <c r="CN940" s="538" t="str">
        <f t="shared" si="2922"/>
        <v/>
      </c>
      <c r="CO940" s="539" t="str">
        <f t="shared" si="2923"/>
        <v/>
      </c>
      <c r="CP940" s="539" t="str">
        <f t="shared" si="2924"/>
        <v/>
      </c>
      <c r="CQ940" s="539">
        <f t="shared" si="2925"/>
        <v>0</v>
      </c>
      <c r="CR940" s="539">
        <f t="shared" si="2926"/>
        <v>0</v>
      </c>
      <c r="CS940" s="539">
        <f t="shared" si="2927"/>
        <v>0</v>
      </c>
      <c r="CT940" s="540">
        <f t="shared" si="2928"/>
        <v>0</v>
      </c>
      <c r="CU940" s="540">
        <f t="shared" si="2929"/>
        <v>0</v>
      </c>
      <c r="CV940" s="540">
        <f t="shared" si="2930"/>
        <v>0</v>
      </c>
      <c r="CW940" s="539">
        <f t="shared" si="2931"/>
        <v>0</v>
      </c>
      <c r="CX940" s="539">
        <f t="shared" si="2932"/>
        <v>0</v>
      </c>
      <c r="CY940" s="539">
        <f t="shared" si="2933"/>
        <v>0</v>
      </c>
      <c r="CZ940" s="539">
        <f t="shared" si="2934"/>
        <v>0</v>
      </c>
      <c r="DA940" s="539" t="str">
        <f t="shared" si="2935"/>
        <v/>
      </c>
      <c r="DB940" s="538" t="str">
        <f t="shared" si="2936"/>
        <v/>
      </c>
      <c r="DC940" s="537" t="str">
        <f t="shared" si="2937"/>
        <v/>
      </c>
      <c r="DD940" s="641">
        <f t="shared" si="2938"/>
        <v>10</v>
      </c>
      <c r="DE940" s="95">
        <f t="shared" si="2939"/>
        <v>10</v>
      </c>
      <c r="DF940" s="95">
        <f t="shared" si="2940"/>
        <v>10</v>
      </c>
      <c r="DG940" s="95">
        <f t="shared" si="2941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80">SUM(B307)</f>
        <v>0</v>
      </c>
      <c r="C941" s="784">
        <f t="shared" si="2980"/>
        <v>0</v>
      </c>
      <c r="D941" s="784">
        <f t="shared" si="2980"/>
        <v>0</v>
      </c>
      <c r="E941" s="784">
        <f t="shared" si="2980"/>
        <v>0</v>
      </c>
      <c r="F941" s="784">
        <f t="shared" si="2980"/>
        <v>0</v>
      </c>
      <c r="G941" s="784">
        <f t="shared" si="2980"/>
        <v>0</v>
      </c>
      <c r="H941" s="784">
        <f t="shared" si="2980"/>
        <v>0</v>
      </c>
      <c r="I941" s="784">
        <f t="shared" si="2980"/>
        <v>0</v>
      </c>
      <c r="J941" s="784">
        <f t="shared" si="2980"/>
        <v>0</v>
      </c>
      <c r="K941" s="784">
        <f t="shared" si="2980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81">SUM(T307)</f>
        <v>0</v>
      </c>
      <c r="U941" s="784">
        <f t="shared" si="2981"/>
        <v>100</v>
      </c>
      <c r="V941" s="784">
        <f t="shared" si="2981"/>
        <v>0</v>
      </c>
      <c r="W941" s="784">
        <f t="shared" si="2981"/>
        <v>0</v>
      </c>
      <c r="X941" s="784">
        <f t="shared" si="2981"/>
        <v>0</v>
      </c>
      <c r="Y941" s="784">
        <f t="shared" si="2981"/>
        <v>0</v>
      </c>
      <c r="Z941" s="784">
        <f t="shared" si="2981"/>
        <v>0</v>
      </c>
      <c r="AA941" s="784">
        <f t="shared" si="2981"/>
        <v>0</v>
      </c>
      <c r="AB941" s="784">
        <f t="shared" si="2981"/>
        <v>0</v>
      </c>
      <c r="AC941" s="784">
        <f t="shared" si="2981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82">SUM(AL307)</f>
        <v>0</v>
      </c>
      <c r="AM941" s="784">
        <f t="shared" si="2982"/>
        <v>3000</v>
      </c>
      <c r="AN941" s="784">
        <f t="shared" si="2982"/>
        <v>600</v>
      </c>
      <c r="AO941" s="784">
        <f t="shared" si="2982"/>
        <v>0</v>
      </c>
      <c r="AP941" s="784">
        <f t="shared" si="2982"/>
        <v>0</v>
      </c>
      <c r="AQ941" s="784">
        <f t="shared" si="2982"/>
        <v>0</v>
      </c>
      <c r="AR941" s="784">
        <f t="shared" si="2982"/>
        <v>0</v>
      </c>
      <c r="AS941" s="784">
        <f t="shared" si="2982"/>
        <v>0</v>
      </c>
      <c r="AT941" s="784">
        <f t="shared" si="2982"/>
        <v>0</v>
      </c>
      <c r="AU941" s="784">
        <f t="shared" si="2982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83">SUM(BD307)</f>
        <v>0</v>
      </c>
      <c r="BE941" s="784">
        <f t="shared" si="2983"/>
        <v>0</v>
      </c>
      <c r="BF941" s="784">
        <f t="shared" si="2983"/>
        <v>1500</v>
      </c>
      <c r="BG941" s="784">
        <f t="shared" si="2983"/>
        <v>0</v>
      </c>
      <c r="BH941" s="784">
        <f t="shared" si="2983"/>
        <v>0</v>
      </c>
      <c r="BI941" s="784">
        <f t="shared" si="2983"/>
        <v>0</v>
      </c>
      <c r="BJ941" s="784">
        <f t="shared" si="2983"/>
        <v>0</v>
      </c>
      <c r="BK941" s="784">
        <f t="shared" si="2983"/>
        <v>0</v>
      </c>
      <c r="BL941" s="784">
        <f t="shared" si="2983"/>
        <v>0</v>
      </c>
      <c r="BM941" s="784">
        <f t="shared" si="2983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917"/>
        <v>0</v>
      </c>
      <c r="CA941" s="586">
        <f t="shared" si="2918"/>
        <v>0</v>
      </c>
      <c r="CB941" s="586">
        <f t="shared" si="2919"/>
        <v>75</v>
      </c>
      <c r="CC941" s="586">
        <f t="shared" si="2920"/>
        <v>0</v>
      </c>
      <c r="CD941" s="1316">
        <f t="shared" si="2946"/>
        <v>0</v>
      </c>
      <c r="CE941" s="1317">
        <f t="shared" si="2947"/>
        <v>0</v>
      </c>
      <c r="CF941" s="1317">
        <f t="shared" si="2947"/>
        <v>0</v>
      </c>
      <c r="CG941" s="1317">
        <f t="shared" si="2947"/>
        <v>0</v>
      </c>
      <c r="CH941" s="1318">
        <f t="shared" si="2947"/>
        <v>0</v>
      </c>
      <c r="CI941" s="1318">
        <f t="shared" si="2947"/>
        <v>0</v>
      </c>
      <c r="CJ941" s="1317">
        <f t="shared" si="2947"/>
        <v>0</v>
      </c>
      <c r="CK941" s="1317">
        <f t="shared" si="2947"/>
        <v>0</v>
      </c>
      <c r="CL941" s="1317">
        <f t="shared" si="2947"/>
        <v>600</v>
      </c>
      <c r="CM941" s="1316">
        <f t="shared" si="2947"/>
        <v>3000</v>
      </c>
      <c r="CN941" s="538" t="str">
        <f t="shared" si="2922"/>
        <v/>
      </c>
      <c r="CO941" s="539" t="str">
        <f t="shared" si="2923"/>
        <v/>
      </c>
      <c r="CP941" s="539" t="str">
        <f t="shared" si="2924"/>
        <v/>
      </c>
      <c r="CQ941" s="539">
        <f t="shared" si="2925"/>
        <v>0</v>
      </c>
      <c r="CR941" s="539">
        <f t="shared" si="2926"/>
        <v>0</v>
      </c>
      <c r="CS941" s="539">
        <f t="shared" si="2927"/>
        <v>0</v>
      </c>
      <c r="CT941" s="540">
        <f t="shared" si="2928"/>
        <v>0</v>
      </c>
      <c r="CU941" s="540">
        <f t="shared" si="2929"/>
        <v>0</v>
      </c>
      <c r="CV941" s="540">
        <f t="shared" si="2930"/>
        <v>0</v>
      </c>
      <c r="CW941" s="539">
        <f t="shared" si="2931"/>
        <v>0</v>
      </c>
      <c r="CX941" s="539">
        <f t="shared" si="2932"/>
        <v>0</v>
      </c>
      <c r="CY941" s="539">
        <f t="shared" si="2933"/>
        <v>0</v>
      </c>
      <c r="CZ941" s="539">
        <f t="shared" si="2934"/>
        <v>1500</v>
      </c>
      <c r="DA941" s="539" t="str">
        <f t="shared" si="2935"/>
        <v/>
      </c>
      <c r="DB941" s="538" t="str">
        <f t="shared" si="2936"/>
        <v/>
      </c>
      <c r="DC941" s="537" t="str">
        <f t="shared" si="2937"/>
        <v/>
      </c>
      <c r="DD941" s="641">
        <f t="shared" si="2938"/>
        <v>10</v>
      </c>
      <c r="DE941" s="95">
        <f t="shared" si="2939"/>
        <v>10</v>
      </c>
      <c r="DF941" s="95">
        <f t="shared" si="2940"/>
        <v>10</v>
      </c>
      <c r="DG941" s="95">
        <f t="shared" si="2941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84">SUM(B317)</f>
        <v>0</v>
      </c>
      <c r="C942" s="784">
        <f t="shared" si="2984"/>
        <v>0</v>
      </c>
      <c r="D942" s="784">
        <f t="shared" si="2984"/>
        <v>0</v>
      </c>
      <c r="E942" s="784">
        <f t="shared" si="2984"/>
        <v>0</v>
      </c>
      <c r="F942" s="784">
        <f t="shared" si="2984"/>
        <v>0</v>
      </c>
      <c r="G942" s="784">
        <f t="shared" si="2984"/>
        <v>0</v>
      </c>
      <c r="H942" s="784">
        <f t="shared" si="2984"/>
        <v>0</v>
      </c>
      <c r="I942" s="784">
        <f t="shared" si="2984"/>
        <v>0</v>
      </c>
      <c r="J942" s="784">
        <f t="shared" si="2984"/>
        <v>0</v>
      </c>
      <c r="K942" s="784">
        <f t="shared" si="2984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85">SUM(T317)</f>
        <v>0</v>
      </c>
      <c r="U942" s="784">
        <f t="shared" si="2985"/>
        <v>0</v>
      </c>
      <c r="V942" s="784">
        <f t="shared" si="2985"/>
        <v>0</v>
      </c>
      <c r="W942" s="784">
        <f t="shared" si="2985"/>
        <v>0</v>
      </c>
      <c r="X942" s="784">
        <f t="shared" si="2985"/>
        <v>0</v>
      </c>
      <c r="Y942" s="784">
        <f t="shared" si="2985"/>
        <v>0</v>
      </c>
      <c r="Z942" s="784">
        <f t="shared" si="2985"/>
        <v>0</v>
      </c>
      <c r="AA942" s="784">
        <f t="shared" si="2985"/>
        <v>0</v>
      </c>
      <c r="AB942" s="784">
        <f t="shared" si="2985"/>
        <v>0</v>
      </c>
      <c r="AC942" s="784">
        <f t="shared" si="2985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86">SUM(AL317)</f>
        <v>0</v>
      </c>
      <c r="AM942" s="784">
        <f t="shared" si="2986"/>
        <v>0</v>
      </c>
      <c r="AN942" s="784">
        <f t="shared" si="2986"/>
        <v>0</v>
      </c>
      <c r="AO942" s="784">
        <f t="shared" si="2986"/>
        <v>0</v>
      </c>
      <c r="AP942" s="784">
        <f t="shared" si="2986"/>
        <v>0</v>
      </c>
      <c r="AQ942" s="784">
        <f t="shared" si="2986"/>
        <v>0</v>
      </c>
      <c r="AR942" s="784">
        <f t="shared" si="2986"/>
        <v>300</v>
      </c>
      <c r="AS942" s="784">
        <f t="shared" si="2986"/>
        <v>0</v>
      </c>
      <c r="AT942" s="784">
        <f t="shared" si="2986"/>
        <v>0</v>
      </c>
      <c r="AU942" s="784">
        <f t="shared" si="2986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87">SUM(BD317)</f>
        <v>0</v>
      </c>
      <c r="BE942" s="784">
        <f t="shared" si="2987"/>
        <v>0</v>
      </c>
      <c r="BF942" s="784">
        <f t="shared" si="2987"/>
        <v>0</v>
      </c>
      <c r="BG942" s="784">
        <f t="shared" si="2987"/>
        <v>0</v>
      </c>
      <c r="BH942" s="784">
        <f t="shared" si="2987"/>
        <v>1800</v>
      </c>
      <c r="BI942" s="784">
        <f t="shared" si="2987"/>
        <v>0</v>
      </c>
      <c r="BJ942" s="784">
        <f t="shared" si="2987"/>
        <v>0</v>
      </c>
      <c r="BK942" s="784">
        <f t="shared" si="2987"/>
        <v>0</v>
      </c>
      <c r="BL942" s="784">
        <f t="shared" si="2987"/>
        <v>0</v>
      </c>
      <c r="BM942" s="784">
        <f t="shared" si="2987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917"/>
        <v>0</v>
      </c>
      <c r="CA942" s="586">
        <f t="shared" si="2918"/>
        <v>0</v>
      </c>
      <c r="CB942" s="586">
        <f t="shared" si="2919"/>
        <v>6.5625</v>
      </c>
      <c r="CC942" s="586">
        <f t="shared" si="2920"/>
        <v>0</v>
      </c>
      <c r="CD942" s="1316">
        <f t="shared" si="2946"/>
        <v>0</v>
      </c>
      <c r="CE942" s="1317">
        <f t="shared" si="2947"/>
        <v>0</v>
      </c>
      <c r="CF942" s="1317">
        <f t="shared" si="2947"/>
        <v>0</v>
      </c>
      <c r="CG942" s="1317">
        <f t="shared" si="2947"/>
        <v>0</v>
      </c>
      <c r="CH942" s="1318">
        <f t="shared" si="2947"/>
        <v>0</v>
      </c>
      <c r="CI942" s="1318">
        <f t="shared" si="2947"/>
        <v>0</v>
      </c>
      <c r="CJ942" s="1317">
        <f t="shared" si="2947"/>
        <v>0</v>
      </c>
      <c r="CK942" s="1317">
        <f t="shared" si="2947"/>
        <v>0</v>
      </c>
      <c r="CL942" s="1317">
        <f t="shared" si="2947"/>
        <v>52.5</v>
      </c>
      <c r="CM942" s="1316">
        <f t="shared" si="2947"/>
        <v>300</v>
      </c>
      <c r="CN942" s="538" t="str">
        <f t="shared" si="2922"/>
        <v/>
      </c>
      <c r="CO942" s="539" t="str">
        <f t="shared" si="2923"/>
        <v/>
      </c>
      <c r="CP942" s="539" t="str">
        <f t="shared" si="2924"/>
        <v/>
      </c>
      <c r="CQ942" s="539">
        <f t="shared" si="2925"/>
        <v>0</v>
      </c>
      <c r="CR942" s="539">
        <f t="shared" si="2926"/>
        <v>0</v>
      </c>
      <c r="CS942" s="539">
        <f t="shared" si="2927"/>
        <v>0</v>
      </c>
      <c r="CT942" s="540">
        <f t="shared" si="2928"/>
        <v>0</v>
      </c>
      <c r="CU942" s="540">
        <f t="shared" si="2929"/>
        <v>0</v>
      </c>
      <c r="CV942" s="540">
        <f t="shared" si="2930"/>
        <v>0</v>
      </c>
      <c r="CW942" s="539">
        <f t="shared" si="2931"/>
        <v>0</v>
      </c>
      <c r="CX942" s="539">
        <f t="shared" si="2932"/>
        <v>0</v>
      </c>
      <c r="CY942" s="539">
        <f t="shared" si="2933"/>
        <v>0</v>
      </c>
      <c r="CZ942" s="539">
        <f t="shared" si="2934"/>
        <v>1800</v>
      </c>
      <c r="DA942" s="539" t="str">
        <f t="shared" si="2935"/>
        <v/>
      </c>
      <c r="DB942" s="538" t="str">
        <f t="shared" si="2936"/>
        <v/>
      </c>
      <c r="DC942" s="537" t="str">
        <f t="shared" si="2937"/>
        <v/>
      </c>
      <c r="DD942" s="641">
        <f t="shared" si="2938"/>
        <v>10</v>
      </c>
      <c r="DE942" s="95">
        <f t="shared" si="2939"/>
        <v>10</v>
      </c>
      <c r="DF942" s="95">
        <f t="shared" si="2940"/>
        <v>10</v>
      </c>
      <c r="DG942" s="95">
        <f t="shared" si="2941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Pumpkin: no. local meas</v>
      </c>
      <c r="B943" s="784">
        <f t="shared" ref="B943:K943" si="2988">SUM(B327)</f>
        <v>0</v>
      </c>
      <c r="C943" s="784">
        <f t="shared" si="2988"/>
        <v>0</v>
      </c>
      <c r="D943" s="784">
        <f t="shared" si="2988"/>
        <v>0</v>
      </c>
      <c r="E943" s="784">
        <f t="shared" si="2988"/>
        <v>0</v>
      </c>
      <c r="F943" s="784">
        <f t="shared" si="2988"/>
        <v>0</v>
      </c>
      <c r="G943" s="784">
        <f t="shared" si="2988"/>
        <v>0</v>
      </c>
      <c r="H943" s="784">
        <f t="shared" si="2988"/>
        <v>0</v>
      </c>
      <c r="I943" s="784">
        <f t="shared" si="2988"/>
        <v>0</v>
      </c>
      <c r="J943" s="784">
        <f t="shared" si="2988"/>
        <v>0</v>
      </c>
      <c r="K943" s="784">
        <f t="shared" si="2988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89">SUM(T327)</f>
        <v>0</v>
      </c>
      <c r="U943" s="784">
        <f t="shared" si="2989"/>
        <v>0</v>
      </c>
      <c r="V943" s="784">
        <f t="shared" si="2989"/>
        <v>0</v>
      </c>
      <c r="W943" s="784">
        <f t="shared" si="2989"/>
        <v>0</v>
      </c>
      <c r="X943" s="784">
        <f t="shared" si="2989"/>
        <v>0</v>
      </c>
      <c r="Y943" s="784">
        <f t="shared" si="2989"/>
        <v>0</v>
      </c>
      <c r="Z943" s="784">
        <f t="shared" si="2989"/>
        <v>0</v>
      </c>
      <c r="AA943" s="784">
        <f t="shared" si="2989"/>
        <v>0</v>
      </c>
      <c r="AB943" s="784">
        <f t="shared" si="2989"/>
        <v>0</v>
      </c>
      <c r="AC943" s="784">
        <f t="shared" si="2989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90">SUM(AL327)</f>
        <v>0</v>
      </c>
      <c r="AM943" s="784">
        <f t="shared" si="2990"/>
        <v>0</v>
      </c>
      <c r="AN943" s="784">
        <f t="shared" si="2990"/>
        <v>0</v>
      </c>
      <c r="AO943" s="784">
        <f t="shared" si="2990"/>
        <v>0</v>
      </c>
      <c r="AP943" s="784">
        <f t="shared" si="2990"/>
        <v>0</v>
      </c>
      <c r="AQ943" s="784">
        <f t="shared" si="2990"/>
        <v>0</v>
      </c>
      <c r="AR943" s="784">
        <f t="shared" si="2990"/>
        <v>0</v>
      </c>
      <c r="AS943" s="784">
        <f t="shared" si="2990"/>
        <v>0</v>
      </c>
      <c r="AT943" s="784">
        <f t="shared" si="2990"/>
        <v>0</v>
      </c>
      <c r="AU943" s="784">
        <f t="shared" si="2990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91">SUM(BD327)</f>
        <v>0</v>
      </c>
      <c r="BE943" s="784">
        <f t="shared" si="2991"/>
        <v>0</v>
      </c>
      <c r="BF943" s="784">
        <f t="shared" si="2991"/>
        <v>0</v>
      </c>
      <c r="BG943" s="784">
        <f t="shared" si="2991"/>
        <v>0</v>
      </c>
      <c r="BH943" s="784">
        <f t="shared" si="2991"/>
        <v>0</v>
      </c>
      <c r="BI943" s="784">
        <f t="shared" si="2991"/>
        <v>0</v>
      </c>
      <c r="BJ943" s="784">
        <f t="shared" si="2991"/>
        <v>0</v>
      </c>
      <c r="BK943" s="784">
        <f t="shared" si="2991"/>
        <v>0</v>
      </c>
      <c r="BL943" s="784">
        <f t="shared" si="2991"/>
        <v>0</v>
      </c>
      <c r="BM943" s="784">
        <f t="shared" si="2991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917"/>
        <v>0</v>
      </c>
      <c r="CA943" s="586">
        <f t="shared" si="2918"/>
        <v>0</v>
      </c>
      <c r="CB943" s="586">
        <f t="shared" si="2919"/>
        <v>0</v>
      </c>
      <c r="CC943" s="586">
        <f t="shared" si="2920"/>
        <v>0</v>
      </c>
      <c r="CD943" s="1316">
        <f t="shared" si="2946"/>
        <v>0</v>
      </c>
      <c r="CE943" s="1317">
        <f t="shared" si="2947"/>
        <v>0</v>
      </c>
      <c r="CF943" s="1317">
        <f t="shared" si="2947"/>
        <v>0</v>
      </c>
      <c r="CG943" s="1317">
        <f t="shared" si="2947"/>
        <v>0</v>
      </c>
      <c r="CH943" s="1318">
        <f t="shared" si="2947"/>
        <v>0</v>
      </c>
      <c r="CI943" s="1318">
        <f t="shared" si="2947"/>
        <v>0</v>
      </c>
      <c r="CJ943" s="1317">
        <f t="shared" si="2947"/>
        <v>0</v>
      </c>
      <c r="CK943" s="1317">
        <f t="shared" si="2947"/>
        <v>0</v>
      </c>
      <c r="CL943" s="1317">
        <f t="shared" si="2947"/>
        <v>0</v>
      </c>
      <c r="CM943" s="1316">
        <f t="shared" si="2947"/>
        <v>0</v>
      </c>
      <c r="CN943" s="538" t="str">
        <f t="shared" si="2922"/>
        <v/>
      </c>
      <c r="CO943" s="539" t="str">
        <f t="shared" si="2923"/>
        <v/>
      </c>
      <c r="CP943" s="539" t="str">
        <f t="shared" si="2924"/>
        <v/>
      </c>
      <c r="CQ943" s="539">
        <f t="shared" si="2925"/>
        <v>0</v>
      </c>
      <c r="CR943" s="539">
        <f t="shared" si="2926"/>
        <v>0</v>
      </c>
      <c r="CS943" s="539">
        <f t="shared" si="2927"/>
        <v>0</v>
      </c>
      <c r="CT943" s="540">
        <f t="shared" si="2928"/>
        <v>0</v>
      </c>
      <c r="CU943" s="540">
        <f t="shared" si="2929"/>
        <v>0</v>
      </c>
      <c r="CV943" s="540">
        <f t="shared" si="2930"/>
        <v>0</v>
      </c>
      <c r="CW943" s="539">
        <f t="shared" si="2931"/>
        <v>0</v>
      </c>
      <c r="CX943" s="539">
        <f t="shared" si="2932"/>
        <v>0</v>
      </c>
      <c r="CY943" s="539">
        <f t="shared" si="2933"/>
        <v>0</v>
      </c>
      <c r="CZ943" s="539">
        <f t="shared" si="2934"/>
        <v>0</v>
      </c>
      <c r="DA943" s="539" t="str">
        <f t="shared" si="2935"/>
        <v/>
      </c>
      <c r="DB943" s="538" t="str">
        <f t="shared" si="2936"/>
        <v/>
      </c>
      <c r="DC943" s="537" t="str">
        <f t="shared" si="2937"/>
        <v/>
      </c>
      <c r="DD943" s="641">
        <f t="shared" si="2938"/>
        <v>10</v>
      </c>
      <c r="DE943" s="95">
        <f t="shared" si="2939"/>
        <v>10</v>
      </c>
      <c r="DF943" s="95">
        <f t="shared" si="2940"/>
        <v>10</v>
      </c>
      <c r="DG943" s="95">
        <f t="shared" si="2941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Sweet poatato: no. local meas</v>
      </c>
      <c r="B944" s="784">
        <f t="shared" ref="B944:K944" si="2992">SUM(B337)</f>
        <v>0</v>
      </c>
      <c r="C944" s="784">
        <f t="shared" si="2992"/>
        <v>0</v>
      </c>
      <c r="D944" s="784">
        <f t="shared" si="2992"/>
        <v>875</v>
      </c>
      <c r="E944" s="784">
        <f t="shared" si="2992"/>
        <v>0</v>
      </c>
      <c r="F944" s="784">
        <f t="shared" si="2992"/>
        <v>0</v>
      </c>
      <c r="G944" s="784">
        <f t="shared" si="2992"/>
        <v>0</v>
      </c>
      <c r="H944" s="784">
        <f t="shared" si="2992"/>
        <v>0</v>
      </c>
      <c r="I944" s="784">
        <f t="shared" si="2992"/>
        <v>0</v>
      </c>
      <c r="J944" s="784">
        <f t="shared" si="2992"/>
        <v>0</v>
      </c>
      <c r="K944" s="784">
        <f t="shared" si="2992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93">SUM(T337)</f>
        <v>120</v>
      </c>
      <c r="U944" s="784">
        <f t="shared" si="2993"/>
        <v>50</v>
      </c>
      <c r="V944" s="784">
        <f t="shared" si="2993"/>
        <v>0</v>
      </c>
      <c r="W944" s="784">
        <f t="shared" si="2993"/>
        <v>0</v>
      </c>
      <c r="X944" s="784">
        <f t="shared" si="2993"/>
        <v>0</v>
      </c>
      <c r="Y944" s="784">
        <f t="shared" si="2993"/>
        <v>0</v>
      </c>
      <c r="Z944" s="784">
        <f t="shared" si="2993"/>
        <v>0</v>
      </c>
      <c r="AA944" s="784">
        <f t="shared" si="2993"/>
        <v>0</v>
      </c>
      <c r="AB944" s="784">
        <f t="shared" si="2993"/>
        <v>0</v>
      </c>
      <c r="AC944" s="784">
        <f t="shared" si="2993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94">SUM(AL337)</f>
        <v>1750</v>
      </c>
      <c r="AM944" s="784">
        <f t="shared" si="2994"/>
        <v>25</v>
      </c>
      <c r="AN944" s="784">
        <f t="shared" si="2994"/>
        <v>0</v>
      </c>
      <c r="AO944" s="784">
        <f t="shared" si="2994"/>
        <v>0</v>
      </c>
      <c r="AP944" s="784">
        <f t="shared" si="2994"/>
        <v>0</v>
      </c>
      <c r="AQ944" s="784">
        <f t="shared" si="2994"/>
        <v>300</v>
      </c>
      <c r="AR944" s="784">
        <f t="shared" si="2994"/>
        <v>0</v>
      </c>
      <c r="AS944" s="784">
        <f t="shared" si="2994"/>
        <v>0</v>
      </c>
      <c r="AT944" s="784">
        <f t="shared" si="2994"/>
        <v>240</v>
      </c>
      <c r="AU944" s="784">
        <f t="shared" si="2994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95">SUM(BD337)</f>
        <v>0</v>
      </c>
      <c r="BE944" s="784">
        <f t="shared" si="2995"/>
        <v>750</v>
      </c>
      <c r="BF944" s="784">
        <f t="shared" si="2995"/>
        <v>0</v>
      </c>
      <c r="BG944" s="784">
        <f t="shared" si="2995"/>
        <v>0</v>
      </c>
      <c r="BH944" s="784">
        <f t="shared" si="2995"/>
        <v>780</v>
      </c>
      <c r="BI944" s="784">
        <f t="shared" si="2995"/>
        <v>825</v>
      </c>
      <c r="BJ944" s="784">
        <f t="shared" si="2995"/>
        <v>0</v>
      </c>
      <c r="BK944" s="784">
        <f t="shared" si="2995"/>
        <v>1500</v>
      </c>
      <c r="BL944" s="784">
        <f t="shared" si="2995"/>
        <v>0</v>
      </c>
      <c r="BM944" s="784">
        <f t="shared" si="2995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917"/>
        <v>0</v>
      </c>
      <c r="CA944" s="586">
        <f t="shared" si="2918"/>
        <v>6.25</v>
      </c>
      <c r="CB944" s="586">
        <f t="shared" si="2919"/>
        <v>117.5</v>
      </c>
      <c r="CC944" s="586">
        <f t="shared" si="2920"/>
        <v>324.375</v>
      </c>
      <c r="CD944" s="1316">
        <f t="shared" si="2946"/>
        <v>0</v>
      </c>
      <c r="CE944" s="1317">
        <f t="shared" si="2947"/>
        <v>0</v>
      </c>
      <c r="CF944" s="1317">
        <f t="shared" si="2947"/>
        <v>0</v>
      </c>
      <c r="CG944" s="1317">
        <f t="shared" si="2947"/>
        <v>0</v>
      </c>
      <c r="CH944" s="1318">
        <f t="shared" si="2947"/>
        <v>0</v>
      </c>
      <c r="CI944" s="1318">
        <f t="shared" si="2947"/>
        <v>25</v>
      </c>
      <c r="CJ944" s="1317">
        <f t="shared" si="2947"/>
        <v>240</v>
      </c>
      <c r="CK944" s="1317">
        <f t="shared" si="2947"/>
        <v>300</v>
      </c>
      <c r="CL944" s="1317">
        <f t="shared" si="2947"/>
        <v>375</v>
      </c>
      <c r="CM944" s="1316">
        <f t="shared" si="2947"/>
        <v>1750</v>
      </c>
      <c r="CN944" s="538" t="str">
        <f t="shared" si="2922"/>
        <v/>
      </c>
      <c r="CO944" s="539" t="str">
        <f t="shared" si="2923"/>
        <v/>
      </c>
      <c r="CP944" s="539" t="str">
        <f t="shared" si="2924"/>
        <v/>
      </c>
      <c r="CQ944" s="539">
        <f t="shared" si="2925"/>
        <v>0</v>
      </c>
      <c r="CR944" s="539">
        <f t="shared" si="2926"/>
        <v>0</v>
      </c>
      <c r="CS944" s="539">
        <f t="shared" si="2927"/>
        <v>0</v>
      </c>
      <c r="CT944" s="540">
        <f t="shared" si="2928"/>
        <v>0</v>
      </c>
      <c r="CU944" s="540">
        <f t="shared" si="2929"/>
        <v>0</v>
      </c>
      <c r="CV944" s="540">
        <f t="shared" si="2930"/>
        <v>240</v>
      </c>
      <c r="CW944" s="539">
        <f t="shared" si="2931"/>
        <v>750</v>
      </c>
      <c r="CX944" s="539">
        <f t="shared" si="2932"/>
        <v>780</v>
      </c>
      <c r="CY944" s="539">
        <f t="shared" si="2933"/>
        <v>825</v>
      </c>
      <c r="CZ944" s="539">
        <f t="shared" si="2934"/>
        <v>1500</v>
      </c>
      <c r="DA944" s="539" t="str">
        <f t="shared" si="2935"/>
        <v/>
      </c>
      <c r="DB944" s="538" t="str">
        <f t="shared" si="2936"/>
        <v/>
      </c>
      <c r="DC944" s="537" t="str">
        <f t="shared" si="2937"/>
        <v/>
      </c>
      <c r="DD944" s="641">
        <f t="shared" si="2938"/>
        <v>10</v>
      </c>
      <c r="DE944" s="95">
        <f t="shared" si="2939"/>
        <v>10</v>
      </c>
      <c r="DF944" s="95">
        <f t="shared" si="2940"/>
        <v>10</v>
      </c>
      <c r="DG944" s="95">
        <f t="shared" si="2941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96">SUM(B347)</f>
        <v>0</v>
      </c>
      <c r="C945" s="784">
        <f t="shared" si="2996"/>
        <v>1400</v>
      </c>
      <c r="D945" s="784">
        <f t="shared" si="2996"/>
        <v>1050</v>
      </c>
      <c r="E945" s="784">
        <f t="shared" si="2996"/>
        <v>0</v>
      </c>
      <c r="F945" s="784">
        <f t="shared" si="2996"/>
        <v>0</v>
      </c>
      <c r="G945" s="784">
        <f t="shared" si="2996"/>
        <v>0</v>
      </c>
      <c r="H945" s="784">
        <f t="shared" si="2996"/>
        <v>0</v>
      </c>
      <c r="I945" s="784">
        <f t="shared" si="2996"/>
        <v>0</v>
      </c>
      <c r="J945" s="784">
        <f t="shared" si="2996"/>
        <v>0</v>
      </c>
      <c r="K945" s="784">
        <f t="shared" si="2996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97">SUM(T347)</f>
        <v>0</v>
      </c>
      <c r="U945" s="784">
        <f t="shared" si="2997"/>
        <v>450</v>
      </c>
      <c r="V945" s="784">
        <f t="shared" si="2997"/>
        <v>0</v>
      </c>
      <c r="W945" s="784">
        <f t="shared" si="2997"/>
        <v>0</v>
      </c>
      <c r="X945" s="784">
        <f t="shared" si="2997"/>
        <v>0</v>
      </c>
      <c r="Y945" s="784">
        <f t="shared" si="2997"/>
        <v>0</v>
      </c>
      <c r="Z945" s="784">
        <f t="shared" si="2997"/>
        <v>0</v>
      </c>
      <c r="AA945" s="784">
        <f t="shared" si="2997"/>
        <v>225</v>
      </c>
      <c r="AB945" s="784">
        <f t="shared" si="2997"/>
        <v>750</v>
      </c>
      <c r="AC945" s="784">
        <f t="shared" si="2997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98">SUM(AL347)</f>
        <v>0</v>
      </c>
      <c r="AM945" s="784">
        <f t="shared" si="2998"/>
        <v>0</v>
      </c>
      <c r="AN945" s="784">
        <f t="shared" si="2998"/>
        <v>0</v>
      </c>
      <c r="AO945" s="784">
        <f t="shared" si="2998"/>
        <v>0</v>
      </c>
      <c r="AP945" s="784">
        <f t="shared" si="2998"/>
        <v>0</v>
      </c>
      <c r="AQ945" s="784">
        <f t="shared" si="2998"/>
        <v>50</v>
      </c>
      <c r="AR945" s="784">
        <f t="shared" si="2998"/>
        <v>0</v>
      </c>
      <c r="AS945" s="784">
        <f t="shared" si="2998"/>
        <v>0</v>
      </c>
      <c r="AT945" s="784">
        <f t="shared" si="2998"/>
        <v>0</v>
      </c>
      <c r="AU945" s="784">
        <f t="shared" si="2998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99">SUM(BD347)</f>
        <v>0</v>
      </c>
      <c r="BE945" s="784">
        <f t="shared" si="2999"/>
        <v>0</v>
      </c>
      <c r="BF945" s="784">
        <f t="shared" si="2999"/>
        <v>3500</v>
      </c>
      <c r="BG945" s="784">
        <f t="shared" si="2999"/>
        <v>0</v>
      </c>
      <c r="BH945" s="784">
        <f t="shared" si="2999"/>
        <v>1500</v>
      </c>
      <c r="BI945" s="784">
        <f t="shared" si="2999"/>
        <v>1500</v>
      </c>
      <c r="BJ945" s="784">
        <f t="shared" si="2999"/>
        <v>0</v>
      </c>
      <c r="BK945" s="784">
        <f t="shared" si="2999"/>
        <v>0</v>
      </c>
      <c r="BL945" s="784">
        <f t="shared" si="2999"/>
        <v>0</v>
      </c>
      <c r="BM945" s="784">
        <f t="shared" si="2999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917"/>
        <v>131.25</v>
      </c>
      <c r="CA945" s="586">
        <f t="shared" si="2918"/>
        <v>84.375</v>
      </c>
      <c r="CB945" s="586">
        <f t="shared" si="2919"/>
        <v>0</v>
      </c>
      <c r="CC945" s="586">
        <f t="shared" si="2920"/>
        <v>375</v>
      </c>
      <c r="CD945" s="1316">
        <f t="shared" si="2946"/>
        <v>0</v>
      </c>
      <c r="CE945" s="1317">
        <f t="shared" si="2947"/>
        <v>0</v>
      </c>
      <c r="CF945" s="1317">
        <f t="shared" si="2947"/>
        <v>0</v>
      </c>
      <c r="CG945" s="1317">
        <f t="shared" si="2947"/>
        <v>0</v>
      </c>
      <c r="CH945" s="1318">
        <f t="shared" si="2947"/>
        <v>0</v>
      </c>
      <c r="CI945" s="1318">
        <f t="shared" si="2947"/>
        <v>0</v>
      </c>
      <c r="CJ945" s="1317">
        <f t="shared" si="2947"/>
        <v>0</v>
      </c>
      <c r="CK945" s="1317">
        <f t="shared" si="2947"/>
        <v>0</v>
      </c>
      <c r="CL945" s="1317">
        <f t="shared" si="2947"/>
        <v>0</v>
      </c>
      <c r="CM945" s="1316">
        <f t="shared" si="2947"/>
        <v>50</v>
      </c>
      <c r="CN945" s="538" t="str">
        <f t="shared" si="2922"/>
        <v/>
      </c>
      <c r="CO945" s="539" t="str">
        <f t="shared" si="2923"/>
        <v/>
      </c>
      <c r="CP945" s="539" t="str">
        <f t="shared" si="2924"/>
        <v/>
      </c>
      <c r="CQ945" s="539">
        <f t="shared" si="2925"/>
        <v>0</v>
      </c>
      <c r="CR945" s="539">
        <f t="shared" si="2926"/>
        <v>0</v>
      </c>
      <c r="CS945" s="539">
        <f t="shared" si="2927"/>
        <v>0</v>
      </c>
      <c r="CT945" s="540">
        <f t="shared" si="2928"/>
        <v>0</v>
      </c>
      <c r="CU945" s="540">
        <f t="shared" si="2929"/>
        <v>0</v>
      </c>
      <c r="CV945" s="540">
        <f t="shared" si="2930"/>
        <v>0</v>
      </c>
      <c r="CW945" s="539">
        <f t="shared" si="2931"/>
        <v>0</v>
      </c>
      <c r="CX945" s="539">
        <f t="shared" si="2932"/>
        <v>1500</v>
      </c>
      <c r="CY945" s="539">
        <f t="shared" si="2933"/>
        <v>1500</v>
      </c>
      <c r="CZ945" s="539">
        <f t="shared" si="2934"/>
        <v>3500</v>
      </c>
      <c r="DA945" s="539" t="str">
        <f t="shared" si="2935"/>
        <v/>
      </c>
      <c r="DB945" s="538" t="str">
        <f t="shared" si="2936"/>
        <v/>
      </c>
      <c r="DC945" s="537" t="str">
        <f t="shared" si="2937"/>
        <v/>
      </c>
      <c r="DD945" s="641">
        <f t="shared" si="2938"/>
        <v>10</v>
      </c>
      <c r="DE945" s="95">
        <f t="shared" si="2939"/>
        <v>10</v>
      </c>
      <c r="DF945" s="95">
        <f t="shared" si="2940"/>
        <v>10</v>
      </c>
      <c r="DG945" s="95">
        <f t="shared" si="2941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3000">SUM(B357)</f>
        <v>0</v>
      </c>
      <c r="C946" s="784">
        <f t="shared" si="3000"/>
        <v>0</v>
      </c>
      <c r="D946" s="784">
        <f t="shared" si="3000"/>
        <v>0</v>
      </c>
      <c r="E946" s="784">
        <f t="shared" si="3000"/>
        <v>0</v>
      </c>
      <c r="F946" s="784">
        <f t="shared" si="3000"/>
        <v>0</v>
      </c>
      <c r="G946" s="784">
        <f t="shared" si="3000"/>
        <v>0</v>
      </c>
      <c r="H946" s="784">
        <f t="shared" si="3000"/>
        <v>0</v>
      </c>
      <c r="I946" s="784">
        <f t="shared" si="3000"/>
        <v>0</v>
      </c>
      <c r="J946" s="784">
        <f t="shared" si="3000"/>
        <v>0</v>
      </c>
      <c r="K946" s="784">
        <f t="shared" si="3000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3001">SUM(T357)</f>
        <v>0</v>
      </c>
      <c r="U946" s="784">
        <f t="shared" si="3001"/>
        <v>0</v>
      </c>
      <c r="V946" s="784">
        <f t="shared" si="3001"/>
        <v>0</v>
      </c>
      <c r="W946" s="784">
        <f t="shared" si="3001"/>
        <v>0</v>
      </c>
      <c r="X946" s="784">
        <f t="shared" si="3001"/>
        <v>0</v>
      </c>
      <c r="Y946" s="784">
        <f t="shared" si="3001"/>
        <v>0</v>
      </c>
      <c r="Z946" s="784">
        <f t="shared" si="3001"/>
        <v>0</v>
      </c>
      <c r="AA946" s="784">
        <f t="shared" si="3001"/>
        <v>0</v>
      </c>
      <c r="AB946" s="784">
        <f t="shared" si="3001"/>
        <v>0</v>
      </c>
      <c r="AC946" s="784">
        <f t="shared" si="3001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3002">SUM(AL357)</f>
        <v>0</v>
      </c>
      <c r="AM946" s="784">
        <f t="shared" si="3002"/>
        <v>0</v>
      </c>
      <c r="AN946" s="784">
        <f t="shared" si="3002"/>
        <v>0</v>
      </c>
      <c r="AO946" s="784">
        <f t="shared" si="3002"/>
        <v>0</v>
      </c>
      <c r="AP946" s="784">
        <f t="shared" si="3002"/>
        <v>0</v>
      </c>
      <c r="AQ946" s="784">
        <f t="shared" si="3002"/>
        <v>0</v>
      </c>
      <c r="AR946" s="784">
        <f t="shared" si="3002"/>
        <v>0</v>
      </c>
      <c r="AS946" s="784">
        <f t="shared" si="3002"/>
        <v>0</v>
      </c>
      <c r="AT946" s="784">
        <f t="shared" si="3002"/>
        <v>0</v>
      </c>
      <c r="AU946" s="784">
        <f t="shared" si="3002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3003">SUM(BD357)</f>
        <v>0</v>
      </c>
      <c r="BE946" s="784">
        <f t="shared" si="3003"/>
        <v>0</v>
      </c>
      <c r="BF946" s="784">
        <f t="shared" si="3003"/>
        <v>0</v>
      </c>
      <c r="BG946" s="784">
        <f t="shared" si="3003"/>
        <v>0</v>
      </c>
      <c r="BH946" s="784">
        <f t="shared" si="3003"/>
        <v>0</v>
      </c>
      <c r="BI946" s="784">
        <f t="shared" si="3003"/>
        <v>0</v>
      </c>
      <c r="BJ946" s="784">
        <f t="shared" si="3003"/>
        <v>0</v>
      </c>
      <c r="BK946" s="784">
        <f t="shared" si="3003"/>
        <v>0</v>
      </c>
      <c r="BL946" s="784">
        <f t="shared" si="3003"/>
        <v>0</v>
      </c>
      <c r="BM946" s="784">
        <f t="shared" si="3003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917"/>
        <v>0</v>
      </c>
      <c r="CA946" s="586">
        <f t="shared" si="2918"/>
        <v>0</v>
      </c>
      <c r="CB946" s="586">
        <f t="shared" si="2919"/>
        <v>0</v>
      </c>
      <c r="CC946" s="586">
        <f t="shared" si="2920"/>
        <v>0</v>
      </c>
      <c r="CD946" s="1316">
        <f t="shared" si="2946"/>
        <v>0</v>
      </c>
      <c r="CE946" s="1317">
        <f t="shared" si="2947"/>
        <v>0</v>
      </c>
      <c r="CF946" s="1317">
        <f t="shared" si="2947"/>
        <v>0</v>
      </c>
      <c r="CG946" s="1317">
        <f t="shared" si="2947"/>
        <v>0</v>
      </c>
      <c r="CH946" s="1318">
        <f t="shared" si="2947"/>
        <v>0</v>
      </c>
      <c r="CI946" s="1318">
        <f t="shared" si="2947"/>
        <v>0</v>
      </c>
      <c r="CJ946" s="1317">
        <f t="shared" si="2947"/>
        <v>0</v>
      </c>
      <c r="CK946" s="1317">
        <f t="shared" si="2947"/>
        <v>0</v>
      </c>
      <c r="CL946" s="1317">
        <f t="shared" si="2947"/>
        <v>0</v>
      </c>
      <c r="CM946" s="1316">
        <f t="shared" si="2947"/>
        <v>0</v>
      </c>
      <c r="CN946" s="538" t="str">
        <f t="shared" si="2922"/>
        <v/>
      </c>
      <c r="CO946" s="539" t="str">
        <f t="shared" si="2923"/>
        <v/>
      </c>
      <c r="CP946" s="539" t="str">
        <f t="shared" si="2924"/>
        <v/>
      </c>
      <c r="CQ946" s="539">
        <f t="shared" si="2925"/>
        <v>0</v>
      </c>
      <c r="CR946" s="539">
        <f t="shared" si="2926"/>
        <v>0</v>
      </c>
      <c r="CS946" s="539">
        <f t="shared" si="2927"/>
        <v>0</v>
      </c>
      <c r="CT946" s="540">
        <f t="shared" si="2928"/>
        <v>0</v>
      </c>
      <c r="CU946" s="540">
        <f t="shared" si="2929"/>
        <v>0</v>
      </c>
      <c r="CV946" s="540">
        <f t="shared" si="2930"/>
        <v>0</v>
      </c>
      <c r="CW946" s="539">
        <f t="shared" si="2931"/>
        <v>0</v>
      </c>
      <c r="CX946" s="539">
        <f t="shared" si="2932"/>
        <v>0</v>
      </c>
      <c r="CY946" s="539">
        <f t="shared" si="2933"/>
        <v>0</v>
      </c>
      <c r="CZ946" s="539">
        <f t="shared" si="2934"/>
        <v>0</v>
      </c>
      <c r="DA946" s="539" t="str">
        <f t="shared" si="2935"/>
        <v/>
      </c>
      <c r="DB946" s="538" t="str">
        <f t="shared" si="2936"/>
        <v/>
      </c>
      <c r="DC946" s="537" t="str">
        <f t="shared" si="2937"/>
        <v/>
      </c>
      <c r="DD946" s="641">
        <f t="shared" si="2938"/>
        <v>10</v>
      </c>
      <c r="DE946" s="95">
        <f t="shared" si="2939"/>
        <v>10</v>
      </c>
      <c r="DF946" s="95">
        <f t="shared" si="2940"/>
        <v>10</v>
      </c>
      <c r="DG946" s="95">
        <f t="shared" si="2941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3004">SUM(B368)</f>
        <v>0</v>
      </c>
      <c r="C947" s="784">
        <f t="shared" si="3004"/>
        <v>0</v>
      </c>
      <c r="D947" s="784">
        <f t="shared" si="3004"/>
        <v>0</v>
      </c>
      <c r="E947" s="784">
        <f t="shared" si="3004"/>
        <v>0</v>
      </c>
      <c r="F947" s="784">
        <f t="shared" si="3004"/>
        <v>0</v>
      </c>
      <c r="G947" s="784">
        <f t="shared" si="3004"/>
        <v>0</v>
      </c>
      <c r="H947" s="784">
        <f t="shared" si="3004"/>
        <v>0</v>
      </c>
      <c r="I947" s="784">
        <f t="shared" si="3004"/>
        <v>40</v>
      </c>
      <c r="J947" s="784">
        <f t="shared" si="3004"/>
        <v>0</v>
      </c>
      <c r="K947" s="784">
        <f t="shared" si="3004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3005">SUM(T368)</f>
        <v>60</v>
      </c>
      <c r="U947" s="784">
        <f t="shared" si="3005"/>
        <v>0</v>
      </c>
      <c r="V947" s="784">
        <f t="shared" si="3005"/>
        <v>0</v>
      </c>
      <c r="W947" s="784">
        <f t="shared" si="3005"/>
        <v>0</v>
      </c>
      <c r="X947" s="784">
        <f t="shared" si="3005"/>
        <v>0</v>
      </c>
      <c r="Y947" s="784">
        <f t="shared" si="3005"/>
        <v>0</v>
      </c>
      <c r="Z947" s="784">
        <f t="shared" si="3005"/>
        <v>0</v>
      </c>
      <c r="AA947" s="784">
        <f t="shared" si="3005"/>
        <v>180</v>
      </c>
      <c r="AB947" s="784">
        <f t="shared" si="3005"/>
        <v>30</v>
      </c>
      <c r="AC947" s="784">
        <f t="shared" si="3005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3006">SUM(AL368)</f>
        <v>5750</v>
      </c>
      <c r="AM947" s="784">
        <f t="shared" si="3006"/>
        <v>0</v>
      </c>
      <c r="AN947" s="784">
        <f t="shared" si="3006"/>
        <v>0</v>
      </c>
      <c r="AO947" s="784">
        <f t="shared" si="3006"/>
        <v>0</v>
      </c>
      <c r="AP947" s="784">
        <f t="shared" si="3006"/>
        <v>0</v>
      </c>
      <c r="AQ947" s="784">
        <f t="shared" si="3006"/>
        <v>210</v>
      </c>
      <c r="AR947" s="784">
        <f t="shared" si="3006"/>
        <v>210</v>
      </c>
      <c r="AS947" s="784">
        <f t="shared" si="3006"/>
        <v>0</v>
      </c>
      <c r="AT947" s="784">
        <f t="shared" si="3006"/>
        <v>0</v>
      </c>
      <c r="AU947" s="784">
        <f t="shared" si="3006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3007">SUM(BD368)</f>
        <v>0</v>
      </c>
      <c r="BE947" s="784">
        <f t="shared" si="3007"/>
        <v>0</v>
      </c>
      <c r="BF947" s="784">
        <f t="shared" si="3007"/>
        <v>0</v>
      </c>
      <c r="BG947" s="784">
        <f t="shared" si="3007"/>
        <v>0</v>
      </c>
      <c r="BH947" s="784">
        <f t="shared" si="3007"/>
        <v>0</v>
      </c>
      <c r="BI947" s="784">
        <f t="shared" si="3007"/>
        <v>500</v>
      </c>
      <c r="BJ947" s="784">
        <f t="shared" si="3007"/>
        <v>0</v>
      </c>
      <c r="BK947" s="784">
        <f t="shared" si="3007"/>
        <v>750</v>
      </c>
      <c r="BL947" s="784">
        <f t="shared" si="3007"/>
        <v>0</v>
      </c>
      <c r="BM947" s="784">
        <f t="shared" si="3007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917"/>
        <v>0</v>
      </c>
      <c r="CA947" s="586">
        <f t="shared" si="2918"/>
        <v>11.25</v>
      </c>
      <c r="CB947" s="586">
        <f t="shared" si="2919"/>
        <v>177.5</v>
      </c>
      <c r="CC947" s="586">
        <f t="shared" si="2920"/>
        <v>87.5</v>
      </c>
      <c r="CD947" s="1316">
        <f t="shared" si="2946"/>
        <v>0</v>
      </c>
      <c r="CE947" s="1317">
        <f t="shared" si="2947"/>
        <v>0</v>
      </c>
      <c r="CF947" s="1317">
        <f t="shared" si="2947"/>
        <v>0</v>
      </c>
      <c r="CG947" s="1317">
        <f t="shared" si="2947"/>
        <v>0</v>
      </c>
      <c r="CH947" s="1318">
        <f t="shared" si="2947"/>
        <v>0</v>
      </c>
      <c r="CI947" s="1318">
        <f t="shared" si="2947"/>
        <v>0</v>
      </c>
      <c r="CJ947" s="1317">
        <f t="shared" si="2947"/>
        <v>210</v>
      </c>
      <c r="CK947" s="1317">
        <f t="shared" si="2947"/>
        <v>210</v>
      </c>
      <c r="CL947" s="1317">
        <f t="shared" si="2947"/>
        <v>1000</v>
      </c>
      <c r="CM947" s="1316">
        <f t="shared" si="2947"/>
        <v>5750</v>
      </c>
      <c r="CN947" s="538" t="str">
        <f t="shared" si="2922"/>
        <v/>
      </c>
      <c r="CO947" s="539" t="str">
        <f t="shared" si="2923"/>
        <v/>
      </c>
      <c r="CP947" s="539" t="str">
        <f t="shared" si="2924"/>
        <v/>
      </c>
      <c r="CQ947" s="539">
        <f t="shared" si="2925"/>
        <v>0</v>
      </c>
      <c r="CR947" s="539">
        <f t="shared" si="2926"/>
        <v>0</v>
      </c>
      <c r="CS947" s="539">
        <f t="shared" si="2927"/>
        <v>0</v>
      </c>
      <c r="CT947" s="540">
        <f t="shared" si="2928"/>
        <v>0</v>
      </c>
      <c r="CU947" s="540">
        <f t="shared" si="2929"/>
        <v>0</v>
      </c>
      <c r="CV947" s="540">
        <f t="shared" si="2930"/>
        <v>0</v>
      </c>
      <c r="CW947" s="539">
        <f t="shared" si="2931"/>
        <v>0</v>
      </c>
      <c r="CX947" s="539">
        <f t="shared" si="2932"/>
        <v>200</v>
      </c>
      <c r="CY947" s="539">
        <f t="shared" si="2933"/>
        <v>500</v>
      </c>
      <c r="CZ947" s="539">
        <f t="shared" si="2934"/>
        <v>750</v>
      </c>
      <c r="DA947" s="539" t="str">
        <f t="shared" si="2935"/>
        <v/>
      </c>
      <c r="DB947" s="538" t="str">
        <f t="shared" si="2936"/>
        <v/>
      </c>
      <c r="DC947" s="537" t="str">
        <f t="shared" si="2937"/>
        <v/>
      </c>
      <c r="DD947" s="641">
        <f t="shared" si="2938"/>
        <v>10</v>
      </c>
      <c r="DE947" s="95">
        <f t="shared" si="2939"/>
        <v>10</v>
      </c>
      <c r="DF947" s="95">
        <f t="shared" si="2940"/>
        <v>10</v>
      </c>
      <c r="DG947" s="95">
        <f t="shared" si="2941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3008">SUM(B379)</f>
        <v>0</v>
      </c>
      <c r="C948" s="784">
        <f t="shared" si="3008"/>
        <v>0</v>
      </c>
      <c r="D948" s="784">
        <f t="shared" si="3008"/>
        <v>0</v>
      </c>
      <c r="E948" s="784">
        <f t="shared" si="3008"/>
        <v>0</v>
      </c>
      <c r="F948" s="784">
        <f t="shared" si="3008"/>
        <v>0</v>
      </c>
      <c r="G948" s="784">
        <f t="shared" si="3008"/>
        <v>0</v>
      </c>
      <c r="H948" s="784">
        <f t="shared" si="3008"/>
        <v>0</v>
      </c>
      <c r="I948" s="784">
        <f t="shared" si="3008"/>
        <v>0</v>
      </c>
      <c r="J948" s="784">
        <f t="shared" si="3008"/>
        <v>0</v>
      </c>
      <c r="K948" s="784">
        <f t="shared" si="3008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3009">SUM(T379)</f>
        <v>0</v>
      </c>
      <c r="U948" s="784">
        <f t="shared" si="3009"/>
        <v>0</v>
      </c>
      <c r="V948" s="784">
        <f t="shared" si="3009"/>
        <v>0</v>
      </c>
      <c r="W948" s="784">
        <f t="shared" si="3009"/>
        <v>0</v>
      </c>
      <c r="X948" s="784">
        <f t="shared" si="3009"/>
        <v>0</v>
      </c>
      <c r="Y948" s="784">
        <f t="shared" si="3009"/>
        <v>0</v>
      </c>
      <c r="Z948" s="784">
        <f t="shared" si="3009"/>
        <v>0</v>
      </c>
      <c r="AA948" s="784">
        <f t="shared" si="3009"/>
        <v>0</v>
      </c>
      <c r="AB948" s="784">
        <f t="shared" si="3009"/>
        <v>0</v>
      </c>
      <c r="AC948" s="784">
        <f t="shared" si="3009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3010">SUM(AL379)</f>
        <v>0</v>
      </c>
      <c r="AM948" s="784">
        <f t="shared" si="3010"/>
        <v>0</v>
      </c>
      <c r="AN948" s="784">
        <f t="shared" si="3010"/>
        <v>0</v>
      </c>
      <c r="AO948" s="784">
        <f t="shared" si="3010"/>
        <v>0</v>
      </c>
      <c r="AP948" s="784">
        <f t="shared" si="3010"/>
        <v>0</v>
      </c>
      <c r="AQ948" s="784">
        <f t="shared" si="3010"/>
        <v>0</v>
      </c>
      <c r="AR948" s="784">
        <f t="shared" si="3010"/>
        <v>0</v>
      </c>
      <c r="AS948" s="784">
        <f t="shared" si="3010"/>
        <v>0</v>
      </c>
      <c r="AT948" s="784">
        <f t="shared" si="3010"/>
        <v>0</v>
      </c>
      <c r="AU948" s="784">
        <f t="shared" si="3010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3011">SUM(BD379)</f>
        <v>0</v>
      </c>
      <c r="BE948" s="784">
        <f t="shared" si="3011"/>
        <v>0</v>
      </c>
      <c r="BF948" s="784">
        <f t="shared" si="3011"/>
        <v>0</v>
      </c>
      <c r="BG948" s="784">
        <f t="shared" si="3011"/>
        <v>0</v>
      </c>
      <c r="BH948" s="784">
        <f t="shared" si="3011"/>
        <v>0</v>
      </c>
      <c r="BI948" s="784">
        <f t="shared" si="3011"/>
        <v>0</v>
      </c>
      <c r="BJ948" s="784">
        <f t="shared" si="3011"/>
        <v>0</v>
      </c>
      <c r="BK948" s="784">
        <f t="shared" si="3011"/>
        <v>0</v>
      </c>
      <c r="BL948" s="784">
        <f t="shared" si="3011"/>
        <v>0</v>
      </c>
      <c r="BM948" s="784">
        <f t="shared" si="3011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917"/>
        <v>0</v>
      </c>
      <c r="CA948" s="586">
        <f t="shared" si="2918"/>
        <v>0</v>
      </c>
      <c r="CB948" s="586">
        <f t="shared" si="2919"/>
        <v>0</v>
      </c>
      <c r="CC948" s="586">
        <f t="shared" si="2920"/>
        <v>0</v>
      </c>
      <c r="CD948" s="1316">
        <f t="shared" si="2946"/>
        <v>0</v>
      </c>
      <c r="CE948" s="1317">
        <f t="shared" ref="CE948:CM960" si="301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7">
        <f t="shared" si="3012"/>
        <v>0</v>
      </c>
      <c r="CG948" s="1317">
        <f t="shared" si="3012"/>
        <v>0</v>
      </c>
      <c r="CH948" s="1318">
        <f t="shared" si="3012"/>
        <v>0</v>
      </c>
      <c r="CI948" s="1318">
        <f t="shared" si="3012"/>
        <v>0</v>
      </c>
      <c r="CJ948" s="1317">
        <f t="shared" si="3012"/>
        <v>0</v>
      </c>
      <c r="CK948" s="1317">
        <f t="shared" si="3012"/>
        <v>0</v>
      </c>
      <c r="CL948" s="1317">
        <f t="shared" si="3012"/>
        <v>0</v>
      </c>
      <c r="CM948" s="1316">
        <f t="shared" si="3012"/>
        <v>0</v>
      </c>
      <c r="CN948" s="538" t="str">
        <f t="shared" si="2922"/>
        <v/>
      </c>
      <c r="CO948" s="539" t="str">
        <f t="shared" si="2923"/>
        <v/>
      </c>
      <c r="CP948" s="539" t="str">
        <f t="shared" si="2924"/>
        <v/>
      </c>
      <c r="CQ948" s="539">
        <f t="shared" si="2925"/>
        <v>0</v>
      </c>
      <c r="CR948" s="539">
        <f t="shared" si="2926"/>
        <v>0</v>
      </c>
      <c r="CS948" s="539">
        <f t="shared" si="2927"/>
        <v>0</v>
      </c>
      <c r="CT948" s="540">
        <f t="shared" si="2928"/>
        <v>0</v>
      </c>
      <c r="CU948" s="540">
        <f t="shared" si="2929"/>
        <v>0</v>
      </c>
      <c r="CV948" s="540">
        <f t="shared" si="2930"/>
        <v>0</v>
      </c>
      <c r="CW948" s="539">
        <f t="shared" si="2931"/>
        <v>0</v>
      </c>
      <c r="CX948" s="539">
        <f t="shared" si="2932"/>
        <v>0</v>
      </c>
      <c r="CY948" s="539">
        <f t="shared" si="2933"/>
        <v>0</v>
      </c>
      <c r="CZ948" s="539">
        <f t="shared" si="2934"/>
        <v>0</v>
      </c>
      <c r="DA948" s="539" t="str">
        <f t="shared" si="2935"/>
        <v/>
      </c>
      <c r="DB948" s="538" t="str">
        <f t="shared" si="2936"/>
        <v/>
      </c>
      <c r="DC948" s="537" t="str">
        <f t="shared" si="2937"/>
        <v/>
      </c>
      <c r="DD948" s="641">
        <f t="shared" si="2938"/>
        <v>10</v>
      </c>
      <c r="DE948" s="95">
        <f t="shared" si="2939"/>
        <v>10</v>
      </c>
      <c r="DF948" s="95">
        <f t="shared" si="2940"/>
        <v>10</v>
      </c>
      <c r="DG948" s="95">
        <f t="shared" si="2941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3013">SUM(B389)</f>
        <v>0</v>
      </c>
      <c r="C949" s="784">
        <f t="shared" si="3013"/>
        <v>0</v>
      </c>
      <c r="D949" s="784">
        <f t="shared" si="3013"/>
        <v>0</v>
      </c>
      <c r="E949" s="784">
        <f t="shared" si="3013"/>
        <v>0</v>
      </c>
      <c r="F949" s="784">
        <f t="shared" si="3013"/>
        <v>0</v>
      </c>
      <c r="G949" s="784">
        <f t="shared" si="3013"/>
        <v>0</v>
      </c>
      <c r="H949" s="784">
        <f t="shared" si="3013"/>
        <v>0</v>
      </c>
      <c r="I949" s="784">
        <f t="shared" si="3013"/>
        <v>80</v>
      </c>
      <c r="J949" s="784">
        <f t="shared" si="3013"/>
        <v>0</v>
      </c>
      <c r="K949" s="784">
        <f t="shared" si="3013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3014">SUM(T389)</f>
        <v>0</v>
      </c>
      <c r="U949" s="784">
        <f t="shared" si="3014"/>
        <v>300</v>
      </c>
      <c r="V949" s="784">
        <f t="shared" si="3014"/>
        <v>0</v>
      </c>
      <c r="W949" s="784">
        <f t="shared" si="3014"/>
        <v>0</v>
      </c>
      <c r="X949" s="784">
        <f t="shared" si="3014"/>
        <v>0</v>
      </c>
      <c r="Y949" s="784">
        <f t="shared" si="3014"/>
        <v>0</v>
      </c>
      <c r="Z949" s="784">
        <f t="shared" si="3014"/>
        <v>0</v>
      </c>
      <c r="AA949" s="784">
        <f t="shared" si="3014"/>
        <v>0</v>
      </c>
      <c r="AB949" s="784">
        <f t="shared" si="3014"/>
        <v>0</v>
      </c>
      <c r="AC949" s="784">
        <f t="shared" si="3014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3015">SUM(AL389)</f>
        <v>0</v>
      </c>
      <c r="AM949" s="784">
        <f t="shared" si="3015"/>
        <v>150</v>
      </c>
      <c r="AN949" s="784">
        <f t="shared" si="3015"/>
        <v>0</v>
      </c>
      <c r="AO949" s="784">
        <f t="shared" si="3015"/>
        <v>0</v>
      </c>
      <c r="AP949" s="784">
        <f t="shared" si="3015"/>
        <v>600</v>
      </c>
      <c r="AQ949" s="784">
        <f t="shared" si="3015"/>
        <v>0</v>
      </c>
      <c r="AR949" s="784">
        <f t="shared" si="3015"/>
        <v>0</v>
      </c>
      <c r="AS949" s="784">
        <f t="shared" si="3015"/>
        <v>80</v>
      </c>
      <c r="AT949" s="784">
        <f t="shared" si="3015"/>
        <v>0</v>
      </c>
      <c r="AU949" s="784">
        <f t="shared" si="3015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3016">SUM(BD389)</f>
        <v>0</v>
      </c>
      <c r="BE949" s="784">
        <f t="shared" si="3016"/>
        <v>1200</v>
      </c>
      <c r="BF949" s="784">
        <f t="shared" si="3016"/>
        <v>0</v>
      </c>
      <c r="BG949" s="784">
        <f t="shared" si="3016"/>
        <v>0</v>
      </c>
      <c r="BH949" s="784">
        <f t="shared" si="3016"/>
        <v>900</v>
      </c>
      <c r="BI949" s="784">
        <f t="shared" si="3016"/>
        <v>0</v>
      </c>
      <c r="BJ949" s="784">
        <f t="shared" si="3016"/>
        <v>0</v>
      </c>
      <c r="BK949" s="784">
        <f t="shared" si="3016"/>
        <v>1050</v>
      </c>
      <c r="BL949" s="784">
        <f t="shared" si="3016"/>
        <v>100</v>
      </c>
      <c r="BM949" s="784">
        <f t="shared" si="3016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917"/>
        <v>0</v>
      </c>
      <c r="CA949" s="586">
        <f t="shared" si="2918"/>
        <v>26.25</v>
      </c>
      <c r="CB949" s="586">
        <f t="shared" si="2919"/>
        <v>103.75</v>
      </c>
      <c r="CC949" s="586">
        <f t="shared" si="2920"/>
        <v>301.25</v>
      </c>
      <c r="CD949" s="1316">
        <f t="shared" si="2946"/>
        <v>0</v>
      </c>
      <c r="CE949" s="1317">
        <f t="shared" si="3012"/>
        <v>0</v>
      </c>
      <c r="CF949" s="1317">
        <f t="shared" si="3012"/>
        <v>0</v>
      </c>
      <c r="CG949" s="1317">
        <f t="shared" si="3012"/>
        <v>0</v>
      </c>
      <c r="CH949" s="1318">
        <f t="shared" si="3012"/>
        <v>0</v>
      </c>
      <c r="CI949" s="1318">
        <f t="shared" si="3012"/>
        <v>0</v>
      </c>
      <c r="CJ949" s="1317">
        <f t="shared" si="3012"/>
        <v>80</v>
      </c>
      <c r="CK949" s="1317">
        <f t="shared" si="3012"/>
        <v>150</v>
      </c>
      <c r="CL949" s="1317">
        <f t="shared" si="3012"/>
        <v>600</v>
      </c>
      <c r="CM949" s="1316">
        <f t="shared" si="3012"/>
        <v>1000</v>
      </c>
      <c r="CN949" s="538" t="str">
        <f t="shared" si="2922"/>
        <v/>
      </c>
      <c r="CO949" s="539" t="str">
        <f t="shared" si="2923"/>
        <v/>
      </c>
      <c r="CP949" s="539" t="str">
        <f t="shared" si="2924"/>
        <v/>
      </c>
      <c r="CQ949" s="539">
        <f t="shared" si="2925"/>
        <v>0</v>
      </c>
      <c r="CR949" s="539">
        <f t="shared" si="2926"/>
        <v>0</v>
      </c>
      <c r="CS949" s="539">
        <f t="shared" si="2927"/>
        <v>0</v>
      </c>
      <c r="CT949" s="540">
        <f t="shared" si="2928"/>
        <v>0</v>
      </c>
      <c r="CU949" s="540">
        <f t="shared" si="2929"/>
        <v>0</v>
      </c>
      <c r="CV949" s="540">
        <f t="shared" si="2930"/>
        <v>100</v>
      </c>
      <c r="CW949" s="539">
        <f t="shared" si="2931"/>
        <v>360</v>
      </c>
      <c r="CX949" s="539">
        <f t="shared" si="2932"/>
        <v>900</v>
      </c>
      <c r="CY949" s="539">
        <f t="shared" si="2933"/>
        <v>1050</v>
      </c>
      <c r="CZ949" s="539">
        <f t="shared" si="2934"/>
        <v>1200</v>
      </c>
      <c r="DA949" s="539" t="str">
        <f t="shared" si="2935"/>
        <v/>
      </c>
      <c r="DB949" s="538" t="str">
        <f t="shared" si="2936"/>
        <v/>
      </c>
      <c r="DC949" s="537" t="str">
        <f t="shared" si="2937"/>
        <v/>
      </c>
      <c r="DD949" s="641">
        <f t="shared" si="2938"/>
        <v>10</v>
      </c>
      <c r="DE949" s="95">
        <f t="shared" si="2939"/>
        <v>10</v>
      </c>
      <c r="DF949" s="95">
        <f t="shared" si="2940"/>
        <v>10</v>
      </c>
      <c r="DG949" s="95">
        <f t="shared" si="2941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3017">SUM(B394)</f>
        <v>0</v>
      </c>
      <c r="C950" s="784">
        <f t="shared" si="3017"/>
        <v>0</v>
      </c>
      <c r="D950" s="784">
        <f t="shared" si="3017"/>
        <v>0</v>
      </c>
      <c r="E950" s="784">
        <f t="shared" si="3017"/>
        <v>0</v>
      </c>
      <c r="F950" s="784">
        <f t="shared" si="3017"/>
        <v>0</v>
      </c>
      <c r="G950" s="784">
        <f t="shared" si="3017"/>
        <v>0</v>
      </c>
      <c r="H950" s="784">
        <f t="shared" si="3017"/>
        <v>0</v>
      </c>
      <c r="I950" s="784">
        <f t="shared" si="3017"/>
        <v>0</v>
      </c>
      <c r="J950" s="784">
        <f t="shared" si="3017"/>
        <v>0</v>
      </c>
      <c r="K950" s="784">
        <f t="shared" si="3017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3018">SUM(T394)</f>
        <v>0</v>
      </c>
      <c r="U950" s="784">
        <f t="shared" si="3018"/>
        <v>0</v>
      </c>
      <c r="V950" s="784">
        <f t="shared" si="3018"/>
        <v>0</v>
      </c>
      <c r="W950" s="784">
        <f t="shared" si="3018"/>
        <v>0</v>
      </c>
      <c r="X950" s="784">
        <f t="shared" si="3018"/>
        <v>0</v>
      </c>
      <c r="Y950" s="784">
        <f t="shared" si="3018"/>
        <v>0</v>
      </c>
      <c r="Z950" s="784">
        <f t="shared" si="3018"/>
        <v>0</v>
      </c>
      <c r="AA950" s="784">
        <f t="shared" si="3018"/>
        <v>0</v>
      </c>
      <c r="AB950" s="784">
        <f t="shared" si="3018"/>
        <v>0</v>
      </c>
      <c r="AC950" s="784">
        <f t="shared" si="3018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3019">SUM(AL394)</f>
        <v>0</v>
      </c>
      <c r="AM950" s="784">
        <f t="shared" si="3019"/>
        <v>0</v>
      </c>
      <c r="AN950" s="784">
        <f t="shared" si="3019"/>
        <v>0</v>
      </c>
      <c r="AO950" s="784">
        <f t="shared" si="3019"/>
        <v>0</v>
      </c>
      <c r="AP950" s="784">
        <f t="shared" si="3019"/>
        <v>0</v>
      </c>
      <c r="AQ950" s="784">
        <f t="shared" si="3019"/>
        <v>0</v>
      </c>
      <c r="AR950" s="784">
        <f t="shared" si="3019"/>
        <v>0</v>
      </c>
      <c r="AS950" s="784">
        <f t="shared" si="3019"/>
        <v>0</v>
      </c>
      <c r="AT950" s="784">
        <f t="shared" si="3019"/>
        <v>0</v>
      </c>
      <c r="AU950" s="784">
        <f t="shared" si="3019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3020">SUM(BD394)</f>
        <v>0</v>
      </c>
      <c r="BE950" s="784">
        <f t="shared" si="3020"/>
        <v>0</v>
      </c>
      <c r="BF950" s="784">
        <f t="shared" si="3020"/>
        <v>0</v>
      </c>
      <c r="BG950" s="784">
        <f t="shared" si="3020"/>
        <v>0</v>
      </c>
      <c r="BH950" s="784">
        <f t="shared" si="3020"/>
        <v>0</v>
      </c>
      <c r="BI950" s="784">
        <f t="shared" si="3020"/>
        <v>0</v>
      </c>
      <c r="BJ950" s="784">
        <f t="shared" si="3020"/>
        <v>0</v>
      </c>
      <c r="BK950" s="784">
        <f t="shared" si="3020"/>
        <v>0</v>
      </c>
      <c r="BL950" s="784">
        <f t="shared" si="3020"/>
        <v>0</v>
      </c>
      <c r="BM950" s="784">
        <f t="shared" si="3020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917"/>
        <v>0</v>
      </c>
      <c r="CA950" s="586">
        <f t="shared" si="2918"/>
        <v>0</v>
      </c>
      <c r="CB950" s="586">
        <f t="shared" si="2919"/>
        <v>0</v>
      </c>
      <c r="CC950" s="586">
        <f t="shared" si="2920"/>
        <v>0</v>
      </c>
      <c r="CD950" s="1316">
        <f t="shared" si="2946"/>
        <v>0</v>
      </c>
      <c r="CE950" s="1317">
        <f t="shared" si="3012"/>
        <v>0</v>
      </c>
      <c r="CF950" s="1317">
        <f t="shared" si="3012"/>
        <v>0</v>
      </c>
      <c r="CG950" s="1317">
        <f t="shared" si="3012"/>
        <v>0</v>
      </c>
      <c r="CH950" s="1318">
        <f t="shared" si="3012"/>
        <v>0</v>
      </c>
      <c r="CI950" s="1318">
        <f t="shared" si="3012"/>
        <v>0</v>
      </c>
      <c r="CJ950" s="1317">
        <f t="shared" si="3012"/>
        <v>0</v>
      </c>
      <c r="CK950" s="1317">
        <f t="shared" si="3012"/>
        <v>0</v>
      </c>
      <c r="CL950" s="1317">
        <f t="shared" si="3012"/>
        <v>0</v>
      </c>
      <c r="CM950" s="1316">
        <f t="shared" si="3012"/>
        <v>0</v>
      </c>
      <c r="CN950" s="538" t="str">
        <f t="shared" si="2922"/>
        <v/>
      </c>
      <c r="CO950" s="539" t="str">
        <f t="shared" si="2923"/>
        <v/>
      </c>
      <c r="CP950" s="539" t="str">
        <f t="shared" si="2924"/>
        <v/>
      </c>
      <c r="CQ950" s="539">
        <f t="shared" si="2925"/>
        <v>0</v>
      </c>
      <c r="CR950" s="539">
        <f t="shared" si="2926"/>
        <v>0</v>
      </c>
      <c r="CS950" s="539">
        <f t="shared" si="2927"/>
        <v>0</v>
      </c>
      <c r="CT950" s="540">
        <f t="shared" si="2928"/>
        <v>0</v>
      </c>
      <c r="CU950" s="540">
        <f t="shared" si="2929"/>
        <v>0</v>
      </c>
      <c r="CV950" s="540">
        <f t="shared" si="2930"/>
        <v>0</v>
      </c>
      <c r="CW950" s="539">
        <f t="shared" si="2931"/>
        <v>0</v>
      </c>
      <c r="CX950" s="539">
        <f t="shared" si="2932"/>
        <v>0</v>
      </c>
      <c r="CY950" s="539">
        <f t="shared" si="2933"/>
        <v>0</v>
      </c>
      <c r="CZ950" s="539">
        <f t="shared" si="2934"/>
        <v>0</v>
      </c>
      <c r="DA950" s="539" t="str">
        <f t="shared" si="2935"/>
        <v/>
      </c>
      <c r="DB950" s="538" t="str">
        <f t="shared" si="2936"/>
        <v/>
      </c>
      <c r="DC950" s="537" t="str">
        <f t="shared" si="2937"/>
        <v/>
      </c>
      <c r="DD950" s="641">
        <f t="shared" si="2938"/>
        <v>10</v>
      </c>
      <c r="DE950" s="95">
        <f t="shared" si="2939"/>
        <v>10</v>
      </c>
      <c r="DF950" s="95">
        <f t="shared" si="2940"/>
        <v>10</v>
      </c>
      <c r="DG950" s="95">
        <f t="shared" si="2941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3021">SUM(B397)</f>
        <v>0</v>
      </c>
      <c r="C951" s="784">
        <f t="shared" si="3021"/>
        <v>0</v>
      </c>
      <c r="D951" s="784">
        <f t="shared" si="3021"/>
        <v>0</v>
      </c>
      <c r="E951" s="784">
        <f t="shared" si="3021"/>
        <v>0</v>
      </c>
      <c r="F951" s="784">
        <f t="shared" si="3021"/>
        <v>0</v>
      </c>
      <c r="G951" s="784">
        <f t="shared" si="3021"/>
        <v>0</v>
      </c>
      <c r="H951" s="784">
        <f t="shared" si="3021"/>
        <v>0</v>
      </c>
      <c r="I951" s="784">
        <f t="shared" si="3021"/>
        <v>0</v>
      </c>
      <c r="J951" s="784">
        <f t="shared" si="3021"/>
        <v>0</v>
      </c>
      <c r="K951" s="784">
        <f t="shared" si="3021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3022">SUM(T397)</f>
        <v>99</v>
      </c>
      <c r="U951" s="784">
        <f t="shared" si="3022"/>
        <v>151.20000000000002</v>
      </c>
      <c r="V951" s="784">
        <f t="shared" si="3022"/>
        <v>0</v>
      </c>
      <c r="W951" s="784">
        <f t="shared" si="3022"/>
        <v>0</v>
      </c>
      <c r="X951" s="784">
        <f t="shared" si="3022"/>
        <v>0</v>
      </c>
      <c r="Y951" s="784">
        <f t="shared" si="3022"/>
        <v>0</v>
      </c>
      <c r="Z951" s="784">
        <f t="shared" si="3022"/>
        <v>153</v>
      </c>
      <c r="AA951" s="784">
        <f t="shared" si="3022"/>
        <v>0</v>
      </c>
      <c r="AB951" s="784">
        <f t="shared" si="3022"/>
        <v>0</v>
      </c>
      <c r="AC951" s="784">
        <f t="shared" si="3022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3023">SUM(AL397)</f>
        <v>0</v>
      </c>
      <c r="AM951" s="784">
        <f t="shared" si="3023"/>
        <v>0</v>
      </c>
      <c r="AN951" s="784">
        <f t="shared" si="3023"/>
        <v>0</v>
      </c>
      <c r="AO951" s="784">
        <f t="shared" si="3023"/>
        <v>0</v>
      </c>
      <c r="AP951" s="784">
        <f t="shared" si="3023"/>
        <v>0</v>
      </c>
      <c r="AQ951" s="784">
        <f t="shared" si="3023"/>
        <v>0</v>
      </c>
      <c r="AR951" s="784">
        <f t="shared" si="3023"/>
        <v>30</v>
      </c>
      <c r="AS951" s="784">
        <f t="shared" si="3023"/>
        <v>0</v>
      </c>
      <c r="AT951" s="784">
        <f t="shared" si="3023"/>
        <v>100</v>
      </c>
      <c r="AU951" s="784">
        <f t="shared" si="3023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3024">SUM(BD397)</f>
        <v>600</v>
      </c>
      <c r="BE951" s="784">
        <f t="shared" si="3024"/>
        <v>0</v>
      </c>
      <c r="BF951" s="784">
        <f t="shared" si="3024"/>
        <v>125</v>
      </c>
      <c r="BG951" s="784">
        <f t="shared" si="3024"/>
        <v>200</v>
      </c>
      <c r="BH951" s="784">
        <f t="shared" si="3024"/>
        <v>960</v>
      </c>
      <c r="BI951" s="784">
        <f t="shared" si="3024"/>
        <v>275</v>
      </c>
      <c r="BJ951" s="784">
        <f t="shared" si="3024"/>
        <v>0</v>
      </c>
      <c r="BK951" s="784">
        <f t="shared" si="3024"/>
        <v>0</v>
      </c>
      <c r="BL951" s="784">
        <f t="shared" si="3024"/>
        <v>0</v>
      </c>
      <c r="BM951" s="784">
        <f t="shared" si="3024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917"/>
        <v>0</v>
      </c>
      <c r="CA951" s="586">
        <f t="shared" si="2918"/>
        <v>37.525000000000006</v>
      </c>
      <c r="CB951" s="586">
        <f t="shared" si="2919"/>
        <v>3.75</v>
      </c>
      <c r="CC951" s="586">
        <f t="shared" si="2920"/>
        <v>172.5</v>
      </c>
      <c r="CD951" s="1316">
        <f t="shared" si="2946"/>
        <v>0</v>
      </c>
      <c r="CE951" s="1317">
        <f t="shared" si="3012"/>
        <v>0</v>
      </c>
      <c r="CF951" s="1317">
        <f t="shared" si="3012"/>
        <v>0</v>
      </c>
      <c r="CG951" s="1317">
        <f t="shared" si="3012"/>
        <v>0</v>
      </c>
      <c r="CH951" s="1318">
        <f t="shared" si="3012"/>
        <v>0</v>
      </c>
      <c r="CI951" s="1318">
        <f t="shared" si="3012"/>
        <v>0</v>
      </c>
      <c r="CJ951" s="1317">
        <f t="shared" si="3012"/>
        <v>0</v>
      </c>
      <c r="CK951" s="1317">
        <f t="shared" si="3012"/>
        <v>0</v>
      </c>
      <c r="CL951" s="1317">
        <f t="shared" si="3012"/>
        <v>30</v>
      </c>
      <c r="CM951" s="1316">
        <f t="shared" si="3012"/>
        <v>100</v>
      </c>
      <c r="CN951" s="538" t="str">
        <f t="shared" si="2922"/>
        <v/>
      </c>
      <c r="CO951" s="539" t="str">
        <f t="shared" si="2923"/>
        <v/>
      </c>
      <c r="CP951" s="539" t="str">
        <f t="shared" si="2924"/>
        <v/>
      </c>
      <c r="CQ951" s="539">
        <f t="shared" si="2925"/>
        <v>0</v>
      </c>
      <c r="CR951" s="539">
        <f t="shared" si="2926"/>
        <v>0</v>
      </c>
      <c r="CS951" s="539">
        <f t="shared" si="2927"/>
        <v>0</v>
      </c>
      <c r="CT951" s="540">
        <f t="shared" si="2928"/>
        <v>0</v>
      </c>
      <c r="CU951" s="540">
        <f t="shared" si="2929"/>
        <v>125</v>
      </c>
      <c r="CV951" s="540">
        <f t="shared" si="2930"/>
        <v>180</v>
      </c>
      <c r="CW951" s="539">
        <f t="shared" si="2931"/>
        <v>200</v>
      </c>
      <c r="CX951" s="539">
        <f t="shared" si="2932"/>
        <v>275</v>
      </c>
      <c r="CY951" s="539">
        <f t="shared" si="2933"/>
        <v>600</v>
      </c>
      <c r="CZ951" s="539">
        <f t="shared" si="2934"/>
        <v>960</v>
      </c>
      <c r="DA951" s="539" t="str">
        <f t="shared" si="2935"/>
        <v/>
      </c>
      <c r="DB951" s="538" t="str">
        <f t="shared" si="2936"/>
        <v/>
      </c>
      <c r="DC951" s="537" t="str">
        <f t="shared" si="2937"/>
        <v/>
      </c>
      <c r="DD951" s="641">
        <f t="shared" si="2938"/>
        <v>10</v>
      </c>
      <c r="DE951" s="95">
        <f t="shared" si="2939"/>
        <v>10</v>
      </c>
      <c r="DF951" s="95">
        <f t="shared" si="2940"/>
        <v>10</v>
      </c>
      <c r="DG951" s="95">
        <f t="shared" si="2941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3025">SUM(B400)</f>
        <v>0</v>
      </c>
      <c r="C952" s="784">
        <f t="shared" si="3025"/>
        <v>0</v>
      </c>
      <c r="D952" s="784">
        <f t="shared" si="3025"/>
        <v>0</v>
      </c>
      <c r="E952" s="784">
        <f t="shared" si="3025"/>
        <v>0</v>
      </c>
      <c r="F952" s="784">
        <f t="shared" si="3025"/>
        <v>0</v>
      </c>
      <c r="G952" s="784">
        <f t="shared" si="3025"/>
        <v>0</v>
      </c>
      <c r="H952" s="784">
        <f t="shared" si="3025"/>
        <v>0</v>
      </c>
      <c r="I952" s="784">
        <f t="shared" si="3025"/>
        <v>0</v>
      </c>
      <c r="J952" s="784">
        <f t="shared" si="3025"/>
        <v>0</v>
      </c>
      <c r="K952" s="784">
        <f t="shared" si="3025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3026">SUM(T400)</f>
        <v>0</v>
      </c>
      <c r="U952" s="784">
        <f t="shared" si="3026"/>
        <v>100</v>
      </c>
      <c r="V952" s="784">
        <f t="shared" si="3026"/>
        <v>0</v>
      </c>
      <c r="W952" s="784">
        <f t="shared" si="3026"/>
        <v>0</v>
      </c>
      <c r="X952" s="784">
        <f t="shared" si="3026"/>
        <v>0</v>
      </c>
      <c r="Y952" s="784">
        <f t="shared" si="3026"/>
        <v>0</v>
      </c>
      <c r="Z952" s="784">
        <f t="shared" si="3026"/>
        <v>0</v>
      </c>
      <c r="AA952" s="784">
        <f t="shared" si="3026"/>
        <v>0</v>
      </c>
      <c r="AB952" s="784">
        <f t="shared" si="3026"/>
        <v>0</v>
      </c>
      <c r="AC952" s="784">
        <f t="shared" si="3026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3027">SUM(AL400)</f>
        <v>0</v>
      </c>
      <c r="AM952" s="784">
        <f t="shared" si="3027"/>
        <v>0</v>
      </c>
      <c r="AN952" s="784">
        <f t="shared" si="3027"/>
        <v>0</v>
      </c>
      <c r="AO952" s="784">
        <f t="shared" si="3027"/>
        <v>0</v>
      </c>
      <c r="AP952" s="784">
        <f t="shared" si="3027"/>
        <v>0</v>
      </c>
      <c r="AQ952" s="784">
        <f t="shared" si="3027"/>
        <v>0</v>
      </c>
      <c r="AR952" s="784">
        <f t="shared" si="3027"/>
        <v>0</v>
      </c>
      <c r="AS952" s="784">
        <f t="shared" si="3027"/>
        <v>0</v>
      </c>
      <c r="AT952" s="784">
        <f t="shared" si="3027"/>
        <v>0</v>
      </c>
      <c r="AU952" s="784">
        <f t="shared" si="3027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3028">SUM(BD400)</f>
        <v>0</v>
      </c>
      <c r="BE952" s="784">
        <f t="shared" si="3028"/>
        <v>3000</v>
      </c>
      <c r="BF952" s="784">
        <f t="shared" si="3028"/>
        <v>3500</v>
      </c>
      <c r="BG952" s="784">
        <f t="shared" si="3028"/>
        <v>0</v>
      </c>
      <c r="BH952" s="784">
        <f t="shared" si="3028"/>
        <v>0</v>
      </c>
      <c r="BI952" s="784">
        <f t="shared" si="3028"/>
        <v>0</v>
      </c>
      <c r="BJ952" s="784">
        <f t="shared" si="3028"/>
        <v>0</v>
      </c>
      <c r="BK952" s="784">
        <f t="shared" si="3028"/>
        <v>0</v>
      </c>
      <c r="BL952" s="784">
        <f t="shared" si="3028"/>
        <v>0</v>
      </c>
      <c r="BM952" s="784">
        <f t="shared" si="3028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917"/>
        <v>0</v>
      </c>
      <c r="CA952" s="586">
        <f t="shared" si="2918"/>
        <v>0</v>
      </c>
      <c r="CB952" s="586">
        <f t="shared" si="2919"/>
        <v>0</v>
      </c>
      <c r="CC952" s="586">
        <f t="shared" si="2920"/>
        <v>375</v>
      </c>
      <c r="CD952" s="1316">
        <f t="shared" si="2946"/>
        <v>0</v>
      </c>
      <c r="CE952" s="1317">
        <f t="shared" si="3012"/>
        <v>0</v>
      </c>
      <c r="CF952" s="1317">
        <f t="shared" si="3012"/>
        <v>0</v>
      </c>
      <c r="CG952" s="1317">
        <f t="shared" si="3012"/>
        <v>0</v>
      </c>
      <c r="CH952" s="1318">
        <f t="shared" si="3012"/>
        <v>0</v>
      </c>
      <c r="CI952" s="1318">
        <f t="shared" si="3012"/>
        <v>0</v>
      </c>
      <c r="CJ952" s="1317">
        <f t="shared" si="3012"/>
        <v>0</v>
      </c>
      <c r="CK952" s="1317">
        <f t="shared" si="3012"/>
        <v>0</v>
      </c>
      <c r="CL952" s="1317">
        <f t="shared" si="3012"/>
        <v>0</v>
      </c>
      <c r="CM952" s="1316">
        <f t="shared" si="3012"/>
        <v>0</v>
      </c>
      <c r="CN952" s="538" t="str">
        <f t="shared" si="2922"/>
        <v/>
      </c>
      <c r="CO952" s="539" t="str">
        <f t="shared" si="2923"/>
        <v/>
      </c>
      <c r="CP952" s="539" t="str">
        <f t="shared" si="2924"/>
        <v/>
      </c>
      <c r="CQ952" s="539">
        <f t="shared" si="2925"/>
        <v>0</v>
      </c>
      <c r="CR952" s="539">
        <f t="shared" si="2926"/>
        <v>0</v>
      </c>
      <c r="CS952" s="539">
        <f t="shared" si="2927"/>
        <v>0</v>
      </c>
      <c r="CT952" s="540">
        <f t="shared" si="2928"/>
        <v>0</v>
      </c>
      <c r="CU952" s="540">
        <f t="shared" si="2929"/>
        <v>0</v>
      </c>
      <c r="CV952" s="540">
        <f t="shared" si="2930"/>
        <v>0</v>
      </c>
      <c r="CW952" s="539">
        <f t="shared" si="2931"/>
        <v>0</v>
      </c>
      <c r="CX952" s="539">
        <f t="shared" si="2932"/>
        <v>0</v>
      </c>
      <c r="CY952" s="539">
        <f t="shared" si="2933"/>
        <v>3000</v>
      </c>
      <c r="CZ952" s="539">
        <f t="shared" si="2934"/>
        <v>3500</v>
      </c>
      <c r="DA952" s="539" t="str">
        <f t="shared" si="2935"/>
        <v/>
      </c>
      <c r="DB952" s="538" t="str">
        <f t="shared" si="2936"/>
        <v/>
      </c>
      <c r="DC952" s="537" t="str">
        <f t="shared" si="2937"/>
        <v/>
      </c>
      <c r="DD952" s="641">
        <f t="shared" si="2938"/>
        <v>10</v>
      </c>
      <c r="DE952" s="95">
        <f t="shared" si="2939"/>
        <v>10</v>
      </c>
      <c r="DF952" s="95">
        <f t="shared" si="2940"/>
        <v>10</v>
      </c>
      <c r="DG952" s="95">
        <f t="shared" si="2941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3029">SUM(B403)</f>
        <v>0</v>
      </c>
      <c r="C953" s="784">
        <f t="shared" si="3029"/>
        <v>0</v>
      </c>
      <c r="D953" s="784">
        <f t="shared" si="3029"/>
        <v>0</v>
      </c>
      <c r="E953" s="784">
        <f t="shared" si="3029"/>
        <v>0</v>
      </c>
      <c r="F953" s="784">
        <f t="shared" si="3029"/>
        <v>0</v>
      </c>
      <c r="G953" s="784">
        <f t="shared" si="3029"/>
        <v>0</v>
      </c>
      <c r="H953" s="784">
        <f t="shared" si="3029"/>
        <v>0</v>
      </c>
      <c r="I953" s="784">
        <f t="shared" si="3029"/>
        <v>0</v>
      </c>
      <c r="J953" s="784">
        <f t="shared" si="3029"/>
        <v>0</v>
      </c>
      <c r="K953" s="784">
        <f t="shared" si="3029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30">SUM(T403)</f>
        <v>0</v>
      </c>
      <c r="U953" s="784">
        <f t="shared" si="3030"/>
        <v>0</v>
      </c>
      <c r="V953" s="784">
        <f t="shared" si="3030"/>
        <v>0</v>
      </c>
      <c r="W953" s="784">
        <f t="shared" si="3030"/>
        <v>0</v>
      </c>
      <c r="X953" s="784">
        <f t="shared" si="3030"/>
        <v>0</v>
      </c>
      <c r="Y953" s="784">
        <f t="shared" si="3030"/>
        <v>0</v>
      </c>
      <c r="Z953" s="784">
        <f t="shared" si="3030"/>
        <v>0</v>
      </c>
      <c r="AA953" s="784">
        <f t="shared" si="3030"/>
        <v>0</v>
      </c>
      <c r="AB953" s="784">
        <f t="shared" si="3030"/>
        <v>0</v>
      </c>
      <c r="AC953" s="784">
        <f t="shared" si="3030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31">SUM(AL403)</f>
        <v>0</v>
      </c>
      <c r="AM953" s="784">
        <f t="shared" si="3031"/>
        <v>0</v>
      </c>
      <c r="AN953" s="784">
        <f t="shared" si="3031"/>
        <v>0</v>
      </c>
      <c r="AO953" s="784">
        <f t="shared" si="3031"/>
        <v>0</v>
      </c>
      <c r="AP953" s="784">
        <f t="shared" si="3031"/>
        <v>0</v>
      </c>
      <c r="AQ953" s="784">
        <f t="shared" si="3031"/>
        <v>0</v>
      </c>
      <c r="AR953" s="784">
        <f t="shared" si="3031"/>
        <v>0</v>
      </c>
      <c r="AS953" s="784">
        <f t="shared" si="3031"/>
        <v>0</v>
      </c>
      <c r="AT953" s="784">
        <f t="shared" si="3031"/>
        <v>0</v>
      </c>
      <c r="AU953" s="784">
        <f t="shared" si="3031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32">SUM(BD403)</f>
        <v>0</v>
      </c>
      <c r="BE953" s="784">
        <f t="shared" si="3032"/>
        <v>0</v>
      </c>
      <c r="BF953" s="784">
        <f t="shared" si="3032"/>
        <v>0</v>
      </c>
      <c r="BG953" s="784">
        <f t="shared" si="3032"/>
        <v>0</v>
      </c>
      <c r="BH953" s="784">
        <f t="shared" si="3032"/>
        <v>0</v>
      </c>
      <c r="BI953" s="784">
        <f t="shared" si="3032"/>
        <v>0</v>
      </c>
      <c r="BJ953" s="784">
        <f t="shared" si="3032"/>
        <v>0</v>
      </c>
      <c r="BK953" s="784">
        <f t="shared" si="3032"/>
        <v>0</v>
      </c>
      <c r="BL953" s="784">
        <f t="shared" si="3032"/>
        <v>0</v>
      </c>
      <c r="BM953" s="784">
        <f t="shared" si="3032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917"/>
        <v>0</v>
      </c>
      <c r="CA953" s="586">
        <f t="shared" si="2918"/>
        <v>0</v>
      </c>
      <c r="CB953" s="586">
        <f t="shared" si="2919"/>
        <v>0</v>
      </c>
      <c r="CC953" s="586">
        <f t="shared" si="2920"/>
        <v>0</v>
      </c>
      <c r="CD953" s="1316">
        <f t="shared" si="2946"/>
        <v>0</v>
      </c>
      <c r="CE953" s="1317">
        <f t="shared" si="3012"/>
        <v>0</v>
      </c>
      <c r="CF953" s="1317">
        <f t="shared" si="3012"/>
        <v>0</v>
      </c>
      <c r="CG953" s="1317">
        <f t="shared" si="3012"/>
        <v>0</v>
      </c>
      <c r="CH953" s="1318">
        <f t="shared" si="3012"/>
        <v>0</v>
      </c>
      <c r="CI953" s="1318">
        <f t="shared" si="3012"/>
        <v>0</v>
      </c>
      <c r="CJ953" s="1317">
        <f t="shared" si="3012"/>
        <v>0</v>
      </c>
      <c r="CK953" s="1317">
        <f t="shared" si="3012"/>
        <v>0</v>
      </c>
      <c r="CL953" s="1317">
        <f t="shared" si="3012"/>
        <v>0</v>
      </c>
      <c r="CM953" s="1316">
        <f t="shared" si="3012"/>
        <v>0</v>
      </c>
      <c r="CN953" s="538" t="str">
        <f t="shared" si="2922"/>
        <v/>
      </c>
      <c r="CO953" s="539" t="str">
        <f t="shared" si="2923"/>
        <v/>
      </c>
      <c r="CP953" s="539" t="str">
        <f t="shared" si="2924"/>
        <v/>
      </c>
      <c r="CQ953" s="539">
        <f t="shared" si="2925"/>
        <v>0</v>
      </c>
      <c r="CR953" s="539">
        <f t="shared" si="2926"/>
        <v>0</v>
      </c>
      <c r="CS953" s="539">
        <f t="shared" si="2927"/>
        <v>0</v>
      </c>
      <c r="CT953" s="540">
        <f t="shared" si="2928"/>
        <v>0</v>
      </c>
      <c r="CU953" s="540">
        <f t="shared" si="2929"/>
        <v>0</v>
      </c>
      <c r="CV953" s="540">
        <f t="shared" si="2930"/>
        <v>0</v>
      </c>
      <c r="CW953" s="539">
        <f t="shared" si="2931"/>
        <v>0</v>
      </c>
      <c r="CX953" s="539">
        <f t="shared" si="2932"/>
        <v>0</v>
      </c>
      <c r="CY953" s="539">
        <f t="shared" si="2933"/>
        <v>0</v>
      </c>
      <c r="CZ953" s="539">
        <f t="shared" si="2934"/>
        <v>0</v>
      </c>
      <c r="DA953" s="539" t="str">
        <f t="shared" si="2935"/>
        <v/>
      </c>
      <c r="DB953" s="538" t="str">
        <f t="shared" si="2936"/>
        <v/>
      </c>
      <c r="DC953" s="537" t="str">
        <f t="shared" si="2937"/>
        <v/>
      </c>
      <c r="DD953" s="641">
        <f t="shared" si="2938"/>
        <v>10</v>
      </c>
      <c r="DE953" s="95">
        <f t="shared" si="2939"/>
        <v>10</v>
      </c>
      <c r="DF953" s="95">
        <f t="shared" si="2940"/>
        <v>10</v>
      </c>
      <c r="DG953" s="95">
        <f t="shared" si="2941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33">SUM(B406)</f>
        <v>0</v>
      </c>
      <c r="C954" s="784">
        <f t="shared" si="3033"/>
        <v>0</v>
      </c>
      <c r="D954" s="784">
        <f t="shared" si="3033"/>
        <v>0</v>
      </c>
      <c r="E954" s="784">
        <f t="shared" si="3033"/>
        <v>0</v>
      </c>
      <c r="F954" s="784">
        <f t="shared" si="3033"/>
        <v>0</v>
      </c>
      <c r="G954" s="784">
        <f t="shared" si="3033"/>
        <v>0</v>
      </c>
      <c r="H954" s="784">
        <f t="shared" si="3033"/>
        <v>0</v>
      </c>
      <c r="I954" s="784">
        <f t="shared" si="3033"/>
        <v>0</v>
      </c>
      <c r="J954" s="784">
        <f t="shared" si="3033"/>
        <v>0</v>
      </c>
      <c r="K954" s="784">
        <f t="shared" si="3033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34">SUM(T406)</f>
        <v>50</v>
      </c>
      <c r="U954" s="784">
        <f t="shared" si="3034"/>
        <v>0</v>
      </c>
      <c r="V954" s="784">
        <f t="shared" si="3034"/>
        <v>0</v>
      </c>
      <c r="W954" s="784">
        <f t="shared" si="3034"/>
        <v>0</v>
      </c>
      <c r="X954" s="784">
        <f t="shared" si="3034"/>
        <v>0</v>
      </c>
      <c r="Y954" s="784">
        <f t="shared" si="3034"/>
        <v>0</v>
      </c>
      <c r="Z954" s="784">
        <f t="shared" si="3034"/>
        <v>0</v>
      </c>
      <c r="AA954" s="784">
        <f t="shared" si="3034"/>
        <v>0</v>
      </c>
      <c r="AB954" s="784">
        <f t="shared" si="3034"/>
        <v>0</v>
      </c>
      <c r="AC954" s="784">
        <f t="shared" si="3034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35">SUM(AL406)</f>
        <v>0</v>
      </c>
      <c r="AM954" s="784">
        <f t="shared" si="3035"/>
        <v>0</v>
      </c>
      <c r="AN954" s="784">
        <f t="shared" si="3035"/>
        <v>0</v>
      </c>
      <c r="AO954" s="784">
        <f t="shared" si="3035"/>
        <v>0</v>
      </c>
      <c r="AP954" s="784">
        <f t="shared" si="3035"/>
        <v>0</v>
      </c>
      <c r="AQ954" s="784">
        <f t="shared" si="3035"/>
        <v>0</v>
      </c>
      <c r="AR954" s="784">
        <f t="shared" si="3035"/>
        <v>0</v>
      </c>
      <c r="AS954" s="784">
        <f t="shared" si="3035"/>
        <v>0</v>
      </c>
      <c r="AT954" s="784">
        <f t="shared" si="3035"/>
        <v>10</v>
      </c>
      <c r="AU954" s="784">
        <f t="shared" si="3035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36">SUM(BD406)</f>
        <v>0</v>
      </c>
      <c r="BE954" s="784">
        <f t="shared" si="3036"/>
        <v>0</v>
      </c>
      <c r="BF954" s="784">
        <f t="shared" si="3036"/>
        <v>0</v>
      </c>
      <c r="BG954" s="784">
        <f t="shared" si="3036"/>
        <v>500</v>
      </c>
      <c r="BH954" s="784">
        <f t="shared" si="3036"/>
        <v>500</v>
      </c>
      <c r="BI954" s="784">
        <f t="shared" si="3036"/>
        <v>0</v>
      </c>
      <c r="BJ954" s="784">
        <f t="shared" si="3036"/>
        <v>0</v>
      </c>
      <c r="BK954" s="784">
        <f t="shared" si="3036"/>
        <v>0</v>
      </c>
      <c r="BL954" s="784">
        <f t="shared" si="3036"/>
        <v>0</v>
      </c>
      <c r="BM954" s="784">
        <f t="shared" si="3036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917"/>
        <v>0</v>
      </c>
      <c r="CA954" s="586">
        <f t="shared" si="2918"/>
        <v>6.25</v>
      </c>
      <c r="CB954" s="586">
        <f t="shared" si="2919"/>
        <v>0</v>
      </c>
      <c r="CC954" s="586">
        <f t="shared" si="2920"/>
        <v>82.1875</v>
      </c>
      <c r="CD954" s="1316">
        <f t="shared" si="2946"/>
        <v>0</v>
      </c>
      <c r="CE954" s="1317">
        <f t="shared" si="3012"/>
        <v>0</v>
      </c>
      <c r="CF954" s="1317">
        <f t="shared" si="3012"/>
        <v>0</v>
      </c>
      <c r="CG954" s="1317">
        <f t="shared" si="3012"/>
        <v>0</v>
      </c>
      <c r="CH954" s="1318">
        <f t="shared" si="3012"/>
        <v>0</v>
      </c>
      <c r="CI954" s="1318">
        <f t="shared" si="3012"/>
        <v>0</v>
      </c>
      <c r="CJ954" s="1317">
        <f t="shared" si="3012"/>
        <v>0</v>
      </c>
      <c r="CK954" s="1317">
        <f t="shared" si="3012"/>
        <v>0</v>
      </c>
      <c r="CL954" s="1317">
        <f t="shared" si="3012"/>
        <v>0</v>
      </c>
      <c r="CM954" s="1316">
        <f t="shared" si="3012"/>
        <v>10</v>
      </c>
      <c r="CN954" s="538" t="str">
        <f t="shared" si="2922"/>
        <v/>
      </c>
      <c r="CO954" s="539" t="str">
        <f t="shared" si="2923"/>
        <v/>
      </c>
      <c r="CP954" s="539" t="str">
        <f t="shared" si="2924"/>
        <v/>
      </c>
      <c r="CQ954" s="539">
        <f t="shared" si="2925"/>
        <v>0</v>
      </c>
      <c r="CR954" s="539">
        <f t="shared" si="2926"/>
        <v>0</v>
      </c>
      <c r="CS954" s="539">
        <f t="shared" si="2927"/>
        <v>0</v>
      </c>
      <c r="CT954" s="540">
        <f t="shared" si="2928"/>
        <v>0</v>
      </c>
      <c r="CU954" s="540">
        <f t="shared" si="2929"/>
        <v>0</v>
      </c>
      <c r="CV954" s="540">
        <f t="shared" si="2930"/>
        <v>0</v>
      </c>
      <c r="CW954" s="539">
        <f t="shared" si="2931"/>
        <v>0</v>
      </c>
      <c r="CX954" s="539">
        <f t="shared" si="2932"/>
        <v>157.5</v>
      </c>
      <c r="CY954" s="539">
        <f t="shared" si="2933"/>
        <v>500</v>
      </c>
      <c r="CZ954" s="539">
        <f t="shared" si="2934"/>
        <v>500</v>
      </c>
      <c r="DA954" s="539" t="str">
        <f t="shared" si="2935"/>
        <v/>
      </c>
      <c r="DB954" s="538" t="str">
        <f t="shared" si="2936"/>
        <v/>
      </c>
      <c r="DC954" s="537" t="str">
        <f t="shared" si="2937"/>
        <v/>
      </c>
      <c r="DD954" s="641">
        <f t="shared" si="2938"/>
        <v>10</v>
      </c>
      <c r="DE954" s="95">
        <f t="shared" si="2939"/>
        <v>10</v>
      </c>
      <c r="DF954" s="95">
        <f t="shared" si="2940"/>
        <v>10</v>
      </c>
      <c r="DG954" s="95">
        <f t="shared" si="2941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37">SUM(B409)</f>
        <v>0</v>
      </c>
      <c r="C955" s="784">
        <f t="shared" si="3037"/>
        <v>0</v>
      </c>
      <c r="D955" s="784">
        <f t="shared" si="3037"/>
        <v>0</v>
      </c>
      <c r="E955" s="784">
        <f t="shared" si="3037"/>
        <v>0</v>
      </c>
      <c r="F955" s="784">
        <f t="shared" si="3037"/>
        <v>0</v>
      </c>
      <c r="G955" s="784">
        <f t="shared" si="3037"/>
        <v>0</v>
      </c>
      <c r="H955" s="784">
        <f t="shared" si="3037"/>
        <v>0</v>
      </c>
      <c r="I955" s="784">
        <f t="shared" si="3037"/>
        <v>0</v>
      </c>
      <c r="J955" s="784">
        <f t="shared" si="3037"/>
        <v>0</v>
      </c>
      <c r="K955" s="784">
        <f t="shared" si="3037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38">SUM(T409)</f>
        <v>50</v>
      </c>
      <c r="U955" s="784">
        <f t="shared" si="3038"/>
        <v>0</v>
      </c>
      <c r="V955" s="784">
        <f t="shared" si="3038"/>
        <v>0</v>
      </c>
      <c r="W955" s="784">
        <f t="shared" si="3038"/>
        <v>0</v>
      </c>
      <c r="X955" s="784">
        <f t="shared" si="3038"/>
        <v>0</v>
      </c>
      <c r="Y955" s="784">
        <f t="shared" si="3038"/>
        <v>0</v>
      </c>
      <c r="Z955" s="784">
        <f t="shared" si="3038"/>
        <v>0</v>
      </c>
      <c r="AA955" s="784">
        <f t="shared" si="3038"/>
        <v>0</v>
      </c>
      <c r="AB955" s="784">
        <f t="shared" si="3038"/>
        <v>0</v>
      </c>
      <c r="AC955" s="784">
        <f t="shared" si="3038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39">SUM(AL409)</f>
        <v>0</v>
      </c>
      <c r="AM955" s="784">
        <f t="shared" si="3039"/>
        <v>0</v>
      </c>
      <c r="AN955" s="784">
        <f t="shared" si="3039"/>
        <v>0</v>
      </c>
      <c r="AO955" s="784">
        <f t="shared" si="3039"/>
        <v>0</v>
      </c>
      <c r="AP955" s="784">
        <f t="shared" si="3039"/>
        <v>0</v>
      </c>
      <c r="AQ955" s="784">
        <f t="shared" si="3039"/>
        <v>0</v>
      </c>
      <c r="AR955" s="784">
        <f t="shared" si="3039"/>
        <v>75</v>
      </c>
      <c r="AS955" s="784">
        <f t="shared" si="3039"/>
        <v>0</v>
      </c>
      <c r="AT955" s="784">
        <f t="shared" si="3039"/>
        <v>50</v>
      </c>
      <c r="AU955" s="784">
        <f t="shared" si="3039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40">SUM(BD409)</f>
        <v>0</v>
      </c>
      <c r="BE955" s="784">
        <f t="shared" si="3040"/>
        <v>0</v>
      </c>
      <c r="BF955" s="784">
        <f t="shared" si="3040"/>
        <v>0</v>
      </c>
      <c r="BG955" s="784">
        <f t="shared" si="3040"/>
        <v>140</v>
      </c>
      <c r="BH955" s="784">
        <f t="shared" si="3040"/>
        <v>800</v>
      </c>
      <c r="BI955" s="784">
        <f t="shared" si="3040"/>
        <v>300</v>
      </c>
      <c r="BJ955" s="784">
        <f t="shared" si="3040"/>
        <v>0</v>
      </c>
      <c r="BK955" s="784">
        <f t="shared" si="3040"/>
        <v>0</v>
      </c>
      <c r="BL955" s="784">
        <f t="shared" si="3040"/>
        <v>0</v>
      </c>
      <c r="BM955" s="784">
        <f t="shared" si="3040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917"/>
        <v>0</v>
      </c>
      <c r="CA955" s="586">
        <f t="shared" si="2918"/>
        <v>0</v>
      </c>
      <c r="CB955" s="586">
        <f t="shared" si="2919"/>
        <v>6.25</v>
      </c>
      <c r="CC955" s="586">
        <f t="shared" si="2920"/>
        <v>87.8125</v>
      </c>
      <c r="CD955" s="1316">
        <f t="shared" si="2946"/>
        <v>0</v>
      </c>
      <c r="CE955" s="1317">
        <f t="shared" si="3012"/>
        <v>0</v>
      </c>
      <c r="CF955" s="1317">
        <f t="shared" si="3012"/>
        <v>0</v>
      </c>
      <c r="CG955" s="1317">
        <f t="shared" si="3012"/>
        <v>0</v>
      </c>
      <c r="CH955" s="1318">
        <f t="shared" si="3012"/>
        <v>0</v>
      </c>
      <c r="CI955" s="1318">
        <f t="shared" si="3012"/>
        <v>0</v>
      </c>
      <c r="CJ955" s="1317">
        <f t="shared" si="3012"/>
        <v>0</v>
      </c>
      <c r="CK955" s="1317">
        <f t="shared" si="3012"/>
        <v>0</v>
      </c>
      <c r="CL955" s="1317">
        <f t="shared" si="3012"/>
        <v>50</v>
      </c>
      <c r="CM955" s="1316">
        <f t="shared" si="3012"/>
        <v>75</v>
      </c>
      <c r="CN955" s="538" t="str">
        <f t="shared" si="2922"/>
        <v/>
      </c>
      <c r="CO955" s="539" t="str">
        <f t="shared" si="2923"/>
        <v/>
      </c>
      <c r="CP955" s="539" t="str">
        <f t="shared" si="2924"/>
        <v/>
      </c>
      <c r="CQ955" s="539">
        <f t="shared" si="2925"/>
        <v>0</v>
      </c>
      <c r="CR955" s="539">
        <f t="shared" si="2926"/>
        <v>0</v>
      </c>
      <c r="CS955" s="539">
        <f t="shared" si="2927"/>
        <v>0</v>
      </c>
      <c r="CT955" s="540">
        <f t="shared" si="2928"/>
        <v>0</v>
      </c>
      <c r="CU955" s="540">
        <f t="shared" si="2929"/>
        <v>0</v>
      </c>
      <c r="CV955" s="540">
        <f t="shared" si="2930"/>
        <v>0</v>
      </c>
      <c r="CW955" s="539">
        <f t="shared" si="2931"/>
        <v>140</v>
      </c>
      <c r="CX955" s="539">
        <f t="shared" si="2932"/>
        <v>262.5</v>
      </c>
      <c r="CY955" s="539">
        <f t="shared" si="2933"/>
        <v>300</v>
      </c>
      <c r="CZ955" s="539">
        <f t="shared" si="2934"/>
        <v>800</v>
      </c>
      <c r="DA955" s="539" t="str">
        <f t="shared" si="2935"/>
        <v/>
      </c>
      <c r="DB955" s="538" t="str">
        <f t="shared" si="2936"/>
        <v/>
      </c>
      <c r="DC955" s="537" t="str">
        <f t="shared" si="2937"/>
        <v/>
      </c>
      <c r="DD955" s="641">
        <f t="shared" si="2938"/>
        <v>10</v>
      </c>
      <c r="DE955" s="95">
        <f t="shared" si="2939"/>
        <v>10</v>
      </c>
      <c r="DF955" s="95">
        <f t="shared" si="2940"/>
        <v>10</v>
      </c>
      <c r="DG955" s="95">
        <f t="shared" si="2941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41">SUM(B412)</f>
        <v>0</v>
      </c>
      <c r="C956" s="784">
        <f t="shared" si="3041"/>
        <v>0</v>
      </c>
      <c r="D956" s="784">
        <f t="shared" si="3041"/>
        <v>0</v>
      </c>
      <c r="E956" s="784">
        <f t="shared" si="3041"/>
        <v>0</v>
      </c>
      <c r="F956" s="784">
        <f t="shared" si="3041"/>
        <v>0</v>
      </c>
      <c r="G956" s="784">
        <f t="shared" si="3041"/>
        <v>0</v>
      </c>
      <c r="H956" s="784">
        <f t="shared" si="3041"/>
        <v>0</v>
      </c>
      <c r="I956" s="784">
        <f t="shared" si="3041"/>
        <v>0</v>
      </c>
      <c r="J956" s="784">
        <f t="shared" si="3041"/>
        <v>0</v>
      </c>
      <c r="K956" s="784">
        <f t="shared" si="3041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42">SUM(T412)</f>
        <v>50</v>
      </c>
      <c r="U956" s="784">
        <f t="shared" si="3042"/>
        <v>0</v>
      </c>
      <c r="V956" s="784">
        <f t="shared" si="3042"/>
        <v>0</v>
      </c>
      <c r="W956" s="784">
        <f t="shared" si="3042"/>
        <v>0</v>
      </c>
      <c r="X956" s="784">
        <f t="shared" si="3042"/>
        <v>0</v>
      </c>
      <c r="Y956" s="784">
        <f t="shared" si="3042"/>
        <v>0</v>
      </c>
      <c r="Z956" s="784">
        <f t="shared" si="3042"/>
        <v>49.879999999999995</v>
      </c>
      <c r="AA956" s="784">
        <f t="shared" si="3042"/>
        <v>0</v>
      </c>
      <c r="AB956" s="784">
        <f t="shared" si="3042"/>
        <v>0</v>
      </c>
      <c r="AC956" s="784">
        <f t="shared" si="3042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43">SUM(AL412)</f>
        <v>0</v>
      </c>
      <c r="AM956" s="784">
        <f t="shared" si="3043"/>
        <v>0</v>
      </c>
      <c r="AN956" s="784">
        <f t="shared" si="3043"/>
        <v>0</v>
      </c>
      <c r="AO956" s="784">
        <f t="shared" si="3043"/>
        <v>0</v>
      </c>
      <c r="AP956" s="784">
        <f t="shared" si="3043"/>
        <v>0</v>
      </c>
      <c r="AQ956" s="784">
        <f t="shared" si="3043"/>
        <v>0</v>
      </c>
      <c r="AR956" s="784">
        <f t="shared" si="3043"/>
        <v>0</v>
      </c>
      <c r="AS956" s="784">
        <f t="shared" si="3043"/>
        <v>0</v>
      </c>
      <c r="AT956" s="784">
        <f t="shared" si="3043"/>
        <v>0</v>
      </c>
      <c r="AU956" s="784">
        <f t="shared" si="3043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44">SUM(BD412)</f>
        <v>0</v>
      </c>
      <c r="BE956" s="784">
        <f t="shared" si="3044"/>
        <v>0</v>
      </c>
      <c r="BF956" s="784">
        <f t="shared" si="3044"/>
        <v>0</v>
      </c>
      <c r="BG956" s="784">
        <f t="shared" si="3044"/>
        <v>0</v>
      </c>
      <c r="BH956" s="784">
        <f t="shared" si="3044"/>
        <v>0</v>
      </c>
      <c r="BI956" s="784">
        <f t="shared" si="3044"/>
        <v>0</v>
      </c>
      <c r="BJ956" s="784">
        <f t="shared" si="3044"/>
        <v>0</v>
      </c>
      <c r="BK956" s="784">
        <f t="shared" si="3044"/>
        <v>0</v>
      </c>
      <c r="BL956" s="784">
        <f t="shared" si="3044"/>
        <v>0</v>
      </c>
      <c r="BM956" s="784">
        <f t="shared" si="3044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917"/>
        <v>0</v>
      </c>
      <c r="CA956" s="586">
        <f t="shared" si="2918"/>
        <v>6.2349999999999994</v>
      </c>
      <c r="CB956" s="586">
        <f t="shared" si="2919"/>
        <v>0</v>
      </c>
      <c r="CC956" s="586">
        <f t="shared" si="2920"/>
        <v>0</v>
      </c>
      <c r="CD956" s="1316">
        <f t="shared" si="2946"/>
        <v>0</v>
      </c>
      <c r="CE956" s="1317">
        <f t="shared" si="3012"/>
        <v>0</v>
      </c>
      <c r="CF956" s="1317">
        <f t="shared" si="3012"/>
        <v>0</v>
      </c>
      <c r="CG956" s="1317">
        <f t="shared" si="3012"/>
        <v>0</v>
      </c>
      <c r="CH956" s="1318">
        <f t="shared" si="3012"/>
        <v>0</v>
      </c>
      <c r="CI956" s="1318">
        <f t="shared" si="3012"/>
        <v>0</v>
      </c>
      <c r="CJ956" s="1317">
        <f t="shared" si="3012"/>
        <v>0</v>
      </c>
      <c r="CK956" s="1317">
        <f t="shared" si="3012"/>
        <v>0</v>
      </c>
      <c r="CL956" s="1317">
        <f t="shared" si="3012"/>
        <v>0</v>
      </c>
      <c r="CM956" s="1316">
        <f t="shared" si="3012"/>
        <v>0</v>
      </c>
      <c r="CN956" s="538" t="str">
        <f t="shared" si="2922"/>
        <v/>
      </c>
      <c r="CO956" s="539" t="str">
        <f t="shared" si="2923"/>
        <v/>
      </c>
      <c r="CP956" s="539" t="str">
        <f t="shared" si="2924"/>
        <v/>
      </c>
      <c r="CQ956" s="539">
        <f t="shared" si="2925"/>
        <v>0</v>
      </c>
      <c r="CR956" s="539">
        <f t="shared" si="2926"/>
        <v>0</v>
      </c>
      <c r="CS956" s="539">
        <f t="shared" si="2927"/>
        <v>0</v>
      </c>
      <c r="CT956" s="540">
        <f t="shared" si="2928"/>
        <v>0</v>
      </c>
      <c r="CU956" s="540">
        <f t="shared" si="2929"/>
        <v>0</v>
      </c>
      <c r="CV956" s="540">
        <f t="shared" si="2930"/>
        <v>0</v>
      </c>
      <c r="CW956" s="539">
        <f t="shared" si="2931"/>
        <v>0</v>
      </c>
      <c r="CX956" s="539">
        <f t="shared" si="2932"/>
        <v>0</v>
      </c>
      <c r="CY956" s="539">
        <f t="shared" si="2933"/>
        <v>0</v>
      </c>
      <c r="CZ956" s="539">
        <f t="shared" si="2934"/>
        <v>280</v>
      </c>
      <c r="DA956" s="539" t="str">
        <f t="shared" si="2935"/>
        <v/>
      </c>
      <c r="DB956" s="538" t="str">
        <f t="shared" si="2936"/>
        <v/>
      </c>
      <c r="DC956" s="537" t="str">
        <f t="shared" si="2937"/>
        <v/>
      </c>
      <c r="DD956" s="641">
        <f t="shared" si="2938"/>
        <v>10</v>
      </c>
      <c r="DE956" s="95">
        <f t="shared" si="2939"/>
        <v>10</v>
      </c>
      <c r="DF956" s="95">
        <f t="shared" si="2940"/>
        <v>10</v>
      </c>
      <c r="DG956" s="95">
        <f t="shared" si="2941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45">SUM(B415)</f>
        <v>0</v>
      </c>
      <c r="C957" s="784">
        <f t="shared" si="3045"/>
        <v>0</v>
      </c>
      <c r="D957" s="784">
        <f t="shared" si="3045"/>
        <v>0</v>
      </c>
      <c r="E957" s="784">
        <f t="shared" si="3045"/>
        <v>0</v>
      </c>
      <c r="F957" s="784">
        <f t="shared" si="3045"/>
        <v>0</v>
      </c>
      <c r="G957" s="784">
        <f t="shared" si="3045"/>
        <v>0</v>
      </c>
      <c r="H957" s="784">
        <f t="shared" si="3045"/>
        <v>0</v>
      </c>
      <c r="I957" s="784">
        <f t="shared" si="3045"/>
        <v>0</v>
      </c>
      <c r="J957" s="784">
        <f t="shared" si="3045"/>
        <v>0</v>
      </c>
      <c r="K957" s="784">
        <f t="shared" si="3045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46">SUM(T415)</f>
        <v>0</v>
      </c>
      <c r="U957" s="784">
        <f t="shared" si="3046"/>
        <v>0</v>
      </c>
      <c r="V957" s="784">
        <f t="shared" si="3046"/>
        <v>0</v>
      </c>
      <c r="W957" s="784">
        <f t="shared" si="3046"/>
        <v>0</v>
      </c>
      <c r="X957" s="784">
        <f t="shared" si="3046"/>
        <v>0</v>
      </c>
      <c r="Y957" s="784">
        <f t="shared" si="3046"/>
        <v>0</v>
      </c>
      <c r="Z957" s="784">
        <f t="shared" si="3046"/>
        <v>0</v>
      </c>
      <c r="AA957" s="784">
        <f t="shared" si="3046"/>
        <v>0</v>
      </c>
      <c r="AB957" s="784">
        <f t="shared" si="3046"/>
        <v>0</v>
      </c>
      <c r="AC957" s="784">
        <f t="shared" si="3046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47">SUM(AL415)</f>
        <v>0</v>
      </c>
      <c r="AM957" s="784">
        <f t="shared" si="3047"/>
        <v>0</v>
      </c>
      <c r="AN957" s="784">
        <f t="shared" si="3047"/>
        <v>0</v>
      </c>
      <c r="AO957" s="784">
        <f t="shared" si="3047"/>
        <v>0</v>
      </c>
      <c r="AP957" s="784">
        <f t="shared" si="3047"/>
        <v>0</v>
      </c>
      <c r="AQ957" s="784">
        <f t="shared" si="3047"/>
        <v>0</v>
      </c>
      <c r="AR957" s="784">
        <f t="shared" si="3047"/>
        <v>0</v>
      </c>
      <c r="AS957" s="784">
        <f t="shared" si="3047"/>
        <v>0</v>
      </c>
      <c r="AT957" s="784">
        <f t="shared" si="3047"/>
        <v>0</v>
      </c>
      <c r="AU957" s="784">
        <f t="shared" si="3047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48">SUM(BD415)</f>
        <v>0</v>
      </c>
      <c r="BE957" s="784">
        <f t="shared" si="3048"/>
        <v>0</v>
      </c>
      <c r="BF957" s="784">
        <f t="shared" si="3048"/>
        <v>0</v>
      </c>
      <c r="BG957" s="784">
        <f t="shared" si="3048"/>
        <v>0</v>
      </c>
      <c r="BH957" s="784">
        <f t="shared" si="3048"/>
        <v>0</v>
      </c>
      <c r="BI957" s="784">
        <f t="shared" si="3048"/>
        <v>0</v>
      </c>
      <c r="BJ957" s="784">
        <f t="shared" si="3048"/>
        <v>0</v>
      </c>
      <c r="BK957" s="784">
        <f t="shared" si="3048"/>
        <v>0</v>
      </c>
      <c r="BL957" s="784">
        <f t="shared" si="3048"/>
        <v>0</v>
      </c>
      <c r="BM957" s="784">
        <f t="shared" si="3048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917"/>
        <v>0</v>
      </c>
      <c r="CA957" s="586">
        <f t="shared" si="2918"/>
        <v>0</v>
      </c>
      <c r="CB957" s="586">
        <f t="shared" si="2919"/>
        <v>0</v>
      </c>
      <c r="CC957" s="586">
        <f t="shared" si="2920"/>
        <v>0</v>
      </c>
      <c r="CD957" s="1316">
        <f t="shared" si="2946"/>
        <v>0</v>
      </c>
      <c r="CE957" s="1317">
        <f t="shared" si="3012"/>
        <v>0</v>
      </c>
      <c r="CF957" s="1317">
        <f t="shared" si="3012"/>
        <v>0</v>
      </c>
      <c r="CG957" s="1317">
        <f t="shared" si="3012"/>
        <v>0</v>
      </c>
      <c r="CH957" s="1318">
        <f t="shared" si="3012"/>
        <v>0</v>
      </c>
      <c r="CI957" s="1318">
        <f t="shared" si="3012"/>
        <v>0</v>
      </c>
      <c r="CJ957" s="1317">
        <f t="shared" si="3012"/>
        <v>0</v>
      </c>
      <c r="CK957" s="1317">
        <f t="shared" si="3012"/>
        <v>0</v>
      </c>
      <c r="CL957" s="1317">
        <f t="shared" si="3012"/>
        <v>0</v>
      </c>
      <c r="CM957" s="1316">
        <f t="shared" si="3012"/>
        <v>0</v>
      </c>
      <c r="CN957" s="538" t="str">
        <f t="shared" si="2922"/>
        <v/>
      </c>
      <c r="CO957" s="539" t="str">
        <f t="shared" si="2923"/>
        <v/>
      </c>
      <c r="CP957" s="539" t="str">
        <f t="shared" si="2924"/>
        <v/>
      </c>
      <c r="CQ957" s="539">
        <f t="shared" si="2925"/>
        <v>0</v>
      </c>
      <c r="CR957" s="539">
        <f t="shared" si="2926"/>
        <v>0</v>
      </c>
      <c r="CS957" s="539">
        <f t="shared" si="2927"/>
        <v>0</v>
      </c>
      <c r="CT957" s="540">
        <f t="shared" si="2928"/>
        <v>0</v>
      </c>
      <c r="CU957" s="540">
        <f t="shared" si="2929"/>
        <v>0</v>
      </c>
      <c r="CV957" s="540">
        <f t="shared" si="2930"/>
        <v>0</v>
      </c>
      <c r="CW957" s="539">
        <f t="shared" si="2931"/>
        <v>0</v>
      </c>
      <c r="CX957" s="539">
        <f t="shared" si="2932"/>
        <v>0</v>
      </c>
      <c r="CY957" s="539">
        <f t="shared" si="2933"/>
        <v>0</v>
      </c>
      <c r="CZ957" s="539">
        <f t="shared" si="2934"/>
        <v>0</v>
      </c>
      <c r="DA957" s="539" t="str">
        <f t="shared" si="2935"/>
        <v/>
      </c>
      <c r="DB957" s="538" t="str">
        <f t="shared" si="2936"/>
        <v/>
      </c>
      <c r="DC957" s="537" t="str">
        <f t="shared" si="2937"/>
        <v/>
      </c>
      <c r="DD957" s="641">
        <f t="shared" si="2938"/>
        <v>10</v>
      </c>
      <c r="DE957" s="95">
        <f t="shared" si="2939"/>
        <v>10</v>
      </c>
      <c r="DF957" s="95">
        <f t="shared" si="2940"/>
        <v>10</v>
      </c>
      <c r="DG957" s="95">
        <f t="shared" si="2941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49">SUM(B418)</f>
        <v>0</v>
      </c>
      <c r="C958" s="784">
        <f t="shared" si="3049"/>
        <v>0</v>
      </c>
      <c r="D958" s="784">
        <f t="shared" si="3049"/>
        <v>0</v>
      </c>
      <c r="E958" s="784">
        <f t="shared" si="3049"/>
        <v>0</v>
      </c>
      <c r="F958" s="784">
        <f t="shared" si="3049"/>
        <v>0</v>
      </c>
      <c r="G958" s="784">
        <f t="shared" si="3049"/>
        <v>0</v>
      </c>
      <c r="H958" s="784">
        <f t="shared" si="3049"/>
        <v>0</v>
      </c>
      <c r="I958" s="784">
        <f t="shared" si="3049"/>
        <v>0</v>
      </c>
      <c r="J958" s="784">
        <f t="shared" si="3049"/>
        <v>0</v>
      </c>
      <c r="K958" s="784">
        <f t="shared" si="3049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50">SUM(T418)</f>
        <v>0</v>
      </c>
      <c r="U958" s="784">
        <f t="shared" si="3050"/>
        <v>0</v>
      </c>
      <c r="V958" s="784">
        <f t="shared" si="3050"/>
        <v>0</v>
      </c>
      <c r="W958" s="784">
        <f t="shared" si="3050"/>
        <v>0</v>
      </c>
      <c r="X958" s="784">
        <f t="shared" si="3050"/>
        <v>0</v>
      </c>
      <c r="Y958" s="784">
        <f t="shared" si="3050"/>
        <v>0</v>
      </c>
      <c r="Z958" s="784">
        <f t="shared" si="3050"/>
        <v>0</v>
      </c>
      <c r="AA958" s="784">
        <f t="shared" si="3050"/>
        <v>0</v>
      </c>
      <c r="AB958" s="784">
        <f t="shared" si="3050"/>
        <v>0</v>
      </c>
      <c r="AC958" s="784">
        <f t="shared" si="3050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51">SUM(AL418)</f>
        <v>0</v>
      </c>
      <c r="AM958" s="784">
        <f t="shared" si="3051"/>
        <v>0</v>
      </c>
      <c r="AN958" s="784">
        <f t="shared" si="3051"/>
        <v>0</v>
      </c>
      <c r="AO958" s="784">
        <f t="shared" si="3051"/>
        <v>0</v>
      </c>
      <c r="AP958" s="784">
        <f t="shared" si="3051"/>
        <v>0</v>
      </c>
      <c r="AQ958" s="784">
        <f t="shared" si="3051"/>
        <v>0</v>
      </c>
      <c r="AR958" s="784">
        <f t="shared" si="3051"/>
        <v>0</v>
      </c>
      <c r="AS958" s="784">
        <f t="shared" si="3051"/>
        <v>0</v>
      </c>
      <c r="AT958" s="784">
        <f t="shared" si="3051"/>
        <v>0</v>
      </c>
      <c r="AU958" s="784">
        <f t="shared" si="3051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52">SUM(BD418)</f>
        <v>0</v>
      </c>
      <c r="BE958" s="784">
        <f t="shared" si="3052"/>
        <v>0</v>
      </c>
      <c r="BF958" s="784">
        <f t="shared" si="3052"/>
        <v>0</v>
      </c>
      <c r="BG958" s="784">
        <f t="shared" si="3052"/>
        <v>0</v>
      </c>
      <c r="BH958" s="784">
        <f t="shared" si="3052"/>
        <v>0</v>
      </c>
      <c r="BI958" s="784">
        <f t="shared" si="3052"/>
        <v>0</v>
      </c>
      <c r="BJ958" s="784">
        <f t="shared" si="3052"/>
        <v>0</v>
      </c>
      <c r="BK958" s="784">
        <f t="shared" si="3052"/>
        <v>0</v>
      </c>
      <c r="BL958" s="784">
        <f t="shared" si="3052"/>
        <v>0</v>
      </c>
      <c r="BM958" s="784">
        <f t="shared" si="3052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917"/>
        <v>0</v>
      </c>
      <c r="CA958" s="586">
        <f t="shared" si="2918"/>
        <v>0</v>
      </c>
      <c r="CB958" s="586">
        <f t="shared" si="2919"/>
        <v>0</v>
      </c>
      <c r="CC958" s="586">
        <f t="shared" si="2920"/>
        <v>0</v>
      </c>
      <c r="CD958" s="1316">
        <f t="shared" si="2946"/>
        <v>0</v>
      </c>
      <c r="CE958" s="1317">
        <f t="shared" si="3012"/>
        <v>0</v>
      </c>
      <c r="CF958" s="1317">
        <f t="shared" si="3012"/>
        <v>0</v>
      </c>
      <c r="CG958" s="1317">
        <f t="shared" si="3012"/>
        <v>0</v>
      </c>
      <c r="CH958" s="1318">
        <f t="shared" si="3012"/>
        <v>0</v>
      </c>
      <c r="CI958" s="1318">
        <f t="shared" si="3012"/>
        <v>0</v>
      </c>
      <c r="CJ958" s="1317">
        <f t="shared" si="3012"/>
        <v>0</v>
      </c>
      <c r="CK958" s="1317">
        <f t="shared" si="3012"/>
        <v>0</v>
      </c>
      <c r="CL958" s="1317">
        <f t="shared" si="3012"/>
        <v>0</v>
      </c>
      <c r="CM958" s="1316">
        <f t="shared" si="3012"/>
        <v>0</v>
      </c>
      <c r="CN958" s="538" t="str">
        <f t="shared" si="2922"/>
        <v/>
      </c>
      <c r="CO958" s="539" t="str">
        <f t="shared" si="2923"/>
        <v/>
      </c>
      <c r="CP958" s="539" t="str">
        <f t="shared" si="2924"/>
        <v/>
      </c>
      <c r="CQ958" s="539">
        <f t="shared" si="2925"/>
        <v>0</v>
      </c>
      <c r="CR958" s="539">
        <f t="shared" si="2926"/>
        <v>0</v>
      </c>
      <c r="CS958" s="539">
        <f t="shared" si="2927"/>
        <v>0</v>
      </c>
      <c r="CT958" s="540">
        <f t="shared" si="2928"/>
        <v>0</v>
      </c>
      <c r="CU958" s="540">
        <f t="shared" si="2929"/>
        <v>0</v>
      </c>
      <c r="CV958" s="540">
        <f t="shared" si="2930"/>
        <v>0</v>
      </c>
      <c r="CW958" s="539">
        <f t="shared" si="2931"/>
        <v>0</v>
      </c>
      <c r="CX958" s="539">
        <f t="shared" si="2932"/>
        <v>0</v>
      </c>
      <c r="CY958" s="539">
        <f t="shared" si="2933"/>
        <v>0</v>
      </c>
      <c r="CZ958" s="539">
        <f t="shared" si="2934"/>
        <v>0</v>
      </c>
      <c r="DA958" s="539" t="str">
        <f t="shared" si="2935"/>
        <v/>
      </c>
      <c r="DB958" s="538" t="str">
        <f t="shared" si="2936"/>
        <v/>
      </c>
      <c r="DC958" s="537" t="str">
        <f t="shared" si="2937"/>
        <v/>
      </c>
      <c r="DD958" s="641">
        <f t="shared" si="2938"/>
        <v>10</v>
      </c>
      <c r="DE958" s="95">
        <f t="shared" si="2939"/>
        <v>10</v>
      </c>
      <c r="DF958" s="95">
        <f t="shared" si="2940"/>
        <v>10</v>
      </c>
      <c r="DG958" s="95">
        <f t="shared" si="2941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53">SUM(B422)</f>
        <v>0</v>
      </c>
      <c r="C959" s="784">
        <f t="shared" si="3053"/>
        <v>0</v>
      </c>
      <c r="D959" s="784">
        <f t="shared" si="3053"/>
        <v>0</v>
      </c>
      <c r="E959" s="784">
        <f t="shared" si="3053"/>
        <v>0</v>
      </c>
      <c r="F959" s="784">
        <f t="shared" si="3053"/>
        <v>0</v>
      </c>
      <c r="G959" s="784">
        <f t="shared" si="3053"/>
        <v>0</v>
      </c>
      <c r="H959" s="784">
        <f t="shared" si="3053"/>
        <v>0</v>
      </c>
      <c r="I959" s="784">
        <f t="shared" si="3053"/>
        <v>0</v>
      </c>
      <c r="J959" s="784">
        <f t="shared" si="3053"/>
        <v>0</v>
      </c>
      <c r="K959" s="784">
        <f t="shared" si="3053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54">SUM(T422)</f>
        <v>0</v>
      </c>
      <c r="U959" s="784">
        <f t="shared" si="3054"/>
        <v>0</v>
      </c>
      <c r="V959" s="784">
        <f t="shared" si="3054"/>
        <v>0</v>
      </c>
      <c r="W959" s="784">
        <f t="shared" si="3054"/>
        <v>0</v>
      </c>
      <c r="X959" s="784">
        <f t="shared" si="3054"/>
        <v>0</v>
      </c>
      <c r="Y959" s="784">
        <f t="shared" si="3054"/>
        <v>0</v>
      </c>
      <c r="Z959" s="784">
        <f t="shared" si="3054"/>
        <v>50.150000000000006</v>
      </c>
      <c r="AA959" s="784">
        <f t="shared" si="3054"/>
        <v>0</v>
      </c>
      <c r="AB959" s="784">
        <f t="shared" si="3054"/>
        <v>0</v>
      </c>
      <c r="AC959" s="784">
        <f t="shared" si="3054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55">SUM(AL422)</f>
        <v>0</v>
      </c>
      <c r="AM959" s="784">
        <f t="shared" si="3055"/>
        <v>0</v>
      </c>
      <c r="AN959" s="784">
        <f t="shared" si="3055"/>
        <v>0</v>
      </c>
      <c r="AO959" s="784">
        <f t="shared" si="3055"/>
        <v>0</v>
      </c>
      <c r="AP959" s="784">
        <f t="shared" si="3055"/>
        <v>0</v>
      </c>
      <c r="AQ959" s="784">
        <f t="shared" si="3055"/>
        <v>0</v>
      </c>
      <c r="AR959" s="784">
        <f t="shared" si="3055"/>
        <v>0</v>
      </c>
      <c r="AS959" s="784">
        <f t="shared" si="3055"/>
        <v>0</v>
      </c>
      <c r="AT959" s="784">
        <f t="shared" si="3055"/>
        <v>0</v>
      </c>
      <c r="AU959" s="784">
        <f t="shared" si="3055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56">SUM(BD422)</f>
        <v>0</v>
      </c>
      <c r="BE959" s="784">
        <f t="shared" si="3056"/>
        <v>0</v>
      </c>
      <c r="BF959" s="784">
        <f t="shared" si="3056"/>
        <v>150</v>
      </c>
      <c r="BG959" s="784">
        <f t="shared" si="3056"/>
        <v>0</v>
      </c>
      <c r="BH959" s="784">
        <f t="shared" si="3056"/>
        <v>0</v>
      </c>
      <c r="BI959" s="784">
        <f t="shared" si="3056"/>
        <v>0</v>
      </c>
      <c r="BJ959" s="784">
        <f t="shared" si="3056"/>
        <v>0</v>
      </c>
      <c r="BK959" s="784">
        <f t="shared" si="3056"/>
        <v>0</v>
      </c>
      <c r="BL959" s="784">
        <f t="shared" si="3056"/>
        <v>0</v>
      </c>
      <c r="BM959" s="784">
        <f t="shared" si="3056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917"/>
        <v>0</v>
      </c>
      <c r="CA959" s="586">
        <f t="shared" si="2918"/>
        <v>0</v>
      </c>
      <c r="CB959" s="586">
        <f t="shared" si="2919"/>
        <v>0</v>
      </c>
      <c r="CC959" s="586">
        <f t="shared" si="2920"/>
        <v>0</v>
      </c>
      <c r="CD959" s="1316">
        <f t="shared" si="2946"/>
        <v>0</v>
      </c>
      <c r="CE959" s="1317">
        <f t="shared" si="3012"/>
        <v>0</v>
      </c>
      <c r="CF959" s="1317">
        <f t="shared" si="3012"/>
        <v>0</v>
      </c>
      <c r="CG959" s="1317">
        <f t="shared" si="3012"/>
        <v>0</v>
      </c>
      <c r="CH959" s="1318">
        <f t="shared" si="3012"/>
        <v>0</v>
      </c>
      <c r="CI959" s="1318">
        <f t="shared" si="3012"/>
        <v>0</v>
      </c>
      <c r="CJ959" s="1317">
        <f t="shared" si="3012"/>
        <v>0</v>
      </c>
      <c r="CK959" s="1317">
        <f t="shared" si="3012"/>
        <v>0</v>
      </c>
      <c r="CL959" s="1317">
        <f t="shared" si="3012"/>
        <v>0</v>
      </c>
      <c r="CM959" s="1316">
        <f t="shared" si="3012"/>
        <v>0</v>
      </c>
      <c r="CN959" s="538" t="str">
        <f t="shared" si="2922"/>
        <v/>
      </c>
      <c r="CO959" s="539" t="str">
        <f t="shared" si="2923"/>
        <v/>
      </c>
      <c r="CP959" s="539" t="str">
        <f t="shared" si="2924"/>
        <v/>
      </c>
      <c r="CQ959" s="539">
        <f t="shared" si="2925"/>
        <v>0</v>
      </c>
      <c r="CR959" s="539">
        <f t="shared" si="2926"/>
        <v>0</v>
      </c>
      <c r="CS959" s="539">
        <f t="shared" si="2927"/>
        <v>0</v>
      </c>
      <c r="CT959" s="540">
        <f t="shared" si="2928"/>
        <v>0</v>
      </c>
      <c r="CU959" s="540">
        <f t="shared" si="2929"/>
        <v>0</v>
      </c>
      <c r="CV959" s="540">
        <f t="shared" si="2930"/>
        <v>0</v>
      </c>
      <c r="CW959" s="539">
        <f t="shared" si="2931"/>
        <v>0</v>
      </c>
      <c r="CX959" s="539">
        <f t="shared" si="2932"/>
        <v>0</v>
      </c>
      <c r="CY959" s="539">
        <f t="shared" si="2933"/>
        <v>0</v>
      </c>
      <c r="CZ959" s="539">
        <f t="shared" si="2934"/>
        <v>150</v>
      </c>
      <c r="DA959" s="539" t="str">
        <f t="shared" si="2935"/>
        <v/>
      </c>
      <c r="DB959" s="538" t="str">
        <f t="shared" si="2936"/>
        <v/>
      </c>
      <c r="DC959" s="537" t="str">
        <f t="shared" si="2937"/>
        <v/>
      </c>
      <c r="DD959" s="641">
        <f t="shared" si="2938"/>
        <v>10</v>
      </c>
      <c r="DE959" s="95">
        <f t="shared" si="2939"/>
        <v>10</v>
      </c>
      <c r="DF959" s="95">
        <f t="shared" si="2940"/>
        <v>10</v>
      </c>
      <c r="DG959" s="95">
        <f t="shared" si="2941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57">SUM(B426)</f>
        <v>0</v>
      </c>
      <c r="C960" s="784">
        <f t="shared" si="3057"/>
        <v>0</v>
      </c>
      <c r="D960" s="784">
        <f t="shared" si="3057"/>
        <v>0</v>
      </c>
      <c r="E960" s="784">
        <f t="shared" si="3057"/>
        <v>0</v>
      </c>
      <c r="F960" s="784">
        <f t="shared" si="3057"/>
        <v>0</v>
      </c>
      <c r="G960" s="784">
        <f t="shared" si="3057"/>
        <v>0</v>
      </c>
      <c r="H960" s="784">
        <f t="shared" si="3057"/>
        <v>0</v>
      </c>
      <c r="I960" s="784">
        <f t="shared" si="3057"/>
        <v>0</v>
      </c>
      <c r="J960" s="784">
        <f t="shared" si="3057"/>
        <v>0</v>
      </c>
      <c r="K960" s="784">
        <f t="shared" si="3057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58">SUM(T426)</f>
        <v>0</v>
      </c>
      <c r="U960" s="784">
        <f t="shared" si="3058"/>
        <v>0</v>
      </c>
      <c r="V960" s="784">
        <f t="shared" si="3058"/>
        <v>0</v>
      </c>
      <c r="W960" s="784">
        <f t="shared" si="3058"/>
        <v>0</v>
      </c>
      <c r="X960" s="784">
        <f t="shared" si="3058"/>
        <v>0</v>
      </c>
      <c r="Y960" s="784">
        <f t="shared" si="3058"/>
        <v>0</v>
      </c>
      <c r="Z960" s="784">
        <f t="shared" si="3058"/>
        <v>0</v>
      </c>
      <c r="AA960" s="784">
        <f t="shared" si="3058"/>
        <v>0</v>
      </c>
      <c r="AB960" s="784">
        <f t="shared" si="3058"/>
        <v>0</v>
      </c>
      <c r="AC960" s="784">
        <f t="shared" si="3058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59">SUM(AL426)</f>
        <v>0</v>
      </c>
      <c r="AM960" s="784">
        <f t="shared" si="3059"/>
        <v>0</v>
      </c>
      <c r="AN960" s="784">
        <f t="shared" si="3059"/>
        <v>0</v>
      </c>
      <c r="AO960" s="784">
        <f t="shared" si="3059"/>
        <v>0</v>
      </c>
      <c r="AP960" s="784">
        <f t="shared" si="3059"/>
        <v>0</v>
      </c>
      <c r="AQ960" s="784">
        <f t="shared" si="3059"/>
        <v>0</v>
      </c>
      <c r="AR960" s="784">
        <f t="shared" si="3059"/>
        <v>0</v>
      </c>
      <c r="AS960" s="784">
        <f t="shared" si="3059"/>
        <v>0</v>
      </c>
      <c r="AT960" s="784">
        <f t="shared" si="3059"/>
        <v>0</v>
      </c>
      <c r="AU960" s="784">
        <f t="shared" si="3059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60">SUM(BD426)</f>
        <v>0</v>
      </c>
      <c r="BE960" s="784">
        <f t="shared" si="3060"/>
        <v>0</v>
      </c>
      <c r="BF960" s="784">
        <f t="shared" si="3060"/>
        <v>0</v>
      </c>
      <c r="BG960" s="784">
        <f t="shared" si="3060"/>
        <v>0</v>
      </c>
      <c r="BH960" s="784">
        <f t="shared" si="3060"/>
        <v>0</v>
      </c>
      <c r="BI960" s="784">
        <f t="shared" si="3060"/>
        <v>0</v>
      </c>
      <c r="BJ960" s="784">
        <f t="shared" si="3060"/>
        <v>0</v>
      </c>
      <c r="BK960" s="784">
        <f t="shared" si="3060"/>
        <v>0</v>
      </c>
      <c r="BL960" s="784">
        <f t="shared" si="3060"/>
        <v>0</v>
      </c>
      <c r="BM960" s="784">
        <f t="shared" si="3060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917"/>
        <v>0</v>
      </c>
      <c r="CA960" s="586">
        <f t="shared" si="2918"/>
        <v>0</v>
      </c>
      <c r="CB960" s="586">
        <f t="shared" si="2919"/>
        <v>0</v>
      </c>
      <c r="CC960" s="586">
        <f t="shared" si="2920"/>
        <v>0</v>
      </c>
      <c r="CD960" s="1316">
        <f t="shared" si="2946"/>
        <v>0</v>
      </c>
      <c r="CE960" s="1317">
        <f t="shared" si="3012"/>
        <v>0</v>
      </c>
      <c r="CF960" s="1317">
        <f t="shared" si="3012"/>
        <v>0</v>
      </c>
      <c r="CG960" s="1317">
        <f t="shared" si="3012"/>
        <v>0</v>
      </c>
      <c r="CH960" s="1318">
        <f t="shared" si="3012"/>
        <v>0</v>
      </c>
      <c r="CI960" s="1318">
        <f t="shared" si="3012"/>
        <v>0</v>
      </c>
      <c r="CJ960" s="1317">
        <f t="shared" si="3012"/>
        <v>0</v>
      </c>
      <c r="CK960" s="1317">
        <f t="shared" si="3012"/>
        <v>0</v>
      </c>
      <c r="CL960" s="1317">
        <f t="shared" si="3012"/>
        <v>0</v>
      </c>
      <c r="CM960" s="1316">
        <f t="shared" si="3012"/>
        <v>0</v>
      </c>
      <c r="CN960" s="538" t="str">
        <f t="shared" si="2922"/>
        <v/>
      </c>
      <c r="CO960" s="539" t="str">
        <f t="shared" si="2923"/>
        <v/>
      </c>
      <c r="CP960" s="539" t="str">
        <f t="shared" si="2924"/>
        <v/>
      </c>
      <c r="CQ960" s="539">
        <f t="shared" si="2925"/>
        <v>0</v>
      </c>
      <c r="CR960" s="539">
        <f t="shared" si="2926"/>
        <v>0</v>
      </c>
      <c r="CS960" s="539">
        <f t="shared" si="2927"/>
        <v>0</v>
      </c>
      <c r="CT960" s="540">
        <f t="shared" si="2928"/>
        <v>0</v>
      </c>
      <c r="CU960" s="540">
        <f t="shared" si="2929"/>
        <v>0</v>
      </c>
      <c r="CV960" s="540">
        <f t="shared" si="2930"/>
        <v>0</v>
      </c>
      <c r="CW960" s="539">
        <f t="shared" si="2931"/>
        <v>0</v>
      </c>
      <c r="CX960" s="539">
        <f t="shared" si="2932"/>
        <v>0</v>
      </c>
      <c r="CY960" s="539">
        <f t="shared" si="2933"/>
        <v>0</v>
      </c>
      <c r="CZ960" s="539">
        <f t="shared" si="2934"/>
        <v>0</v>
      </c>
      <c r="DA960" s="539" t="str">
        <f t="shared" si="2935"/>
        <v/>
      </c>
      <c r="DB960" s="538" t="str">
        <f t="shared" si="2936"/>
        <v/>
      </c>
      <c r="DC960" s="537" t="str">
        <f t="shared" si="2937"/>
        <v/>
      </c>
      <c r="DD960" s="641">
        <f t="shared" si="2938"/>
        <v>10</v>
      </c>
      <c r="DE960" s="95">
        <f t="shared" si="2939"/>
        <v>10</v>
      </c>
      <c r="DF960" s="95">
        <f t="shared" si="2940"/>
        <v>10</v>
      </c>
      <c r="DG960" s="95">
        <f t="shared" si="2941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402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28"/>
      <c r="CE961" s="1328"/>
      <c r="CF961" s="1328"/>
      <c r="CG961" s="1328"/>
      <c r="CH961" s="1328"/>
      <c r="CI961" s="1328"/>
      <c r="CJ961" s="1328"/>
      <c r="CK961" s="1328"/>
      <c r="CL961" s="1328"/>
      <c r="CM961" s="1328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61">SUM(B435)</f>
        <v>0</v>
      </c>
      <c r="C962" s="784">
        <f t="shared" si="3061"/>
        <v>0</v>
      </c>
      <c r="D962" s="784">
        <f t="shared" si="3061"/>
        <v>0</v>
      </c>
      <c r="E962" s="784">
        <f t="shared" si="3061"/>
        <v>0</v>
      </c>
      <c r="F962" s="784">
        <f t="shared" si="3061"/>
        <v>0</v>
      </c>
      <c r="G962" s="784">
        <f t="shared" si="3061"/>
        <v>0</v>
      </c>
      <c r="H962" s="784">
        <f t="shared" si="3061"/>
        <v>0</v>
      </c>
      <c r="I962" s="784">
        <f t="shared" si="3061"/>
        <v>0</v>
      </c>
      <c r="J962" s="784">
        <f t="shared" si="3061"/>
        <v>0</v>
      </c>
      <c r="K962" s="784">
        <f t="shared" si="3061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62">SUM(T435)</f>
        <v>0</v>
      </c>
      <c r="U962" s="784">
        <f t="shared" si="3062"/>
        <v>960</v>
      </c>
      <c r="V962" s="784">
        <f t="shared" si="3062"/>
        <v>0</v>
      </c>
      <c r="W962" s="784">
        <f t="shared" si="3062"/>
        <v>0</v>
      </c>
      <c r="X962" s="784">
        <f t="shared" si="3062"/>
        <v>0</v>
      </c>
      <c r="Y962" s="784">
        <f t="shared" si="3062"/>
        <v>0</v>
      </c>
      <c r="Z962" s="784">
        <f t="shared" si="3062"/>
        <v>0</v>
      </c>
      <c r="AA962" s="784">
        <f t="shared" si="3062"/>
        <v>0</v>
      </c>
      <c r="AB962" s="784">
        <f t="shared" si="3062"/>
        <v>0</v>
      </c>
      <c r="AC962" s="784">
        <f t="shared" si="3062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63">SUM(AL435)</f>
        <v>0</v>
      </c>
      <c r="AM962" s="784">
        <f t="shared" si="3063"/>
        <v>0</v>
      </c>
      <c r="AN962" s="784">
        <f t="shared" si="3063"/>
        <v>0</v>
      </c>
      <c r="AO962" s="784">
        <f t="shared" si="3063"/>
        <v>0</v>
      </c>
      <c r="AP962" s="784">
        <f t="shared" si="3063"/>
        <v>0</v>
      </c>
      <c r="AQ962" s="784">
        <f t="shared" si="3063"/>
        <v>0</v>
      </c>
      <c r="AR962" s="784">
        <f t="shared" si="3063"/>
        <v>0</v>
      </c>
      <c r="AS962" s="784">
        <f t="shared" si="3063"/>
        <v>0</v>
      </c>
      <c r="AT962" s="784">
        <f t="shared" si="3063"/>
        <v>0</v>
      </c>
      <c r="AU962" s="784">
        <f t="shared" si="3063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64">SUM(BD435)</f>
        <v>0</v>
      </c>
      <c r="BE962" s="784">
        <f t="shared" si="3064"/>
        <v>2000</v>
      </c>
      <c r="BF962" s="784">
        <f t="shared" si="3064"/>
        <v>0</v>
      </c>
      <c r="BG962" s="784">
        <f t="shared" si="3064"/>
        <v>101.25</v>
      </c>
      <c r="BH962" s="784">
        <f t="shared" si="3064"/>
        <v>0</v>
      </c>
      <c r="BI962" s="784">
        <f t="shared" si="3064"/>
        <v>0</v>
      </c>
      <c r="BJ962" s="784">
        <f t="shared" si="3064"/>
        <v>0</v>
      </c>
      <c r="BK962" s="784">
        <f t="shared" si="3064"/>
        <v>0</v>
      </c>
      <c r="BL962" s="784">
        <f t="shared" si="3064"/>
        <v>0</v>
      </c>
      <c r="BM962" s="784">
        <f t="shared" si="3064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16">
        <f t="shared" ref="CD962:CM963" si="306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7">
        <f t="shared" si="3065"/>
        <v>0</v>
      </c>
      <c r="CF962" s="1317">
        <f t="shared" si="3065"/>
        <v>0</v>
      </c>
      <c r="CG962" s="1317">
        <f t="shared" si="3065"/>
        <v>0</v>
      </c>
      <c r="CH962" s="1318">
        <f t="shared" si="3065"/>
        <v>0</v>
      </c>
      <c r="CI962" s="1318">
        <f t="shared" si="3065"/>
        <v>0</v>
      </c>
      <c r="CJ962" s="1317">
        <f t="shared" si="3065"/>
        <v>0</v>
      </c>
      <c r="CK962" s="1317">
        <f t="shared" si="3065"/>
        <v>0</v>
      </c>
      <c r="CL962" s="1317">
        <f t="shared" si="3065"/>
        <v>0</v>
      </c>
      <c r="CM962" s="1316">
        <f t="shared" si="3065"/>
        <v>0</v>
      </c>
      <c r="CN962" s="538" t="str">
        <f t="shared" ref="CN962:CV963" si="306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66"/>
        <v/>
      </c>
      <c r="CP962" s="539" t="str">
        <f t="shared" si="3066"/>
        <v/>
      </c>
      <c r="CQ962" s="539">
        <f t="shared" si="3066"/>
        <v>0</v>
      </c>
      <c r="CR962" s="539">
        <f t="shared" si="3066"/>
        <v>0</v>
      </c>
      <c r="CS962" s="539">
        <f t="shared" si="3066"/>
        <v>0</v>
      </c>
      <c r="CT962" s="540">
        <f t="shared" si="3066"/>
        <v>0</v>
      </c>
      <c r="CU962" s="540">
        <f t="shared" si="3066"/>
        <v>0</v>
      </c>
      <c r="CV962" s="540">
        <f t="shared" si="3066"/>
        <v>0</v>
      </c>
      <c r="CW962" s="539">
        <f t="shared" ref="CW962:DC963" si="3067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67"/>
        <v>0</v>
      </c>
      <c r="CY962" s="539">
        <f t="shared" si="3067"/>
        <v>101.25</v>
      </c>
      <c r="CZ962" s="539">
        <f t="shared" si="3067"/>
        <v>2000</v>
      </c>
      <c r="DA962" s="539" t="str">
        <f t="shared" si="3067"/>
        <v/>
      </c>
      <c r="DB962" s="538" t="str">
        <f t="shared" si="3067"/>
        <v/>
      </c>
      <c r="DC962" s="537" t="str">
        <f t="shared" si="3067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68">SUM(B445)</f>
        <v>0</v>
      </c>
      <c r="C963" s="784">
        <f t="shared" si="3068"/>
        <v>0</v>
      </c>
      <c r="D963" s="784">
        <f t="shared" si="3068"/>
        <v>0</v>
      </c>
      <c r="E963" s="784">
        <f t="shared" si="3068"/>
        <v>0</v>
      </c>
      <c r="F963" s="784">
        <f t="shared" si="3068"/>
        <v>0</v>
      </c>
      <c r="G963" s="784">
        <f t="shared" si="3068"/>
        <v>0</v>
      </c>
      <c r="H963" s="784">
        <f t="shared" si="3068"/>
        <v>0</v>
      </c>
      <c r="I963" s="784">
        <f t="shared" si="3068"/>
        <v>0</v>
      </c>
      <c r="J963" s="784">
        <f t="shared" si="3068"/>
        <v>0</v>
      </c>
      <c r="K963" s="784">
        <f t="shared" si="3068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69">SUM(T445)</f>
        <v>0</v>
      </c>
      <c r="U963" s="784">
        <f t="shared" si="3069"/>
        <v>0</v>
      </c>
      <c r="V963" s="784">
        <f t="shared" si="3069"/>
        <v>0</v>
      </c>
      <c r="W963" s="784">
        <f t="shared" si="3069"/>
        <v>0</v>
      </c>
      <c r="X963" s="784">
        <f t="shared" si="3069"/>
        <v>0</v>
      </c>
      <c r="Y963" s="784">
        <f t="shared" si="3069"/>
        <v>0</v>
      </c>
      <c r="Z963" s="784">
        <f t="shared" si="3069"/>
        <v>0</v>
      </c>
      <c r="AA963" s="784">
        <f t="shared" si="3069"/>
        <v>0</v>
      </c>
      <c r="AB963" s="784">
        <f t="shared" si="3069"/>
        <v>0</v>
      </c>
      <c r="AC963" s="784">
        <f t="shared" si="3069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70">SUM(AL445)</f>
        <v>0</v>
      </c>
      <c r="AM963" s="784">
        <f t="shared" si="3070"/>
        <v>0</v>
      </c>
      <c r="AN963" s="784">
        <f t="shared" si="3070"/>
        <v>0</v>
      </c>
      <c r="AO963" s="784">
        <f t="shared" si="3070"/>
        <v>0</v>
      </c>
      <c r="AP963" s="784">
        <f t="shared" si="3070"/>
        <v>0</v>
      </c>
      <c r="AQ963" s="784">
        <f t="shared" si="3070"/>
        <v>0</v>
      </c>
      <c r="AR963" s="784">
        <f t="shared" si="3070"/>
        <v>0</v>
      </c>
      <c r="AS963" s="784">
        <f t="shared" si="3070"/>
        <v>0</v>
      </c>
      <c r="AT963" s="784">
        <f t="shared" si="3070"/>
        <v>0</v>
      </c>
      <c r="AU963" s="784">
        <f t="shared" si="3070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71">SUM(BD445)</f>
        <v>0</v>
      </c>
      <c r="BE963" s="784">
        <f t="shared" si="3071"/>
        <v>0</v>
      </c>
      <c r="BF963" s="784">
        <f t="shared" si="3071"/>
        <v>0</v>
      </c>
      <c r="BG963" s="784">
        <f t="shared" si="3071"/>
        <v>0</v>
      </c>
      <c r="BH963" s="784">
        <f t="shared" si="3071"/>
        <v>0</v>
      </c>
      <c r="BI963" s="784">
        <f t="shared" si="3071"/>
        <v>0</v>
      </c>
      <c r="BJ963" s="784">
        <f t="shared" si="3071"/>
        <v>0</v>
      </c>
      <c r="BK963" s="784">
        <f t="shared" si="3071"/>
        <v>0</v>
      </c>
      <c r="BL963" s="784">
        <f t="shared" si="3071"/>
        <v>0</v>
      </c>
      <c r="BM963" s="784">
        <f t="shared" si="3071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16">
        <f t="shared" si="3065"/>
        <v>0</v>
      </c>
      <c r="CE963" s="1317">
        <f t="shared" ref="CE963:CM963" si="307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7">
        <f t="shared" si="3072"/>
        <v>0</v>
      </c>
      <c r="CG963" s="1317">
        <f t="shared" si="3072"/>
        <v>0</v>
      </c>
      <c r="CH963" s="1318">
        <f t="shared" si="3072"/>
        <v>0</v>
      </c>
      <c r="CI963" s="1318">
        <f t="shared" si="3072"/>
        <v>0</v>
      </c>
      <c r="CJ963" s="1317">
        <f t="shared" si="3072"/>
        <v>0</v>
      </c>
      <c r="CK963" s="1317">
        <f t="shared" si="3072"/>
        <v>0</v>
      </c>
      <c r="CL963" s="1317">
        <f t="shared" si="3072"/>
        <v>0</v>
      </c>
      <c r="CM963" s="1316">
        <f t="shared" si="3072"/>
        <v>0</v>
      </c>
      <c r="CN963" s="538" t="str">
        <f t="shared" si="3066"/>
        <v/>
      </c>
      <c r="CO963" s="539" t="str">
        <f t="shared" si="3066"/>
        <v/>
      </c>
      <c r="CP963" s="539" t="str">
        <f t="shared" si="3066"/>
        <v/>
      </c>
      <c r="CQ963" s="539">
        <f t="shared" si="3066"/>
        <v>0</v>
      </c>
      <c r="CR963" s="539">
        <f t="shared" si="3066"/>
        <v>0</v>
      </c>
      <c r="CS963" s="539">
        <f t="shared" si="3066"/>
        <v>0</v>
      </c>
      <c r="CT963" s="540">
        <f t="shared" si="3066"/>
        <v>0</v>
      </c>
      <c r="CU963" s="540">
        <f t="shared" si="3066"/>
        <v>0</v>
      </c>
      <c r="CV963" s="540">
        <f t="shared" si="3066"/>
        <v>0</v>
      </c>
      <c r="CW963" s="539">
        <f t="shared" si="3067"/>
        <v>0</v>
      </c>
      <c r="CX963" s="539">
        <f t="shared" si="3067"/>
        <v>0</v>
      </c>
      <c r="CY963" s="539">
        <f t="shared" si="3067"/>
        <v>0</v>
      </c>
      <c r="CZ963" s="539">
        <f t="shared" si="3067"/>
        <v>0</v>
      </c>
      <c r="DA963" s="539" t="str">
        <f t="shared" si="3067"/>
        <v/>
      </c>
      <c r="DB963" s="538" t="str">
        <f t="shared" si="3067"/>
        <v/>
      </c>
      <c r="DC963" s="537" t="str">
        <f t="shared" si="3067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403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2"/>
      <c r="CE964" s="1322"/>
      <c r="CF964" s="1322"/>
      <c r="CG964" s="1322"/>
      <c r="CH964" s="1322"/>
      <c r="CI964" s="1322"/>
      <c r="CJ964" s="1322"/>
      <c r="CK964" s="1322"/>
      <c r="CL964" s="1322"/>
      <c r="CM964" s="1322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73">SUM(B708)</f>
        <v>0</v>
      </c>
      <c r="C965" s="784">
        <f t="shared" si="3073"/>
        <v>0</v>
      </c>
      <c r="D965" s="784">
        <f t="shared" si="3073"/>
        <v>0</v>
      </c>
      <c r="E965" s="784">
        <f t="shared" si="3073"/>
        <v>0</v>
      </c>
      <c r="F965" s="784">
        <f t="shared" si="3073"/>
        <v>0</v>
      </c>
      <c r="G965" s="784">
        <f t="shared" si="3073"/>
        <v>0</v>
      </c>
      <c r="H965" s="784">
        <f t="shared" si="3073"/>
        <v>0</v>
      </c>
      <c r="I965" s="784">
        <f t="shared" si="3073"/>
        <v>0</v>
      </c>
      <c r="J965" s="784">
        <f t="shared" si="3073"/>
        <v>0</v>
      </c>
      <c r="K965" s="784">
        <f t="shared" si="3073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74">SUM(T708)</f>
        <v>0</v>
      </c>
      <c r="U965" s="784">
        <f t="shared" si="3074"/>
        <v>2700</v>
      </c>
      <c r="V965" s="784">
        <f t="shared" si="3074"/>
        <v>720</v>
      </c>
      <c r="W965" s="784">
        <f t="shared" si="3074"/>
        <v>0</v>
      </c>
      <c r="X965" s="784">
        <f t="shared" si="3074"/>
        <v>0</v>
      </c>
      <c r="Y965" s="784">
        <f t="shared" si="3074"/>
        <v>0</v>
      </c>
      <c r="Z965" s="784">
        <f t="shared" si="3074"/>
        <v>0</v>
      </c>
      <c r="AA965" s="784">
        <f t="shared" si="3074"/>
        <v>3050.4</v>
      </c>
      <c r="AB965" s="784">
        <f t="shared" si="3074"/>
        <v>2400</v>
      </c>
      <c r="AC965" s="784">
        <f t="shared" si="3074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75">SUM(AL708)</f>
        <v>0</v>
      </c>
      <c r="AM965" s="784">
        <f t="shared" si="3075"/>
        <v>0</v>
      </c>
      <c r="AN965" s="784">
        <f t="shared" si="3075"/>
        <v>5000</v>
      </c>
      <c r="AO965" s="784">
        <f t="shared" si="3075"/>
        <v>1000</v>
      </c>
      <c r="AP965" s="784">
        <f t="shared" si="3075"/>
        <v>336</v>
      </c>
      <c r="AQ965" s="784">
        <f t="shared" si="3075"/>
        <v>0</v>
      </c>
      <c r="AR965" s="784">
        <f t="shared" si="3075"/>
        <v>4500</v>
      </c>
      <c r="AS965" s="784">
        <f t="shared" si="3075"/>
        <v>180</v>
      </c>
      <c r="AT965" s="784">
        <f t="shared" si="3075"/>
        <v>0</v>
      </c>
      <c r="AU965" s="784">
        <f t="shared" si="3075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76">SUM(BD708)</f>
        <v>0</v>
      </c>
      <c r="BE965" s="784">
        <f t="shared" si="3076"/>
        <v>0</v>
      </c>
      <c r="BF965" s="784">
        <f t="shared" si="3076"/>
        <v>2400</v>
      </c>
      <c r="BG965" s="784">
        <f t="shared" si="3076"/>
        <v>0</v>
      </c>
      <c r="BH965" s="784">
        <f t="shared" si="3076"/>
        <v>0</v>
      </c>
      <c r="BI965" s="784">
        <f t="shared" si="3076"/>
        <v>0</v>
      </c>
      <c r="BJ965" s="784">
        <f t="shared" si="3076"/>
        <v>0</v>
      </c>
      <c r="BK965" s="784">
        <f t="shared" si="3076"/>
        <v>0</v>
      </c>
      <c r="BL965" s="784">
        <f t="shared" si="3076"/>
        <v>0</v>
      </c>
      <c r="BM965" s="784">
        <f t="shared" si="3076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16">
        <f t="shared" ref="CD965:CM965" si="307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7">
        <f t="shared" si="3077"/>
        <v>0</v>
      </c>
      <c r="CF965" s="1317">
        <f t="shared" si="3077"/>
        <v>0</v>
      </c>
      <c r="CG965" s="1317">
        <f t="shared" si="3077"/>
        <v>0</v>
      </c>
      <c r="CH965" s="1318">
        <f t="shared" si="3077"/>
        <v>0</v>
      </c>
      <c r="CI965" s="1318">
        <f t="shared" si="3077"/>
        <v>180</v>
      </c>
      <c r="CJ965" s="1317">
        <f t="shared" si="3077"/>
        <v>336</v>
      </c>
      <c r="CK965" s="1317">
        <f t="shared" si="3077"/>
        <v>1000</v>
      </c>
      <c r="CL965" s="1317">
        <f t="shared" si="3077"/>
        <v>4500</v>
      </c>
      <c r="CM965" s="1316">
        <f t="shared" si="3077"/>
        <v>5000</v>
      </c>
      <c r="CN965" s="538" t="str">
        <f t="shared" ref="CN965:CV967" si="307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78"/>
        <v/>
      </c>
      <c r="CP965" s="539" t="str">
        <f t="shared" si="3078"/>
        <v/>
      </c>
      <c r="CQ965" s="539">
        <f t="shared" si="3078"/>
        <v>0</v>
      </c>
      <c r="CR965" s="539">
        <f t="shared" si="3078"/>
        <v>0</v>
      </c>
      <c r="CS965" s="539">
        <f t="shared" si="3078"/>
        <v>0</v>
      </c>
      <c r="CT965" s="540">
        <f t="shared" si="3078"/>
        <v>0</v>
      </c>
      <c r="CU965" s="540">
        <f t="shared" si="3078"/>
        <v>0</v>
      </c>
      <c r="CV965" s="540">
        <f t="shared" si="3078"/>
        <v>0</v>
      </c>
      <c r="CW965" s="539">
        <f t="shared" ref="CW965:DC967" si="3079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79"/>
        <v>0</v>
      </c>
      <c r="CY965" s="539">
        <f t="shared" si="3079"/>
        <v>0</v>
      </c>
      <c r="CZ965" s="539">
        <f t="shared" si="3079"/>
        <v>2400</v>
      </c>
      <c r="DA965" s="539" t="str">
        <f t="shared" si="3079"/>
        <v/>
      </c>
      <c r="DB965" s="538" t="str">
        <f t="shared" si="3079"/>
        <v/>
      </c>
      <c r="DC965" s="537" t="str">
        <f t="shared" si="3079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80">SUM(B714)</f>
        <v>0</v>
      </c>
      <c r="C966" s="784">
        <f t="shared" si="3080"/>
        <v>0</v>
      </c>
      <c r="D966" s="784">
        <f t="shared" si="3080"/>
        <v>0</v>
      </c>
      <c r="E966" s="784">
        <f t="shared" si="3080"/>
        <v>0</v>
      </c>
      <c r="F966" s="784">
        <f t="shared" si="3080"/>
        <v>0</v>
      </c>
      <c r="G966" s="784">
        <f t="shared" si="3080"/>
        <v>0</v>
      </c>
      <c r="H966" s="784">
        <f t="shared" si="3080"/>
        <v>0</v>
      </c>
      <c r="I966" s="784">
        <f t="shared" si="3080"/>
        <v>0</v>
      </c>
      <c r="J966" s="784">
        <f t="shared" si="3080"/>
        <v>0</v>
      </c>
      <c r="K966" s="784">
        <f t="shared" si="3080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81">SUM(T714)</f>
        <v>0</v>
      </c>
      <c r="U966" s="784">
        <f t="shared" si="3081"/>
        <v>0</v>
      </c>
      <c r="V966" s="784">
        <f t="shared" si="3081"/>
        <v>0</v>
      </c>
      <c r="W966" s="784">
        <f t="shared" si="3081"/>
        <v>0</v>
      </c>
      <c r="X966" s="784">
        <f t="shared" si="3081"/>
        <v>0</v>
      </c>
      <c r="Y966" s="784">
        <f t="shared" si="3081"/>
        <v>0</v>
      </c>
      <c r="Z966" s="784">
        <f t="shared" si="3081"/>
        <v>0</v>
      </c>
      <c r="AA966" s="784">
        <f t="shared" si="3081"/>
        <v>0</v>
      </c>
      <c r="AB966" s="784">
        <f t="shared" si="3081"/>
        <v>0</v>
      </c>
      <c r="AC966" s="784">
        <f t="shared" si="3081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82">SUM(AL714)</f>
        <v>0</v>
      </c>
      <c r="AM966" s="784">
        <f t="shared" si="3082"/>
        <v>0</v>
      </c>
      <c r="AN966" s="784">
        <f t="shared" si="3082"/>
        <v>0</v>
      </c>
      <c r="AO966" s="784">
        <f t="shared" si="3082"/>
        <v>0</v>
      </c>
      <c r="AP966" s="784">
        <f t="shared" si="3082"/>
        <v>660</v>
      </c>
      <c r="AQ966" s="784">
        <f t="shared" si="3082"/>
        <v>0</v>
      </c>
      <c r="AR966" s="784">
        <f t="shared" si="3082"/>
        <v>0</v>
      </c>
      <c r="AS966" s="784">
        <f t="shared" si="3082"/>
        <v>0</v>
      </c>
      <c r="AT966" s="784">
        <f t="shared" si="3082"/>
        <v>0</v>
      </c>
      <c r="AU966" s="784">
        <f t="shared" si="3082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83">SUM(BD714)</f>
        <v>0</v>
      </c>
      <c r="BE966" s="784">
        <f t="shared" si="3083"/>
        <v>0</v>
      </c>
      <c r="BF966" s="784">
        <f t="shared" si="3083"/>
        <v>0</v>
      </c>
      <c r="BG966" s="784">
        <f t="shared" si="3083"/>
        <v>0</v>
      </c>
      <c r="BH966" s="784">
        <f t="shared" si="3083"/>
        <v>0</v>
      </c>
      <c r="BI966" s="784">
        <f t="shared" si="3083"/>
        <v>0</v>
      </c>
      <c r="BJ966" s="784">
        <f t="shared" si="3083"/>
        <v>0</v>
      </c>
      <c r="BK966" s="784">
        <f t="shared" si="3083"/>
        <v>0</v>
      </c>
      <c r="BL966" s="784">
        <f t="shared" si="3083"/>
        <v>0</v>
      </c>
      <c r="BM966" s="784">
        <f t="shared" si="3083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1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7">
        <f t="shared" ref="CE966:CM967" si="308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7">
        <f t="shared" si="3084"/>
        <v>0</v>
      </c>
      <c r="CG966" s="1317">
        <f t="shared" si="3084"/>
        <v>0</v>
      </c>
      <c r="CH966" s="1318">
        <f t="shared" si="3084"/>
        <v>0</v>
      </c>
      <c r="CI966" s="1318">
        <f t="shared" si="3084"/>
        <v>0</v>
      </c>
      <c r="CJ966" s="1317">
        <f t="shared" si="3084"/>
        <v>0</v>
      </c>
      <c r="CK966" s="1317">
        <f t="shared" si="3084"/>
        <v>0</v>
      </c>
      <c r="CL966" s="1317">
        <f t="shared" si="3084"/>
        <v>0</v>
      </c>
      <c r="CM966" s="1316">
        <f t="shared" si="3084"/>
        <v>660</v>
      </c>
      <c r="CN966" s="538" t="str">
        <f t="shared" si="3078"/>
        <v/>
      </c>
      <c r="CO966" s="539" t="str">
        <f t="shared" si="3078"/>
        <v/>
      </c>
      <c r="CP966" s="539" t="str">
        <f t="shared" si="3078"/>
        <v/>
      </c>
      <c r="CQ966" s="539">
        <f t="shared" si="3078"/>
        <v>0</v>
      </c>
      <c r="CR966" s="539">
        <f t="shared" si="3078"/>
        <v>0</v>
      </c>
      <c r="CS966" s="539">
        <f t="shared" si="3078"/>
        <v>0</v>
      </c>
      <c r="CT966" s="540">
        <f t="shared" si="3078"/>
        <v>0</v>
      </c>
      <c r="CU966" s="540">
        <f t="shared" si="3078"/>
        <v>0</v>
      </c>
      <c r="CV966" s="540">
        <f t="shared" si="3078"/>
        <v>0</v>
      </c>
      <c r="CW966" s="539">
        <f t="shared" si="3079"/>
        <v>0</v>
      </c>
      <c r="CX966" s="539">
        <f t="shared" si="3079"/>
        <v>0</v>
      </c>
      <c r="CY966" s="539">
        <f t="shared" si="3079"/>
        <v>0</v>
      </c>
      <c r="CZ966" s="539">
        <f t="shared" si="3079"/>
        <v>0</v>
      </c>
      <c r="DA966" s="539" t="str">
        <f t="shared" si="3079"/>
        <v/>
      </c>
      <c r="DB966" s="538" t="str">
        <f t="shared" si="3079"/>
        <v/>
      </c>
      <c r="DC966" s="537" t="str">
        <f t="shared" si="3079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85">SUM(B720)</f>
        <v>0</v>
      </c>
      <c r="C967" s="784">
        <f t="shared" si="3085"/>
        <v>0</v>
      </c>
      <c r="D967" s="784">
        <f t="shared" si="3085"/>
        <v>0</v>
      </c>
      <c r="E967" s="784">
        <f t="shared" si="3085"/>
        <v>0</v>
      </c>
      <c r="F967" s="784">
        <f t="shared" si="3085"/>
        <v>0</v>
      </c>
      <c r="G967" s="784">
        <f t="shared" si="3085"/>
        <v>0</v>
      </c>
      <c r="H967" s="784">
        <f t="shared" si="3085"/>
        <v>0</v>
      </c>
      <c r="I967" s="784">
        <f t="shared" si="3085"/>
        <v>0</v>
      </c>
      <c r="J967" s="784">
        <f t="shared" si="3085"/>
        <v>0</v>
      </c>
      <c r="K967" s="784">
        <f t="shared" si="3085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86">SUM(T720)</f>
        <v>0</v>
      </c>
      <c r="U967" s="784">
        <f t="shared" si="3086"/>
        <v>0</v>
      </c>
      <c r="V967" s="784">
        <f t="shared" si="3086"/>
        <v>0</v>
      </c>
      <c r="W967" s="784">
        <f t="shared" si="3086"/>
        <v>0</v>
      </c>
      <c r="X967" s="784">
        <f t="shared" si="3086"/>
        <v>0</v>
      </c>
      <c r="Y967" s="784">
        <f t="shared" si="3086"/>
        <v>0</v>
      </c>
      <c r="Z967" s="784">
        <f t="shared" si="3086"/>
        <v>0</v>
      </c>
      <c r="AA967" s="784">
        <f t="shared" si="3086"/>
        <v>0</v>
      </c>
      <c r="AB967" s="784">
        <f t="shared" si="3086"/>
        <v>0</v>
      </c>
      <c r="AC967" s="784">
        <f t="shared" si="3086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87">SUM(AL720)</f>
        <v>0</v>
      </c>
      <c r="AM967" s="784">
        <f t="shared" si="3087"/>
        <v>6000</v>
      </c>
      <c r="AN967" s="784">
        <f t="shared" si="3087"/>
        <v>0</v>
      </c>
      <c r="AO967" s="784">
        <f t="shared" si="3087"/>
        <v>0</v>
      </c>
      <c r="AP967" s="784">
        <f t="shared" si="3087"/>
        <v>0</v>
      </c>
      <c r="AQ967" s="784">
        <f t="shared" si="3087"/>
        <v>0</v>
      </c>
      <c r="AR967" s="784">
        <f t="shared" si="3087"/>
        <v>0</v>
      </c>
      <c r="AS967" s="784">
        <f t="shared" si="3087"/>
        <v>0</v>
      </c>
      <c r="AT967" s="784">
        <f t="shared" si="3087"/>
        <v>0</v>
      </c>
      <c r="AU967" s="784">
        <f t="shared" si="3087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88">SUM(BD720)</f>
        <v>0</v>
      </c>
      <c r="BE967" s="784">
        <f t="shared" si="3088"/>
        <v>0</v>
      </c>
      <c r="BF967" s="784">
        <f t="shared" si="3088"/>
        <v>0</v>
      </c>
      <c r="BG967" s="784">
        <f t="shared" si="3088"/>
        <v>0</v>
      </c>
      <c r="BH967" s="784">
        <f t="shared" si="3088"/>
        <v>0</v>
      </c>
      <c r="BI967" s="784">
        <f t="shared" si="3088"/>
        <v>0</v>
      </c>
      <c r="BJ967" s="784">
        <f t="shared" si="3088"/>
        <v>0</v>
      </c>
      <c r="BK967" s="784">
        <f t="shared" si="3088"/>
        <v>0</v>
      </c>
      <c r="BL967" s="784">
        <f t="shared" si="3088"/>
        <v>0</v>
      </c>
      <c r="BM967" s="784">
        <f t="shared" si="3088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1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7">
        <f t="shared" si="3084"/>
        <v>0</v>
      </c>
      <c r="CF967" s="1317">
        <f t="shared" si="3084"/>
        <v>0</v>
      </c>
      <c r="CG967" s="1317">
        <f t="shared" si="3084"/>
        <v>0</v>
      </c>
      <c r="CH967" s="1318">
        <f t="shared" si="3084"/>
        <v>0</v>
      </c>
      <c r="CI967" s="1318">
        <f t="shared" si="3084"/>
        <v>0</v>
      </c>
      <c r="CJ967" s="1317">
        <f t="shared" si="3084"/>
        <v>0</v>
      </c>
      <c r="CK967" s="1317">
        <f t="shared" si="3084"/>
        <v>0</v>
      </c>
      <c r="CL967" s="1317">
        <f t="shared" si="3084"/>
        <v>0</v>
      </c>
      <c r="CM967" s="1316">
        <f t="shared" si="3084"/>
        <v>6000</v>
      </c>
      <c r="CN967" s="538" t="str">
        <f t="shared" si="3078"/>
        <v/>
      </c>
      <c r="CO967" s="539" t="str">
        <f t="shared" si="3078"/>
        <v/>
      </c>
      <c r="CP967" s="539" t="str">
        <f t="shared" si="3078"/>
        <v/>
      </c>
      <c r="CQ967" s="539">
        <f t="shared" si="3078"/>
        <v>0</v>
      </c>
      <c r="CR967" s="539">
        <f t="shared" si="3078"/>
        <v>0</v>
      </c>
      <c r="CS967" s="539">
        <f t="shared" si="3078"/>
        <v>0</v>
      </c>
      <c r="CT967" s="540">
        <f t="shared" si="3078"/>
        <v>0</v>
      </c>
      <c r="CU967" s="540">
        <f t="shared" si="3078"/>
        <v>0</v>
      </c>
      <c r="CV967" s="540">
        <f t="shared" si="3078"/>
        <v>0</v>
      </c>
      <c r="CW967" s="539">
        <f t="shared" si="3079"/>
        <v>0</v>
      </c>
      <c r="CX967" s="539">
        <f t="shared" si="3079"/>
        <v>0</v>
      </c>
      <c r="CY967" s="539">
        <f t="shared" si="3079"/>
        <v>0</v>
      </c>
      <c r="CZ967" s="539">
        <f t="shared" si="3079"/>
        <v>0</v>
      </c>
      <c r="DA967" s="539" t="str">
        <f t="shared" si="3079"/>
        <v/>
      </c>
      <c r="DB967" s="538" t="str">
        <f t="shared" si="3079"/>
        <v/>
      </c>
      <c r="DC967" s="537" t="str">
        <f t="shared" si="3079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404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28"/>
      <c r="CE968" s="1328"/>
      <c r="CF968" s="1328"/>
      <c r="CG968" s="1328"/>
      <c r="CH968" s="1328"/>
      <c r="CI968" s="1328"/>
      <c r="CJ968" s="1328"/>
      <c r="CK968" s="1328"/>
      <c r="CL968" s="1328"/>
      <c r="CM968" s="1328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89">SUM(B724)</f>
        <v>0</v>
      </c>
      <c r="C969" s="784">
        <f t="shared" si="3089"/>
        <v>0</v>
      </c>
      <c r="D969" s="784">
        <f t="shared" si="3089"/>
        <v>0</v>
      </c>
      <c r="E969" s="784">
        <f t="shared" si="3089"/>
        <v>0</v>
      </c>
      <c r="F969" s="784">
        <f t="shared" si="3089"/>
        <v>0</v>
      </c>
      <c r="G969" s="784">
        <f t="shared" si="3089"/>
        <v>0</v>
      </c>
      <c r="H969" s="784">
        <f t="shared" si="3089"/>
        <v>0</v>
      </c>
      <c r="I969" s="784">
        <f t="shared" si="3089"/>
        <v>0</v>
      </c>
      <c r="J969" s="784">
        <f t="shared" si="3089"/>
        <v>0</v>
      </c>
      <c r="K969" s="784">
        <f t="shared" si="3089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90">SUM(T724)</f>
        <v>0</v>
      </c>
      <c r="U969" s="784">
        <f t="shared" si="3090"/>
        <v>0</v>
      </c>
      <c r="V969" s="784">
        <f t="shared" si="3090"/>
        <v>0</v>
      </c>
      <c r="W969" s="784">
        <f t="shared" si="3090"/>
        <v>0</v>
      </c>
      <c r="X969" s="784">
        <f t="shared" si="3090"/>
        <v>0</v>
      </c>
      <c r="Y969" s="784">
        <f t="shared" si="3090"/>
        <v>0</v>
      </c>
      <c r="Z969" s="784">
        <f t="shared" si="3090"/>
        <v>0</v>
      </c>
      <c r="AA969" s="784">
        <f t="shared" si="3090"/>
        <v>0</v>
      </c>
      <c r="AB969" s="784">
        <f t="shared" si="3090"/>
        <v>0</v>
      </c>
      <c r="AC969" s="784">
        <f t="shared" si="3090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91">SUM(AL724)</f>
        <v>0</v>
      </c>
      <c r="AM969" s="784">
        <f t="shared" si="3091"/>
        <v>0</v>
      </c>
      <c r="AN969" s="784">
        <f t="shared" si="3091"/>
        <v>0</v>
      </c>
      <c r="AO969" s="784">
        <f t="shared" si="3091"/>
        <v>2800</v>
      </c>
      <c r="AP969" s="784">
        <f t="shared" si="3091"/>
        <v>0</v>
      </c>
      <c r="AQ969" s="784">
        <f t="shared" si="3091"/>
        <v>0</v>
      </c>
      <c r="AR969" s="784">
        <f t="shared" si="3091"/>
        <v>0</v>
      </c>
      <c r="AS969" s="784">
        <f t="shared" si="3091"/>
        <v>0</v>
      </c>
      <c r="AT969" s="784">
        <f t="shared" si="3091"/>
        <v>0</v>
      </c>
      <c r="AU969" s="784">
        <f t="shared" si="3091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92">SUM(BD724)</f>
        <v>0</v>
      </c>
      <c r="BE969" s="784">
        <f t="shared" si="3092"/>
        <v>0</v>
      </c>
      <c r="BF969" s="784">
        <f t="shared" si="3092"/>
        <v>10800</v>
      </c>
      <c r="BG969" s="784">
        <f t="shared" si="3092"/>
        <v>0</v>
      </c>
      <c r="BH969" s="784">
        <f t="shared" si="3092"/>
        <v>12000</v>
      </c>
      <c r="BI969" s="784">
        <f t="shared" si="3092"/>
        <v>0</v>
      </c>
      <c r="BJ969" s="784">
        <f t="shared" si="3092"/>
        <v>16500</v>
      </c>
      <c r="BK969" s="784">
        <f t="shared" si="3092"/>
        <v>0</v>
      </c>
      <c r="BL969" s="784">
        <f t="shared" si="3092"/>
        <v>0</v>
      </c>
      <c r="BM969" s="784">
        <f t="shared" si="3092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16">
        <f t="shared" ref="CD969:CM970" si="309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7">
        <f t="shared" si="3093"/>
        <v>0</v>
      </c>
      <c r="CF969" s="1317">
        <f t="shared" si="3093"/>
        <v>0</v>
      </c>
      <c r="CG969" s="1317">
        <f t="shared" si="3093"/>
        <v>0</v>
      </c>
      <c r="CH969" s="1318">
        <f t="shared" si="3093"/>
        <v>0</v>
      </c>
      <c r="CI969" s="1318">
        <f t="shared" si="3093"/>
        <v>0</v>
      </c>
      <c r="CJ969" s="1317">
        <f t="shared" si="3093"/>
        <v>0</v>
      </c>
      <c r="CK969" s="1317">
        <f t="shared" si="3093"/>
        <v>0</v>
      </c>
      <c r="CL969" s="1317">
        <f t="shared" si="3093"/>
        <v>0</v>
      </c>
      <c r="CM969" s="1316">
        <f t="shared" si="3093"/>
        <v>2800</v>
      </c>
      <c r="CN969" s="538" t="str">
        <f t="shared" ref="CN969:CV970" si="309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94"/>
        <v/>
      </c>
      <c r="CP969" s="539" t="str">
        <f t="shared" si="3094"/>
        <v/>
      </c>
      <c r="CQ969" s="539">
        <f t="shared" si="3094"/>
        <v>0</v>
      </c>
      <c r="CR969" s="539">
        <f t="shared" si="3094"/>
        <v>0</v>
      </c>
      <c r="CS969" s="539">
        <f t="shared" si="3094"/>
        <v>0</v>
      </c>
      <c r="CT969" s="540">
        <f t="shared" si="3094"/>
        <v>0</v>
      </c>
      <c r="CU969" s="540">
        <f t="shared" si="3094"/>
        <v>0</v>
      </c>
      <c r="CV969" s="540">
        <f t="shared" si="3094"/>
        <v>0</v>
      </c>
      <c r="CW969" s="539">
        <f t="shared" ref="CW969:DC970" si="3095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95"/>
        <v>10800</v>
      </c>
      <c r="CY969" s="539">
        <f t="shared" si="3095"/>
        <v>12000</v>
      </c>
      <c r="CZ969" s="539">
        <f t="shared" si="3095"/>
        <v>16500</v>
      </c>
      <c r="DA969" s="539" t="str">
        <f t="shared" si="3095"/>
        <v/>
      </c>
      <c r="DB969" s="538" t="str">
        <f t="shared" si="3095"/>
        <v/>
      </c>
      <c r="DC969" s="537" t="str">
        <f t="shared" si="3095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96">SUM(B737)</f>
        <v>0</v>
      </c>
      <c r="C970" s="784">
        <f t="shared" si="3096"/>
        <v>0</v>
      </c>
      <c r="D970" s="784">
        <f t="shared" si="3096"/>
        <v>0</v>
      </c>
      <c r="E970" s="784">
        <f t="shared" si="3096"/>
        <v>0</v>
      </c>
      <c r="F970" s="784">
        <f t="shared" si="3096"/>
        <v>0</v>
      </c>
      <c r="G970" s="784">
        <f t="shared" si="3096"/>
        <v>0</v>
      </c>
      <c r="H970" s="784">
        <f t="shared" si="3096"/>
        <v>0</v>
      </c>
      <c r="I970" s="784">
        <f t="shared" si="3096"/>
        <v>0</v>
      </c>
      <c r="J970" s="784">
        <f t="shared" si="3096"/>
        <v>0</v>
      </c>
      <c r="K970" s="784">
        <f t="shared" si="3096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97">SUM(T737)</f>
        <v>14400</v>
      </c>
      <c r="U970" s="784">
        <f t="shared" si="3097"/>
        <v>0</v>
      </c>
      <c r="V970" s="784">
        <f t="shared" si="3097"/>
        <v>0</v>
      </c>
      <c r="W970" s="784">
        <f t="shared" si="3097"/>
        <v>0</v>
      </c>
      <c r="X970" s="784">
        <f t="shared" si="3097"/>
        <v>0</v>
      </c>
      <c r="Y970" s="784">
        <f t="shared" si="3097"/>
        <v>0</v>
      </c>
      <c r="Z970" s="784">
        <f t="shared" si="3097"/>
        <v>0</v>
      </c>
      <c r="AA970" s="784">
        <f t="shared" si="3097"/>
        <v>0</v>
      </c>
      <c r="AB970" s="784">
        <f t="shared" si="3097"/>
        <v>0</v>
      </c>
      <c r="AC970" s="784">
        <f t="shared" si="3097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98">SUM(AL737)</f>
        <v>0</v>
      </c>
      <c r="AM970" s="784">
        <f t="shared" si="3098"/>
        <v>0</v>
      </c>
      <c r="AN970" s="784">
        <f t="shared" si="3098"/>
        <v>0</v>
      </c>
      <c r="AO970" s="784">
        <f t="shared" si="3098"/>
        <v>0</v>
      </c>
      <c r="AP970" s="784">
        <f t="shared" si="3098"/>
        <v>0</v>
      </c>
      <c r="AQ970" s="784">
        <f t="shared" si="3098"/>
        <v>0</v>
      </c>
      <c r="AR970" s="784">
        <f t="shared" si="3098"/>
        <v>0</v>
      </c>
      <c r="AS970" s="784">
        <f t="shared" si="3098"/>
        <v>0</v>
      </c>
      <c r="AT970" s="784">
        <f t="shared" si="3098"/>
        <v>0</v>
      </c>
      <c r="AU970" s="784">
        <f t="shared" si="3098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99">SUM(BD737)</f>
        <v>33000</v>
      </c>
      <c r="BE970" s="784">
        <f t="shared" si="3099"/>
        <v>3600</v>
      </c>
      <c r="BF970" s="784">
        <f t="shared" si="3099"/>
        <v>0</v>
      </c>
      <c r="BG970" s="784">
        <f t="shared" si="3099"/>
        <v>0</v>
      </c>
      <c r="BH970" s="784">
        <f t="shared" si="3099"/>
        <v>0</v>
      </c>
      <c r="BI970" s="784">
        <f t="shared" si="3099"/>
        <v>0</v>
      </c>
      <c r="BJ970" s="784">
        <f t="shared" si="3099"/>
        <v>22000</v>
      </c>
      <c r="BK970" s="784">
        <f t="shared" si="3099"/>
        <v>0</v>
      </c>
      <c r="BL970" s="784">
        <f t="shared" si="3099"/>
        <v>0</v>
      </c>
      <c r="BM970" s="784">
        <f t="shared" si="3099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16">
        <f t="shared" si="3093"/>
        <v>0</v>
      </c>
      <c r="CE970" s="1317">
        <f t="shared" ref="CE970:CM970" si="310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7">
        <f t="shared" si="3100"/>
        <v>0</v>
      </c>
      <c r="CG970" s="1317">
        <f t="shared" si="3100"/>
        <v>0</v>
      </c>
      <c r="CH970" s="1318">
        <f t="shared" si="3100"/>
        <v>0</v>
      </c>
      <c r="CI970" s="1318">
        <f t="shared" si="3100"/>
        <v>0</v>
      </c>
      <c r="CJ970" s="1317">
        <f t="shared" si="3100"/>
        <v>0</v>
      </c>
      <c r="CK970" s="1317">
        <f t="shared" si="3100"/>
        <v>0</v>
      </c>
      <c r="CL970" s="1317">
        <f t="shared" si="3100"/>
        <v>0</v>
      </c>
      <c r="CM970" s="1316">
        <f t="shared" si="3100"/>
        <v>0</v>
      </c>
      <c r="CN970" s="538" t="str">
        <f t="shared" si="3094"/>
        <v/>
      </c>
      <c r="CO970" s="539" t="str">
        <f t="shared" si="3094"/>
        <v/>
      </c>
      <c r="CP970" s="539" t="str">
        <f t="shared" si="3094"/>
        <v/>
      </c>
      <c r="CQ970" s="539">
        <f t="shared" si="3094"/>
        <v>0</v>
      </c>
      <c r="CR970" s="539">
        <f t="shared" si="3094"/>
        <v>0</v>
      </c>
      <c r="CS970" s="539">
        <f t="shared" si="3094"/>
        <v>0</v>
      </c>
      <c r="CT970" s="540">
        <f t="shared" si="3094"/>
        <v>0</v>
      </c>
      <c r="CU970" s="540">
        <f t="shared" si="3094"/>
        <v>0</v>
      </c>
      <c r="CV970" s="540">
        <f t="shared" si="3094"/>
        <v>0</v>
      </c>
      <c r="CW970" s="539">
        <f t="shared" si="3095"/>
        <v>3600</v>
      </c>
      <c r="CX970" s="539">
        <f t="shared" si="3095"/>
        <v>22000</v>
      </c>
      <c r="CY970" s="539">
        <f t="shared" si="3095"/>
        <v>24420</v>
      </c>
      <c r="CZ970" s="539">
        <f t="shared" si="3095"/>
        <v>33000</v>
      </c>
      <c r="DA970" s="539" t="str">
        <f t="shared" si="3095"/>
        <v/>
      </c>
      <c r="DB970" s="538" t="str">
        <f t="shared" si="3095"/>
        <v/>
      </c>
      <c r="DC970" s="537" t="str">
        <f t="shared" si="3095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405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2"/>
      <c r="CE971" s="1322"/>
      <c r="CF971" s="1322"/>
      <c r="CG971" s="1322"/>
      <c r="CH971" s="1322"/>
      <c r="CI971" s="1322"/>
      <c r="CJ971" s="1322"/>
      <c r="CK971" s="1322"/>
      <c r="CL971" s="1322"/>
      <c r="CM971" s="1322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101">SUM(B732)</f>
        <v>0</v>
      </c>
      <c r="C972" s="784">
        <f t="shared" si="3101"/>
        <v>0</v>
      </c>
      <c r="D972" s="784">
        <f t="shared" si="3101"/>
        <v>0</v>
      </c>
      <c r="E972" s="784">
        <f t="shared" si="3101"/>
        <v>0</v>
      </c>
      <c r="F972" s="784">
        <f t="shared" si="3101"/>
        <v>0</v>
      </c>
      <c r="G972" s="784">
        <f t="shared" si="3101"/>
        <v>0</v>
      </c>
      <c r="H972" s="784">
        <f t="shared" si="3101"/>
        <v>0</v>
      </c>
      <c r="I972" s="784">
        <f t="shared" si="3101"/>
        <v>0</v>
      </c>
      <c r="J972" s="784">
        <f t="shared" si="3101"/>
        <v>0</v>
      </c>
      <c r="K972" s="784">
        <f t="shared" si="3101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102">SUM(T732)</f>
        <v>0</v>
      </c>
      <c r="U972" s="784">
        <f t="shared" si="3102"/>
        <v>0</v>
      </c>
      <c r="V972" s="784">
        <f t="shared" si="3102"/>
        <v>0</v>
      </c>
      <c r="W972" s="784">
        <f t="shared" si="3102"/>
        <v>0</v>
      </c>
      <c r="X972" s="784">
        <f t="shared" si="3102"/>
        <v>0</v>
      </c>
      <c r="Y972" s="784">
        <f t="shared" si="3102"/>
        <v>0</v>
      </c>
      <c r="Z972" s="784">
        <f t="shared" si="3102"/>
        <v>0</v>
      </c>
      <c r="AA972" s="784">
        <f t="shared" si="3102"/>
        <v>0</v>
      </c>
      <c r="AB972" s="784">
        <f t="shared" si="3102"/>
        <v>0</v>
      </c>
      <c r="AC972" s="784">
        <f t="shared" si="3102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103">SUM(AL732)</f>
        <v>0</v>
      </c>
      <c r="AM972" s="784">
        <f t="shared" si="3103"/>
        <v>0</v>
      </c>
      <c r="AN972" s="784">
        <f t="shared" si="3103"/>
        <v>0</v>
      </c>
      <c r="AO972" s="784">
        <f t="shared" si="3103"/>
        <v>0</v>
      </c>
      <c r="AP972" s="784">
        <f t="shared" si="3103"/>
        <v>0</v>
      </c>
      <c r="AQ972" s="784">
        <f t="shared" si="3103"/>
        <v>0</v>
      </c>
      <c r="AR972" s="784">
        <f t="shared" si="3103"/>
        <v>0</v>
      </c>
      <c r="AS972" s="784">
        <f t="shared" si="3103"/>
        <v>0</v>
      </c>
      <c r="AT972" s="784">
        <f t="shared" si="3103"/>
        <v>0</v>
      </c>
      <c r="AU972" s="784">
        <f t="shared" si="3103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16">
        <f t="shared" ref="CD972:CM973" si="31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7">
        <f t="shared" si="3104"/>
        <v>0</v>
      </c>
      <c r="CF972" s="1317">
        <f t="shared" si="3104"/>
        <v>0</v>
      </c>
      <c r="CG972" s="1317">
        <f t="shared" si="3104"/>
        <v>0</v>
      </c>
      <c r="CH972" s="1318">
        <f t="shared" si="3104"/>
        <v>0</v>
      </c>
      <c r="CI972" s="1318">
        <f t="shared" si="3104"/>
        <v>0</v>
      </c>
      <c r="CJ972" s="1317">
        <f t="shared" si="3104"/>
        <v>0</v>
      </c>
      <c r="CK972" s="1317">
        <f t="shared" si="3104"/>
        <v>0</v>
      </c>
      <c r="CL972" s="1317">
        <f t="shared" si="3104"/>
        <v>0</v>
      </c>
      <c r="CM972" s="1316">
        <f t="shared" si="3104"/>
        <v>0</v>
      </c>
      <c r="CN972" s="538" t="str">
        <f t="shared" ref="CN972:CV973" si="3105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105"/>
        <v/>
      </c>
      <c r="CP972" s="539" t="str">
        <f t="shared" si="3105"/>
        <v/>
      </c>
      <c r="CQ972" s="539" t="str">
        <f t="shared" si="3105"/>
        <v/>
      </c>
      <c r="CR972" s="539">
        <f t="shared" si="3105"/>
        <v>0</v>
      </c>
      <c r="CS972" s="539">
        <f t="shared" si="3105"/>
        <v>0</v>
      </c>
      <c r="CT972" s="540">
        <f t="shared" si="3105"/>
        <v>0</v>
      </c>
      <c r="CU972" s="540">
        <f t="shared" si="3105"/>
        <v>0</v>
      </c>
      <c r="CV972" s="540">
        <f t="shared" si="3105"/>
        <v>0</v>
      </c>
      <c r="CW972" s="539">
        <f t="shared" ref="CW972:DC973" si="3106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106"/>
        <v>0</v>
      </c>
      <c r="CY972" s="539">
        <f t="shared" si="3106"/>
        <v>0</v>
      </c>
      <c r="CZ972" s="539" t="str">
        <f t="shared" si="3106"/>
        <v/>
      </c>
      <c r="DA972" s="539" t="str">
        <f t="shared" si="3106"/>
        <v/>
      </c>
      <c r="DB972" s="538" t="str">
        <f t="shared" si="3106"/>
        <v/>
      </c>
      <c r="DC972" s="537" t="str">
        <f t="shared" si="3106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107">SUM(B755)</f>
        <v>0</v>
      </c>
      <c r="C973" s="784">
        <f t="shared" si="3107"/>
        <v>0</v>
      </c>
      <c r="D973" s="784">
        <f t="shared" si="3107"/>
        <v>0</v>
      </c>
      <c r="E973" s="784">
        <f t="shared" si="3107"/>
        <v>0</v>
      </c>
      <c r="F973" s="784">
        <f t="shared" si="3107"/>
        <v>0</v>
      </c>
      <c r="G973" s="784">
        <f t="shared" si="3107"/>
        <v>0</v>
      </c>
      <c r="H973" s="784">
        <f t="shared" si="3107"/>
        <v>0</v>
      </c>
      <c r="I973" s="784">
        <f t="shared" si="3107"/>
        <v>0</v>
      </c>
      <c r="J973" s="784">
        <f t="shared" si="3107"/>
        <v>0</v>
      </c>
      <c r="K973" s="784">
        <f t="shared" si="3107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108">SUM(T755)</f>
        <v>0</v>
      </c>
      <c r="U973" s="784">
        <f t="shared" si="3108"/>
        <v>0</v>
      </c>
      <c r="V973" s="784">
        <f t="shared" si="3108"/>
        <v>0</v>
      </c>
      <c r="W973" s="784">
        <f t="shared" si="3108"/>
        <v>0</v>
      </c>
      <c r="X973" s="784">
        <f t="shared" si="3108"/>
        <v>0</v>
      </c>
      <c r="Y973" s="784">
        <f t="shared" si="3108"/>
        <v>0</v>
      </c>
      <c r="Z973" s="784">
        <f t="shared" si="3108"/>
        <v>0</v>
      </c>
      <c r="AA973" s="784">
        <f t="shared" si="3108"/>
        <v>0</v>
      </c>
      <c r="AB973" s="784">
        <f t="shared" si="3108"/>
        <v>0</v>
      </c>
      <c r="AC973" s="784">
        <f t="shared" si="3108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109">SUM(AL755)</f>
        <v>0</v>
      </c>
      <c r="AM973" s="784">
        <f t="shared" si="3109"/>
        <v>0</v>
      </c>
      <c r="AN973" s="784">
        <f t="shared" si="3109"/>
        <v>0</v>
      </c>
      <c r="AO973" s="784">
        <f t="shared" si="3109"/>
        <v>12000</v>
      </c>
      <c r="AP973" s="784">
        <f t="shared" si="3109"/>
        <v>1000</v>
      </c>
      <c r="AQ973" s="784">
        <f t="shared" si="3109"/>
        <v>2160</v>
      </c>
      <c r="AR973" s="784">
        <f t="shared" si="3109"/>
        <v>0</v>
      </c>
      <c r="AS973" s="784">
        <f t="shared" si="3109"/>
        <v>270</v>
      </c>
      <c r="AT973" s="784">
        <f t="shared" si="3109"/>
        <v>0</v>
      </c>
      <c r="AU973" s="784">
        <f t="shared" si="3109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16">
        <f t="shared" si="3104"/>
        <v>0</v>
      </c>
      <c r="CE973" s="1317">
        <f t="shared" ref="CE973:CM973" si="311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7">
        <f t="shared" si="3110"/>
        <v>0</v>
      </c>
      <c r="CG973" s="1317">
        <f t="shared" si="3110"/>
        <v>0</v>
      </c>
      <c r="CH973" s="1318">
        <f t="shared" si="3110"/>
        <v>0</v>
      </c>
      <c r="CI973" s="1318">
        <f t="shared" si="3110"/>
        <v>0</v>
      </c>
      <c r="CJ973" s="1317">
        <f t="shared" si="3110"/>
        <v>270</v>
      </c>
      <c r="CK973" s="1317">
        <f t="shared" si="3110"/>
        <v>1000</v>
      </c>
      <c r="CL973" s="1317">
        <f t="shared" si="3110"/>
        <v>2160</v>
      </c>
      <c r="CM973" s="1316">
        <f t="shared" si="3110"/>
        <v>12000</v>
      </c>
      <c r="CN973" s="538" t="str">
        <f t="shared" si="3105"/>
        <v/>
      </c>
      <c r="CO973" s="539" t="str">
        <f t="shared" si="3105"/>
        <v/>
      </c>
      <c r="CP973" s="539" t="str">
        <f t="shared" si="3105"/>
        <v/>
      </c>
      <c r="CQ973" s="539" t="str">
        <f t="shared" si="3105"/>
        <v/>
      </c>
      <c r="CR973" s="539">
        <f t="shared" si="3105"/>
        <v>0</v>
      </c>
      <c r="CS973" s="539">
        <f t="shared" si="3105"/>
        <v>0</v>
      </c>
      <c r="CT973" s="540">
        <f t="shared" si="3105"/>
        <v>0</v>
      </c>
      <c r="CU973" s="540">
        <f t="shared" si="3105"/>
        <v>0</v>
      </c>
      <c r="CV973" s="540">
        <f t="shared" si="3105"/>
        <v>0</v>
      </c>
      <c r="CW973" s="539">
        <f t="shared" si="3106"/>
        <v>0</v>
      </c>
      <c r="CX973" s="539">
        <f t="shared" si="3106"/>
        <v>0</v>
      </c>
      <c r="CY973" s="539">
        <f t="shared" si="3106"/>
        <v>0</v>
      </c>
      <c r="CZ973" s="539" t="str">
        <f t="shared" si="3106"/>
        <v/>
      </c>
      <c r="DA973" s="539" t="str">
        <f t="shared" si="3106"/>
        <v/>
      </c>
      <c r="DB973" s="538" t="str">
        <f t="shared" si="3106"/>
        <v/>
      </c>
      <c r="DC973" s="537" t="str">
        <f t="shared" si="3106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406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2"/>
      <c r="CE974" s="1322"/>
      <c r="CF974" s="1322"/>
      <c r="CG974" s="1322"/>
      <c r="CH974" s="1322"/>
      <c r="CI974" s="1322"/>
      <c r="CJ974" s="1322"/>
      <c r="CK974" s="1322"/>
      <c r="CL974" s="1322"/>
      <c r="CM974" s="1322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111">SUM(B760)</f>
        <v>0</v>
      </c>
      <c r="C975" s="784">
        <f t="shared" si="3111"/>
        <v>0</v>
      </c>
      <c r="D975" s="784">
        <f t="shared" si="3111"/>
        <v>0</v>
      </c>
      <c r="E975" s="784">
        <f t="shared" si="3111"/>
        <v>0</v>
      </c>
      <c r="F975" s="784">
        <f t="shared" si="3111"/>
        <v>0</v>
      </c>
      <c r="G975" s="784">
        <f t="shared" si="3111"/>
        <v>0</v>
      </c>
      <c r="H975" s="784">
        <f t="shared" si="3111"/>
        <v>0</v>
      </c>
      <c r="I975" s="784">
        <f t="shared" si="3111"/>
        <v>0</v>
      </c>
      <c r="J975" s="784">
        <f t="shared" si="3111"/>
        <v>0</v>
      </c>
      <c r="K975" s="784">
        <f t="shared" si="3111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112">SUM(T760)</f>
        <v>0</v>
      </c>
      <c r="U975" s="784">
        <f t="shared" si="3112"/>
        <v>0</v>
      </c>
      <c r="V975" s="784">
        <f t="shared" si="3112"/>
        <v>0</v>
      </c>
      <c r="W975" s="784">
        <f t="shared" si="3112"/>
        <v>0</v>
      </c>
      <c r="X975" s="784">
        <f t="shared" si="3112"/>
        <v>0</v>
      </c>
      <c r="Y975" s="784">
        <f t="shared" si="3112"/>
        <v>4680</v>
      </c>
      <c r="Z975" s="784">
        <f t="shared" si="3112"/>
        <v>0</v>
      </c>
      <c r="AA975" s="784">
        <f t="shared" si="3112"/>
        <v>0</v>
      </c>
      <c r="AB975" s="784">
        <f t="shared" si="3112"/>
        <v>0</v>
      </c>
      <c r="AC975" s="784">
        <f t="shared" si="3112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113">SUM(AL760)</f>
        <v>0</v>
      </c>
      <c r="AM975" s="784">
        <f t="shared" si="3113"/>
        <v>2160</v>
      </c>
      <c r="AN975" s="784">
        <f t="shared" si="3113"/>
        <v>1800</v>
      </c>
      <c r="AO975" s="784">
        <f t="shared" si="3113"/>
        <v>500</v>
      </c>
      <c r="AP975" s="784">
        <f t="shared" si="3113"/>
        <v>0</v>
      </c>
      <c r="AQ975" s="784">
        <f t="shared" si="3113"/>
        <v>0</v>
      </c>
      <c r="AR975" s="784">
        <f t="shared" si="3113"/>
        <v>0</v>
      </c>
      <c r="AS975" s="784">
        <f t="shared" si="3113"/>
        <v>0</v>
      </c>
      <c r="AT975" s="784">
        <f t="shared" si="3113"/>
        <v>0</v>
      </c>
      <c r="AU975" s="784">
        <f t="shared" si="3113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114">SUM(BD760)</f>
        <v>16800</v>
      </c>
      <c r="BE975" s="784">
        <f t="shared" si="3114"/>
        <v>0</v>
      </c>
      <c r="BF975" s="784">
        <f t="shared" si="3114"/>
        <v>5760</v>
      </c>
      <c r="BG975" s="784">
        <f t="shared" si="3114"/>
        <v>0</v>
      </c>
      <c r="BH975" s="784">
        <f t="shared" si="3114"/>
        <v>4200</v>
      </c>
      <c r="BI975" s="784">
        <f t="shared" si="3114"/>
        <v>0</v>
      </c>
      <c r="BJ975" s="784">
        <f t="shared" si="3114"/>
        <v>0</v>
      </c>
      <c r="BK975" s="784">
        <f t="shared" si="3114"/>
        <v>0</v>
      </c>
      <c r="BL975" s="784">
        <f t="shared" si="3114"/>
        <v>0</v>
      </c>
      <c r="BM975" s="784">
        <f t="shared" si="3114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1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7">
        <f t="shared" ref="CE975:CM975" si="311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7">
        <f t="shared" si="3115"/>
        <v>0</v>
      </c>
      <c r="CG975" s="1317">
        <f t="shared" si="3115"/>
        <v>0</v>
      </c>
      <c r="CH975" s="1318">
        <f t="shared" si="3115"/>
        <v>0</v>
      </c>
      <c r="CI975" s="1318">
        <f t="shared" si="3115"/>
        <v>0</v>
      </c>
      <c r="CJ975" s="1317">
        <f t="shared" si="3115"/>
        <v>500</v>
      </c>
      <c r="CK975" s="1317">
        <f t="shared" si="3115"/>
        <v>1800</v>
      </c>
      <c r="CL975" s="1317">
        <f t="shared" si="3115"/>
        <v>1920</v>
      </c>
      <c r="CM975" s="1316">
        <f t="shared" si="3115"/>
        <v>2160</v>
      </c>
      <c r="CN975" s="538" t="str">
        <f t="shared" ref="CN975:DC975" si="311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116"/>
        <v/>
      </c>
      <c r="CP975" s="539" t="str">
        <f t="shared" si="3116"/>
        <v/>
      </c>
      <c r="CQ975" s="539">
        <f t="shared" si="3116"/>
        <v>0</v>
      </c>
      <c r="CR975" s="539">
        <f t="shared" si="3116"/>
        <v>0</v>
      </c>
      <c r="CS975" s="539">
        <f t="shared" si="3116"/>
        <v>0</v>
      </c>
      <c r="CT975" s="540">
        <f t="shared" si="3116"/>
        <v>0</v>
      </c>
      <c r="CU975" s="540">
        <f t="shared" si="3116"/>
        <v>0</v>
      </c>
      <c r="CV975" s="540">
        <f t="shared" si="3116"/>
        <v>0</v>
      </c>
      <c r="CW975" s="539">
        <f t="shared" si="3116"/>
        <v>0</v>
      </c>
      <c r="CX975" s="539">
        <f t="shared" si="3116"/>
        <v>4200</v>
      </c>
      <c r="CY975" s="539">
        <f t="shared" si="3116"/>
        <v>5760</v>
      </c>
      <c r="CZ975" s="539">
        <f t="shared" si="3116"/>
        <v>16800</v>
      </c>
      <c r="DA975" s="539" t="str">
        <f t="shared" si="3116"/>
        <v/>
      </c>
      <c r="DB975" s="538" t="str">
        <f t="shared" si="3116"/>
        <v/>
      </c>
      <c r="DC975" s="537" t="str">
        <f t="shared" si="3116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680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28"/>
      <c r="CE976" s="1328"/>
      <c r="CF976" s="1328"/>
      <c r="CG976" s="1328"/>
      <c r="CH976" s="1328"/>
      <c r="CI976" s="1328"/>
      <c r="CJ976" s="1328"/>
      <c r="CK976" s="1328"/>
      <c r="CL976" s="1328"/>
      <c r="CM976" s="1328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324</v>
      </c>
      <c r="B977" s="784">
        <f t="shared" ref="B977:K977" si="3117">SUM(B743)</f>
        <v>23160</v>
      </c>
      <c r="C977" s="784">
        <f t="shared" si="3117"/>
        <v>27720</v>
      </c>
      <c r="D977" s="784">
        <f t="shared" si="3117"/>
        <v>37200</v>
      </c>
      <c r="E977" s="784">
        <f t="shared" si="3117"/>
        <v>43200</v>
      </c>
      <c r="F977" s="784">
        <f t="shared" si="3117"/>
        <v>26640</v>
      </c>
      <c r="G977" s="784">
        <f t="shared" si="3117"/>
        <v>27360</v>
      </c>
      <c r="H977" s="784">
        <f t="shared" si="3117"/>
        <v>31080</v>
      </c>
      <c r="I977" s="784">
        <f t="shared" si="3117"/>
        <v>10080</v>
      </c>
      <c r="J977" s="784">
        <f t="shared" si="3117"/>
        <v>34800</v>
      </c>
      <c r="K977" s="784">
        <f t="shared" si="3117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118">SUM(T743)</f>
        <v>7680</v>
      </c>
      <c r="U977" s="784">
        <f t="shared" si="3118"/>
        <v>7680</v>
      </c>
      <c r="V977" s="784">
        <f t="shared" si="3118"/>
        <v>11520</v>
      </c>
      <c r="W977" s="784">
        <f t="shared" si="3118"/>
        <v>26040</v>
      </c>
      <c r="X977" s="784">
        <f t="shared" si="3118"/>
        <v>26040</v>
      </c>
      <c r="Y977" s="784">
        <f t="shared" si="3118"/>
        <v>32652</v>
      </c>
      <c r="Z977" s="784">
        <f t="shared" si="3118"/>
        <v>36000</v>
      </c>
      <c r="AA977" s="784">
        <f t="shared" si="3118"/>
        <v>26040</v>
      </c>
      <c r="AB977" s="784">
        <f t="shared" si="3118"/>
        <v>29760</v>
      </c>
      <c r="AC977" s="784">
        <f t="shared" si="3118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119">SUM(AL743)</f>
        <v>26640</v>
      </c>
      <c r="AM977" s="784">
        <f t="shared" si="3119"/>
        <v>32520</v>
      </c>
      <c r="AN977" s="784">
        <f t="shared" si="3119"/>
        <v>28680</v>
      </c>
      <c r="AO977" s="784">
        <f t="shared" si="3119"/>
        <v>35040</v>
      </c>
      <c r="AP977" s="784">
        <f t="shared" si="3119"/>
        <v>35880</v>
      </c>
      <c r="AQ977" s="784">
        <f t="shared" si="3119"/>
        <v>29760</v>
      </c>
      <c r="AR977" s="784">
        <f t="shared" si="3119"/>
        <v>36720</v>
      </c>
      <c r="AS977" s="784">
        <f t="shared" si="3119"/>
        <v>36840</v>
      </c>
      <c r="AT977" s="784">
        <f t="shared" si="3119"/>
        <v>18360</v>
      </c>
      <c r="AU977" s="784">
        <f t="shared" si="3119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120">SUM(BD743)</f>
        <v>17520</v>
      </c>
      <c r="BE977" s="784">
        <f t="shared" si="3120"/>
        <v>20160</v>
      </c>
      <c r="BF977" s="784">
        <f t="shared" si="3120"/>
        <v>20160</v>
      </c>
      <c r="BG977" s="784">
        <f t="shared" si="3120"/>
        <v>29760</v>
      </c>
      <c r="BH977" s="784">
        <f t="shared" si="3120"/>
        <v>19200</v>
      </c>
      <c r="BI977" s="784">
        <f t="shared" si="3120"/>
        <v>32400</v>
      </c>
      <c r="BJ977" s="784">
        <f t="shared" si="3120"/>
        <v>35040</v>
      </c>
      <c r="BK977" s="784">
        <f t="shared" si="3120"/>
        <v>34920</v>
      </c>
      <c r="BL977" s="784">
        <f t="shared" si="3120"/>
        <v>44640</v>
      </c>
      <c r="BM977" s="784">
        <f t="shared" si="3120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1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317">
        <f t="shared" ref="CE977:CM977" si="312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317">
        <f t="shared" si="3121"/>
        <v>26640</v>
      </c>
      <c r="CG977" s="1317">
        <f t="shared" si="3121"/>
        <v>28680</v>
      </c>
      <c r="CH977" s="1318">
        <f t="shared" si="3121"/>
        <v>29760</v>
      </c>
      <c r="CI977" s="1318">
        <f t="shared" si="3121"/>
        <v>32520</v>
      </c>
      <c r="CJ977" s="1317">
        <f t="shared" si="3121"/>
        <v>35040</v>
      </c>
      <c r="CK977" s="1317">
        <f t="shared" si="3121"/>
        <v>35880</v>
      </c>
      <c r="CL977" s="1317">
        <f t="shared" si="3121"/>
        <v>36720</v>
      </c>
      <c r="CM977" s="1316">
        <f t="shared" si="3121"/>
        <v>36840</v>
      </c>
      <c r="CN977" s="538" t="str">
        <f t="shared" ref="CN977:DC977" si="312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122"/>
        <v/>
      </c>
      <c r="CP977" s="539" t="str">
        <f t="shared" si="3122"/>
        <v/>
      </c>
      <c r="CQ977" s="539">
        <f t="shared" si="3122"/>
        <v>17520</v>
      </c>
      <c r="CR977" s="539">
        <f t="shared" si="3122"/>
        <v>19200</v>
      </c>
      <c r="CS977" s="539">
        <f t="shared" si="3122"/>
        <v>20160</v>
      </c>
      <c r="CT977" s="540">
        <f t="shared" si="3122"/>
        <v>20160</v>
      </c>
      <c r="CU977" s="540">
        <f t="shared" si="3122"/>
        <v>29760</v>
      </c>
      <c r="CV977" s="540">
        <f t="shared" si="3122"/>
        <v>32400</v>
      </c>
      <c r="CW977" s="539">
        <f t="shared" si="3122"/>
        <v>33624</v>
      </c>
      <c r="CX977" s="539">
        <f t="shared" si="3122"/>
        <v>34920</v>
      </c>
      <c r="CY977" s="539">
        <f t="shared" si="3122"/>
        <v>35040</v>
      </c>
      <c r="CZ977" s="539">
        <f t="shared" si="3122"/>
        <v>44640</v>
      </c>
      <c r="DA977" s="539" t="str">
        <f t="shared" si="3122"/>
        <v/>
      </c>
      <c r="DB977" s="538" t="str">
        <f t="shared" si="3122"/>
        <v/>
      </c>
      <c r="DC977" s="537" t="str">
        <f t="shared" si="3122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407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28"/>
      <c r="CE978" s="1328"/>
      <c r="CF978" s="1328"/>
      <c r="CG978" s="1328"/>
      <c r="CH978" s="1328"/>
      <c r="CI978" s="1328"/>
      <c r="CJ978" s="1328"/>
      <c r="CK978" s="1328"/>
      <c r="CL978" s="1328"/>
      <c r="CM978" s="1328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408</v>
      </c>
      <c r="B979" s="784">
        <f t="shared" ref="B979:K979" si="3123">SUM(B749)</f>
        <v>0</v>
      </c>
      <c r="C979" s="784">
        <f t="shared" si="3123"/>
        <v>0</v>
      </c>
      <c r="D979" s="784">
        <f t="shared" si="3123"/>
        <v>0</v>
      </c>
      <c r="E979" s="784">
        <f t="shared" si="3123"/>
        <v>0</v>
      </c>
      <c r="F979" s="784">
        <f t="shared" si="3123"/>
        <v>0</v>
      </c>
      <c r="G979" s="784">
        <f t="shared" si="3123"/>
        <v>0</v>
      </c>
      <c r="H979" s="784">
        <f t="shared" si="3123"/>
        <v>0</v>
      </c>
      <c r="I979" s="784">
        <f t="shared" si="3123"/>
        <v>0</v>
      </c>
      <c r="J979" s="784">
        <f t="shared" si="3123"/>
        <v>0</v>
      </c>
      <c r="K979" s="784">
        <f t="shared" si="3123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124">SUM(T749)</f>
        <v>0</v>
      </c>
      <c r="U979" s="784">
        <f t="shared" si="3124"/>
        <v>0</v>
      </c>
      <c r="V979" s="784">
        <f t="shared" si="3124"/>
        <v>7200</v>
      </c>
      <c r="W979" s="784">
        <f t="shared" si="3124"/>
        <v>0</v>
      </c>
      <c r="X979" s="784">
        <f t="shared" si="3124"/>
        <v>0</v>
      </c>
      <c r="Y979" s="784">
        <f t="shared" si="3124"/>
        <v>0</v>
      </c>
      <c r="Z979" s="784">
        <f t="shared" si="3124"/>
        <v>0</v>
      </c>
      <c r="AA979" s="784">
        <f t="shared" si="3124"/>
        <v>0</v>
      </c>
      <c r="AB979" s="784">
        <f t="shared" si="3124"/>
        <v>0</v>
      </c>
      <c r="AC979" s="784">
        <f t="shared" si="3124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125">SUM(AL749)</f>
        <v>0</v>
      </c>
      <c r="AM979" s="784">
        <f t="shared" si="3125"/>
        <v>0</v>
      </c>
      <c r="AN979" s="784">
        <f t="shared" si="3125"/>
        <v>0</v>
      </c>
      <c r="AO979" s="784">
        <f t="shared" si="3125"/>
        <v>0</v>
      </c>
      <c r="AP979" s="784">
        <f t="shared" si="3125"/>
        <v>0</v>
      </c>
      <c r="AQ979" s="784">
        <f t="shared" si="3125"/>
        <v>2971.2</v>
      </c>
      <c r="AR979" s="784">
        <f t="shared" si="3125"/>
        <v>6000</v>
      </c>
      <c r="AS979" s="784">
        <f t="shared" si="3125"/>
        <v>0</v>
      </c>
      <c r="AT979" s="784">
        <f t="shared" si="3125"/>
        <v>0</v>
      </c>
      <c r="AU979" s="784">
        <f t="shared" si="3125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126">SUM(BD749)</f>
        <v>0</v>
      </c>
      <c r="BE979" s="784">
        <f t="shared" si="3126"/>
        <v>0</v>
      </c>
      <c r="BF979" s="784">
        <f t="shared" si="3126"/>
        <v>0</v>
      </c>
      <c r="BG979" s="784">
        <f t="shared" si="3126"/>
        <v>0</v>
      </c>
      <c r="BH979" s="784">
        <f t="shared" si="3126"/>
        <v>0</v>
      </c>
      <c r="BI979" s="784">
        <f t="shared" si="3126"/>
        <v>0</v>
      </c>
      <c r="BJ979" s="784">
        <f t="shared" si="3126"/>
        <v>0</v>
      </c>
      <c r="BK979" s="784">
        <f t="shared" si="3126"/>
        <v>0</v>
      </c>
      <c r="BL979" s="784">
        <f t="shared" si="3126"/>
        <v>0</v>
      </c>
      <c r="BM979" s="784">
        <f t="shared" si="3126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1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7">
        <f t="shared" ref="CE979:CM979" si="312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7">
        <f t="shared" si="3127"/>
        <v>0</v>
      </c>
      <c r="CG979" s="1317">
        <f t="shared" si="3127"/>
        <v>0</v>
      </c>
      <c r="CH979" s="1318">
        <f t="shared" si="3127"/>
        <v>0</v>
      </c>
      <c r="CI979" s="1318">
        <f t="shared" si="3127"/>
        <v>0</v>
      </c>
      <c r="CJ979" s="1317">
        <f t="shared" si="3127"/>
        <v>0</v>
      </c>
      <c r="CK979" s="1317">
        <f t="shared" si="3127"/>
        <v>0</v>
      </c>
      <c r="CL979" s="1317">
        <f t="shared" si="3127"/>
        <v>2971.2</v>
      </c>
      <c r="CM979" s="1316">
        <f t="shared" si="3127"/>
        <v>6000</v>
      </c>
      <c r="CN979" s="538" t="str">
        <f t="shared" ref="CN979:DC979" si="312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128"/>
        <v/>
      </c>
      <c r="CP979" s="539" t="str">
        <f t="shared" si="3128"/>
        <v/>
      </c>
      <c r="CQ979" s="539">
        <f t="shared" si="3128"/>
        <v>0</v>
      </c>
      <c r="CR979" s="539">
        <f t="shared" si="3128"/>
        <v>0</v>
      </c>
      <c r="CS979" s="539">
        <f t="shared" si="3128"/>
        <v>0</v>
      </c>
      <c r="CT979" s="540">
        <f t="shared" si="3128"/>
        <v>0</v>
      </c>
      <c r="CU979" s="540">
        <f t="shared" si="3128"/>
        <v>0</v>
      </c>
      <c r="CV979" s="540">
        <f t="shared" si="3128"/>
        <v>0</v>
      </c>
      <c r="CW979" s="539">
        <f t="shared" si="3128"/>
        <v>0</v>
      </c>
      <c r="CX979" s="539">
        <f t="shared" si="3128"/>
        <v>0</v>
      </c>
      <c r="CY979" s="539">
        <f t="shared" si="3128"/>
        <v>0</v>
      </c>
      <c r="CZ979" s="539">
        <f t="shared" si="3128"/>
        <v>0</v>
      </c>
      <c r="DA979" s="539" t="str">
        <f t="shared" si="3128"/>
        <v/>
      </c>
      <c r="DB979" s="538" t="str">
        <f t="shared" si="3128"/>
        <v/>
      </c>
      <c r="DC979" s="537" t="str">
        <f t="shared" si="3128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409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2"/>
      <c r="CE980" s="1322"/>
      <c r="CF980" s="1322"/>
      <c r="CG980" s="1322"/>
      <c r="CH980" s="1322"/>
      <c r="CI980" s="1322"/>
      <c r="CJ980" s="1322"/>
      <c r="CK980" s="1322"/>
      <c r="CL980" s="1322"/>
      <c r="CM980" s="1322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129">SUM(B765)</f>
        <v>0</v>
      </c>
      <c r="C981" s="784">
        <f t="shared" si="3129"/>
        <v>0</v>
      </c>
      <c r="D981" s="784">
        <f t="shared" si="3129"/>
        <v>0</v>
      </c>
      <c r="E981" s="784">
        <f t="shared" si="3129"/>
        <v>0</v>
      </c>
      <c r="F981" s="784">
        <f t="shared" si="3129"/>
        <v>0</v>
      </c>
      <c r="G981" s="784">
        <f t="shared" si="3129"/>
        <v>0</v>
      </c>
      <c r="H981" s="784">
        <f t="shared" si="3129"/>
        <v>0</v>
      </c>
      <c r="I981" s="784">
        <f t="shared" si="3129"/>
        <v>0</v>
      </c>
      <c r="J981" s="784">
        <f t="shared" si="3129"/>
        <v>0</v>
      </c>
      <c r="K981" s="784">
        <f t="shared" si="3129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30">SUM(T765)</f>
        <v>0</v>
      </c>
      <c r="U981" s="784">
        <f t="shared" si="3130"/>
        <v>0</v>
      </c>
      <c r="V981" s="784">
        <f t="shared" si="3130"/>
        <v>0</v>
      </c>
      <c r="W981" s="784">
        <f t="shared" si="3130"/>
        <v>0</v>
      </c>
      <c r="X981" s="784">
        <f t="shared" si="3130"/>
        <v>0</v>
      </c>
      <c r="Y981" s="784">
        <f t="shared" si="3130"/>
        <v>0</v>
      </c>
      <c r="Z981" s="784">
        <f t="shared" si="3130"/>
        <v>0</v>
      </c>
      <c r="AA981" s="784">
        <f t="shared" si="3130"/>
        <v>0</v>
      </c>
      <c r="AB981" s="784">
        <f t="shared" si="3130"/>
        <v>0</v>
      </c>
      <c r="AC981" s="784">
        <f t="shared" si="3130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31">SUM(AL765)</f>
        <v>0</v>
      </c>
      <c r="AM981" s="784">
        <f t="shared" si="3131"/>
        <v>0</v>
      </c>
      <c r="AN981" s="784">
        <f t="shared" si="3131"/>
        <v>0</v>
      </c>
      <c r="AO981" s="784">
        <f t="shared" si="3131"/>
        <v>0</v>
      </c>
      <c r="AP981" s="784">
        <f t="shared" si="3131"/>
        <v>0</v>
      </c>
      <c r="AQ981" s="784">
        <f t="shared" si="3131"/>
        <v>0</v>
      </c>
      <c r="AR981" s="784">
        <f t="shared" si="3131"/>
        <v>0</v>
      </c>
      <c r="AS981" s="784">
        <f t="shared" si="3131"/>
        <v>0</v>
      </c>
      <c r="AT981" s="784">
        <f t="shared" si="3131"/>
        <v>0</v>
      </c>
      <c r="AU981" s="784">
        <f t="shared" si="3131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32">SUM(BD765)</f>
        <v>0</v>
      </c>
      <c r="BE981" s="784">
        <f t="shared" si="3132"/>
        <v>0</v>
      </c>
      <c r="BF981" s="784">
        <f t="shared" si="3132"/>
        <v>0</v>
      </c>
      <c r="BG981" s="784">
        <f t="shared" si="3132"/>
        <v>0</v>
      </c>
      <c r="BH981" s="784">
        <f t="shared" si="3132"/>
        <v>0</v>
      </c>
      <c r="BI981" s="784">
        <f t="shared" si="3132"/>
        <v>0</v>
      </c>
      <c r="BJ981" s="784">
        <f t="shared" si="3132"/>
        <v>0</v>
      </c>
      <c r="BK981" s="784">
        <f t="shared" si="3132"/>
        <v>0</v>
      </c>
      <c r="BL981" s="784">
        <f t="shared" si="3132"/>
        <v>0</v>
      </c>
      <c r="BM981" s="784">
        <f t="shared" si="3132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16">
        <f t="shared" ref="CD981:CM981" si="313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7">
        <f t="shared" si="3133"/>
        <v>0</v>
      </c>
      <c r="CF981" s="1317">
        <f t="shared" si="3133"/>
        <v>0</v>
      </c>
      <c r="CG981" s="1317">
        <f t="shared" si="3133"/>
        <v>0</v>
      </c>
      <c r="CH981" s="1318">
        <f t="shared" si="3133"/>
        <v>0</v>
      </c>
      <c r="CI981" s="1318">
        <f t="shared" si="3133"/>
        <v>0</v>
      </c>
      <c r="CJ981" s="1317">
        <f t="shared" si="3133"/>
        <v>0</v>
      </c>
      <c r="CK981" s="1317">
        <f t="shared" si="3133"/>
        <v>0</v>
      </c>
      <c r="CL981" s="1317">
        <f t="shared" si="3133"/>
        <v>0</v>
      </c>
      <c r="CM981" s="1316">
        <f t="shared" si="3133"/>
        <v>0</v>
      </c>
      <c r="CN981" s="538" t="str">
        <f t="shared" ref="CN981:CV983" si="313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34"/>
        <v/>
      </c>
      <c r="CP981" s="539" t="str">
        <f t="shared" si="3134"/>
        <v/>
      </c>
      <c r="CQ981" s="539">
        <f t="shared" si="3134"/>
        <v>0</v>
      </c>
      <c r="CR981" s="539">
        <f t="shared" si="3134"/>
        <v>0</v>
      </c>
      <c r="CS981" s="539">
        <f t="shared" si="3134"/>
        <v>0</v>
      </c>
      <c r="CT981" s="540">
        <f t="shared" si="3134"/>
        <v>0</v>
      </c>
      <c r="CU981" s="540">
        <f t="shared" si="3134"/>
        <v>0</v>
      </c>
      <c r="CV981" s="540">
        <f t="shared" si="3134"/>
        <v>0</v>
      </c>
      <c r="CW981" s="539">
        <f t="shared" ref="CW981:DC983" si="3135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35"/>
        <v>0</v>
      </c>
      <c r="CY981" s="539">
        <f t="shared" si="3135"/>
        <v>0</v>
      </c>
      <c r="CZ981" s="539">
        <f t="shared" si="3135"/>
        <v>0</v>
      </c>
      <c r="DA981" s="539" t="str">
        <f t="shared" si="3135"/>
        <v/>
      </c>
      <c r="DB981" s="538" t="str">
        <f t="shared" si="3135"/>
        <v/>
      </c>
      <c r="DC981" s="537" t="str">
        <f t="shared" si="3135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36">SUM(B770)</f>
        <v>0</v>
      </c>
      <c r="C982" s="784">
        <f t="shared" si="3136"/>
        <v>0</v>
      </c>
      <c r="D982" s="784">
        <f t="shared" si="3136"/>
        <v>0</v>
      </c>
      <c r="E982" s="784">
        <f t="shared" si="3136"/>
        <v>0</v>
      </c>
      <c r="F982" s="784">
        <f t="shared" si="3136"/>
        <v>0</v>
      </c>
      <c r="G982" s="784">
        <f t="shared" si="3136"/>
        <v>0</v>
      </c>
      <c r="H982" s="784">
        <f t="shared" si="3136"/>
        <v>0</v>
      </c>
      <c r="I982" s="784">
        <f t="shared" si="3136"/>
        <v>4800</v>
      </c>
      <c r="J982" s="784">
        <f t="shared" si="3136"/>
        <v>0</v>
      </c>
      <c r="K982" s="784">
        <f t="shared" si="3136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37">SUM(T770)</f>
        <v>0</v>
      </c>
      <c r="U982" s="784">
        <f t="shared" si="3137"/>
        <v>0</v>
      </c>
      <c r="V982" s="784">
        <f t="shared" si="3137"/>
        <v>0</v>
      </c>
      <c r="W982" s="784">
        <f t="shared" si="3137"/>
        <v>0</v>
      </c>
      <c r="X982" s="784">
        <f t="shared" si="3137"/>
        <v>0</v>
      </c>
      <c r="Y982" s="784">
        <f t="shared" si="3137"/>
        <v>0</v>
      </c>
      <c r="Z982" s="784">
        <f t="shared" si="3137"/>
        <v>0</v>
      </c>
      <c r="AA982" s="784">
        <f t="shared" si="3137"/>
        <v>0</v>
      </c>
      <c r="AB982" s="784">
        <f t="shared" si="3137"/>
        <v>0</v>
      </c>
      <c r="AC982" s="784">
        <f t="shared" si="3137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38">SUM(AL770)</f>
        <v>0</v>
      </c>
      <c r="AM982" s="784">
        <f t="shared" si="3138"/>
        <v>2400</v>
      </c>
      <c r="AN982" s="784">
        <f t="shared" si="3138"/>
        <v>1000</v>
      </c>
      <c r="AO982" s="784">
        <f t="shared" si="3138"/>
        <v>0</v>
      </c>
      <c r="AP982" s="784">
        <f t="shared" si="3138"/>
        <v>2400</v>
      </c>
      <c r="AQ982" s="784">
        <f t="shared" si="3138"/>
        <v>1600</v>
      </c>
      <c r="AR982" s="784">
        <f t="shared" si="3138"/>
        <v>0</v>
      </c>
      <c r="AS982" s="784">
        <f t="shared" si="3138"/>
        <v>0</v>
      </c>
      <c r="AT982" s="784">
        <f t="shared" si="3138"/>
        <v>0</v>
      </c>
      <c r="AU982" s="784">
        <f t="shared" si="3138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39">SUM(BD770)</f>
        <v>0</v>
      </c>
      <c r="BE982" s="784">
        <f t="shared" si="3139"/>
        <v>0</v>
      </c>
      <c r="BF982" s="784">
        <f t="shared" si="3139"/>
        <v>0</v>
      </c>
      <c r="BG982" s="784">
        <f t="shared" si="3139"/>
        <v>0</v>
      </c>
      <c r="BH982" s="784">
        <f t="shared" si="3139"/>
        <v>0</v>
      </c>
      <c r="BI982" s="784">
        <f t="shared" si="3139"/>
        <v>0</v>
      </c>
      <c r="BJ982" s="784">
        <f t="shared" si="3139"/>
        <v>0</v>
      </c>
      <c r="BK982" s="784">
        <f t="shared" si="3139"/>
        <v>0</v>
      </c>
      <c r="BL982" s="784">
        <f t="shared" si="3139"/>
        <v>1800</v>
      </c>
      <c r="BM982" s="784">
        <f t="shared" si="3139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1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7">
        <f t="shared" ref="CE982:CM983" si="314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7">
        <f t="shared" si="3140"/>
        <v>0</v>
      </c>
      <c r="CG982" s="1317">
        <f t="shared" si="3140"/>
        <v>0</v>
      </c>
      <c r="CH982" s="1318">
        <f t="shared" si="3140"/>
        <v>0</v>
      </c>
      <c r="CI982" s="1318">
        <f t="shared" si="3140"/>
        <v>1000</v>
      </c>
      <c r="CJ982" s="1317">
        <f t="shared" si="3140"/>
        <v>1000</v>
      </c>
      <c r="CK982" s="1317">
        <f t="shared" si="3140"/>
        <v>1600</v>
      </c>
      <c r="CL982" s="1317">
        <f t="shared" si="3140"/>
        <v>2400</v>
      </c>
      <c r="CM982" s="1316">
        <f t="shared" si="3140"/>
        <v>2400</v>
      </c>
      <c r="CN982" s="538" t="str">
        <f t="shared" si="3134"/>
        <v/>
      </c>
      <c r="CO982" s="539" t="str">
        <f t="shared" si="3134"/>
        <v/>
      </c>
      <c r="CP982" s="539" t="str">
        <f t="shared" si="3134"/>
        <v/>
      </c>
      <c r="CQ982" s="539">
        <f t="shared" si="3134"/>
        <v>0</v>
      </c>
      <c r="CR982" s="539">
        <f t="shared" si="3134"/>
        <v>0</v>
      </c>
      <c r="CS982" s="539">
        <f t="shared" si="3134"/>
        <v>0</v>
      </c>
      <c r="CT982" s="540">
        <f t="shared" si="3134"/>
        <v>0</v>
      </c>
      <c r="CU982" s="540">
        <f t="shared" si="3134"/>
        <v>0</v>
      </c>
      <c r="CV982" s="540">
        <f t="shared" si="3134"/>
        <v>0</v>
      </c>
      <c r="CW982" s="539">
        <f t="shared" si="3135"/>
        <v>0</v>
      </c>
      <c r="CX982" s="539">
        <f t="shared" si="3135"/>
        <v>0</v>
      </c>
      <c r="CY982" s="539">
        <f t="shared" si="3135"/>
        <v>1200</v>
      </c>
      <c r="CZ982" s="539">
        <f t="shared" si="3135"/>
        <v>1800</v>
      </c>
      <c r="DA982" s="539" t="str">
        <f t="shared" si="3135"/>
        <v/>
      </c>
      <c r="DB982" s="538" t="str">
        <f t="shared" si="3135"/>
        <v/>
      </c>
      <c r="DC982" s="537" t="str">
        <f t="shared" si="3135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41">SUM(B727)</f>
        <v>0</v>
      </c>
      <c r="C983" s="784">
        <f t="shared" si="3141"/>
        <v>0</v>
      </c>
      <c r="D983" s="784">
        <f t="shared" si="3141"/>
        <v>0</v>
      </c>
      <c r="E983" s="784">
        <f t="shared" si="3141"/>
        <v>0</v>
      </c>
      <c r="F983" s="784">
        <f t="shared" si="3141"/>
        <v>0</v>
      </c>
      <c r="G983" s="784">
        <f t="shared" si="3141"/>
        <v>0</v>
      </c>
      <c r="H983" s="784">
        <f t="shared" si="3141"/>
        <v>0</v>
      </c>
      <c r="I983" s="784">
        <f t="shared" si="3141"/>
        <v>0</v>
      </c>
      <c r="J983" s="784">
        <f t="shared" si="3141"/>
        <v>0</v>
      </c>
      <c r="K983" s="784">
        <f t="shared" si="3141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42">SUM(T727)</f>
        <v>0</v>
      </c>
      <c r="U983" s="784">
        <f t="shared" si="3142"/>
        <v>0</v>
      </c>
      <c r="V983" s="784">
        <f t="shared" si="3142"/>
        <v>0</v>
      </c>
      <c r="W983" s="784">
        <f t="shared" si="3142"/>
        <v>0</v>
      </c>
      <c r="X983" s="784">
        <f t="shared" si="3142"/>
        <v>0</v>
      </c>
      <c r="Y983" s="784">
        <f t="shared" si="3142"/>
        <v>0</v>
      </c>
      <c r="Z983" s="784">
        <f t="shared" si="3142"/>
        <v>0</v>
      </c>
      <c r="AA983" s="784">
        <f t="shared" si="3142"/>
        <v>0</v>
      </c>
      <c r="AB983" s="784">
        <f t="shared" si="3142"/>
        <v>0</v>
      </c>
      <c r="AC983" s="784">
        <f t="shared" si="3142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43">SUM(AL727)</f>
        <v>0</v>
      </c>
      <c r="AM983" s="784">
        <f t="shared" si="3143"/>
        <v>0</v>
      </c>
      <c r="AN983" s="784">
        <f t="shared" si="3143"/>
        <v>0</v>
      </c>
      <c r="AO983" s="784">
        <f t="shared" si="3143"/>
        <v>0</v>
      </c>
      <c r="AP983" s="784">
        <f t="shared" si="3143"/>
        <v>0</v>
      </c>
      <c r="AQ983" s="784">
        <f t="shared" si="3143"/>
        <v>0</v>
      </c>
      <c r="AR983" s="784">
        <f t="shared" si="3143"/>
        <v>0</v>
      </c>
      <c r="AS983" s="784">
        <f t="shared" si="3143"/>
        <v>0</v>
      </c>
      <c r="AT983" s="784">
        <f t="shared" si="3143"/>
        <v>0</v>
      </c>
      <c r="AU983" s="784">
        <f t="shared" si="3143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44">SUM(BD727)</f>
        <v>0</v>
      </c>
      <c r="BE983" s="784">
        <f t="shared" si="3144"/>
        <v>0</v>
      </c>
      <c r="BF983" s="784">
        <f t="shared" si="3144"/>
        <v>0</v>
      </c>
      <c r="BG983" s="784">
        <f t="shared" si="3144"/>
        <v>0</v>
      </c>
      <c r="BH983" s="784">
        <f t="shared" si="3144"/>
        <v>0</v>
      </c>
      <c r="BI983" s="784">
        <f t="shared" si="3144"/>
        <v>0</v>
      </c>
      <c r="BJ983" s="784">
        <f t="shared" si="3144"/>
        <v>0</v>
      </c>
      <c r="BK983" s="784">
        <f t="shared" si="3144"/>
        <v>0</v>
      </c>
      <c r="BL983" s="784">
        <f t="shared" si="3144"/>
        <v>0</v>
      </c>
      <c r="BM983" s="784">
        <f t="shared" si="3144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1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7">
        <f t="shared" si="3140"/>
        <v>0</v>
      </c>
      <c r="CF983" s="1317">
        <f t="shared" si="3140"/>
        <v>0</v>
      </c>
      <c r="CG983" s="1317">
        <f t="shared" si="3140"/>
        <v>0</v>
      </c>
      <c r="CH983" s="1318">
        <f t="shared" si="3140"/>
        <v>0</v>
      </c>
      <c r="CI983" s="1318">
        <f t="shared" si="3140"/>
        <v>0</v>
      </c>
      <c r="CJ983" s="1317">
        <f t="shared" si="3140"/>
        <v>0</v>
      </c>
      <c r="CK983" s="1317">
        <f t="shared" si="3140"/>
        <v>0</v>
      </c>
      <c r="CL983" s="1317">
        <f t="shared" si="3140"/>
        <v>0</v>
      </c>
      <c r="CM983" s="1316">
        <f t="shared" si="3140"/>
        <v>0</v>
      </c>
      <c r="CN983" s="538" t="str">
        <f t="shared" si="3134"/>
        <v/>
      </c>
      <c r="CO983" s="539" t="str">
        <f t="shared" si="3134"/>
        <v/>
      </c>
      <c r="CP983" s="539" t="str">
        <f t="shared" si="3134"/>
        <v/>
      </c>
      <c r="CQ983" s="539">
        <f t="shared" si="3134"/>
        <v>0</v>
      </c>
      <c r="CR983" s="539">
        <f t="shared" si="3134"/>
        <v>0</v>
      </c>
      <c r="CS983" s="539">
        <f t="shared" si="3134"/>
        <v>0</v>
      </c>
      <c r="CT983" s="540">
        <f t="shared" si="3134"/>
        <v>0</v>
      </c>
      <c r="CU983" s="540">
        <f t="shared" si="3134"/>
        <v>0</v>
      </c>
      <c r="CV983" s="540">
        <f t="shared" si="3134"/>
        <v>0</v>
      </c>
      <c r="CW983" s="539">
        <f t="shared" si="3135"/>
        <v>0</v>
      </c>
      <c r="CX983" s="539">
        <f t="shared" si="3135"/>
        <v>0</v>
      </c>
      <c r="CY983" s="539">
        <f t="shared" si="3135"/>
        <v>0</v>
      </c>
      <c r="CZ983" s="539">
        <f t="shared" si="3135"/>
        <v>0</v>
      </c>
      <c r="DA983" s="539" t="str">
        <f t="shared" si="3135"/>
        <v/>
      </c>
      <c r="DB983" s="538" t="str">
        <f t="shared" si="3135"/>
        <v/>
      </c>
      <c r="DC983" s="537" t="str">
        <f t="shared" si="3135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2"/>
      <c r="CE984" s="1322"/>
      <c r="CF984" s="1322"/>
      <c r="CG984" s="1322"/>
      <c r="CH984" s="1322"/>
      <c r="CI984" s="1322"/>
      <c r="CJ984" s="1322"/>
      <c r="CK984" s="1322"/>
      <c r="CL984" s="1322"/>
      <c r="CM984" s="1322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45">SUM(B904:B984)</f>
        <v>23160</v>
      </c>
      <c r="C985" s="784">
        <f t="shared" si="3145"/>
        <v>29120</v>
      </c>
      <c r="D985" s="784">
        <f t="shared" si="3145"/>
        <v>40825</v>
      </c>
      <c r="E985" s="784">
        <f t="shared" si="3145"/>
        <v>43200</v>
      </c>
      <c r="F985" s="784">
        <f t="shared" si="3145"/>
        <v>27140</v>
      </c>
      <c r="G985" s="784">
        <f t="shared" si="3145"/>
        <v>27360</v>
      </c>
      <c r="H985" s="784">
        <f t="shared" si="3145"/>
        <v>31080</v>
      </c>
      <c r="I985" s="784">
        <f t="shared" si="3145"/>
        <v>15000</v>
      </c>
      <c r="J985" s="784">
        <f t="shared" si="3145"/>
        <v>34800</v>
      </c>
      <c r="K985" s="784">
        <f t="shared" si="3145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46">SUM(T904:T984)</f>
        <v>22819.5</v>
      </c>
      <c r="U985" s="784">
        <f t="shared" si="3146"/>
        <v>12491.2</v>
      </c>
      <c r="V985" s="784">
        <f t="shared" si="3146"/>
        <v>19440</v>
      </c>
      <c r="W985" s="784">
        <f t="shared" si="3146"/>
        <v>26040</v>
      </c>
      <c r="X985" s="784">
        <f t="shared" si="3146"/>
        <v>26040</v>
      </c>
      <c r="Y985" s="784">
        <f t="shared" si="3146"/>
        <v>37332</v>
      </c>
      <c r="Z985" s="784">
        <f t="shared" si="3146"/>
        <v>36253.03</v>
      </c>
      <c r="AA985" s="784">
        <f t="shared" si="3146"/>
        <v>29495.4</v>
      </c>
      <c r="AB985" s="784">
        <f t="shared" si="3146"/>
        <v>33940</v>
      </c>
      <c r="AC985" s="784">
        <f t="shared" si="3146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47">SUM(AL904:AL984)</f>
        <v>36240</v>
      </c>
      <c r="AM985" s="784">
        <f t="shared" si="3147"/>
        <v>46255</v>
      </c>
      <c r="AN985" s="784">
        <f t="shared" si="3147"/>
        <v>37080</v>
      </c>
      <c r="AO985" s="784">
        <f t="shared" si="3147"/>
        <v>51340</v>
      </c>
      <c r="AP985" s="784">
        <f t="shared" si="3147"/>
        <v>40876</v>
      </c>
      <c r="AQ985" s="784">
        <f t="shared" si="3147"/>
        <v>42851.199999999997</v>
      </c>
      <c r="AR985" s="784">
        <f t="shared" si="3147"/>
        <v>49435</v>
      </c>
      <c r="AS985" s="784">
        <f t="shared" si="3147"/>
        <v>37370</v>
      </c>
      <c r="AT985" s="784">
        <f t="shared" si="3147"/>
        <v>22460</v>
      </c>
      <c r="AU985" s="784">
        <f t="shared" si="3147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48">SUM(BD904:BD984)</f>
        <v>94570</v>
      </c>
      <c r="BE985" s="784">
        <f t="shared" si="3148"/>
        <v>44260</v>
      </c>
      <c r="BF985" s="784">
        <f t="shared" si="3148"/>
        <v>65535</v>
      </c>
      <c r="BG985" s="784">
        <f t="shared" si="3148"/>
        <v>45201.25</v>
      </c>
      <c r="BH985" s="784">
        <f t="shared" si="3148"/>
        <v>65720</v>
      </c>
      <c r="BI985" s="784">
        <f t="shared" si="3148"/>
        <v>47000</v>
      </c>
      <c r="BJ985" s="784">
        <f t="shared" si="3148"/>
        <v>83540</v>
      </c>
      <c r="BK985" s="784">
        <f t="shared" si="3148"/>
        <v>47720</v>
      </c>
      <c r="BL985" s="784">
        <f t="shared" si="3148"/>
        <v>63790</v>
      </c>
      <c r="BM985" s="784">
        <f t="shared" si="3148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34453</v>
      </c>
      <c r="BY985" s="784">
        <f>SUM(BY904:BY984)</f>
        <v>57746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1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317">
        <f t="shared" ref="CE985:CM985" si="314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317">
        <f t="shared" si="3149"/>
        <v>36240</v>
      </c>
      <c r="CG985" s="1317">
        <f t="shared" si="3149"/>
        <v>37080</v>
      </c>
      <c r="CH985" s="1318">
        <f t="shared" si="3149"/>
        <v>37370</v>
      </c>
      <c r="CI985" s="1318">
        <f t="shared" si="3149"/>
        <v>40876</v>
      </c>
      <c r="CJ985" s="1317">
        <f t="shared" si="3149"/>
        <v>42851.199999999997</v>
      </c>
      <c r="CK985" s="1317">
        <f t="shared" si="3149"/>
        <v>46255</v>
      </c>
      <c r="CL985" s="1317">
        <f t="shared" si="3149"/>
        <v>49435</v>
      </c>
      <c r="CM985" s="1316">
        <f t="shared" si="3149"/>
        <v>51340</v>
      </c>
      <c r="CN985" s="538" t="str">
        <f t="shared" ref="CN985:DC985" si="315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50"/>
        <v/>
      </c>
      <c r="CP985" s="539" t="str">
        <f t="shared" si="3150"/>
        <v/>
      </c>
      <c r="CQ985" s="539">
        <f t="shared" si="3150"/>
        <v>44260</v>
      </c>
      <c r="CR985" s="539">
        <f t="shared" si="3150"/>
        <v>45201.25</v>
      </c>
      <c r="CS985" s="539">
        <f t="shared" si="3150"/>
        <v>47000</v>
      </c>
      <c r="CT985" s="540">
        <f t="shared" si="3150"/>
        <v>47720</v>
      </c>
      <c r="CU985" s="540">
        <f t="shared" si="3150"/>
        <v>63790</v>
      </c>
      <c r="CV985" s="540">
        <f t="shared" si="3150"/>
        <v>65535</v>
      </c>
      <c r="CW985" s="539">
        <f t="shared" si="3150"/>
        <v>65720</v>
      </c>
      <c r="CX985" s="539">
        <f t="shared" si="3150"/>
        <v>73194</v>
      </c>
      <c r="CY985" s="539">
        <f t="shared" si="3150"/>
        <v>83540</v>
      </c>
      <c r="CZ985" s="539">
        <f t="shared" si="3150"/>
        <v>94570</v>
      </c>
      <c r="DA985" s="539" t="str">
        <f t="shared" si="3150"/>
        <v/>
      </c>
      <c r="DB985" s="538" t="str">
        <f t="shared" si="3150"/>
        <v/>
      </c>
      <c r="DC985" s="537" t="str">
        <f t="shared" si="3150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2"/>
      <c r="CE986" s="1322"/>
      <c r="CF986" s="1322"/>
      <c r="CG986" s="1322"/>
      <c r="CH986" s="1322"/>
      <c r="CI986" s="1322"/>
      <c r="CJ986" s="1322"/>
      <c r="CK986" s="1322"/>
      <c r="CL986" s="1322"/>
      <c r="CM986" s="1322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410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2"/>
      <c r="CE987" s="1322"/>
      <c r="CF987" s="1322"/>
      <c r="CG987" s="1322"/>
      <c r="CH987" s="1322"/>
      <c r="CI987" s="1322"/>
      <c r="CJ987" s="1322"/>
      <c r="CK987" s="1322"/>
      <c r="CL987" s="1322"/>
      <c r="CM987" s="1322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SUM(B457,B466,B475,B484,B493,B502,B635)</f>
        <v>8880</v>
      </c>
      <c r="C988" s="784">
        <f t="shared" ref="C988:F988" si="3151">SUM(C457,C466,C475,C484,C493,C502,C635)</f>
        <v>3420</v>
      </c>
      <c r="D988" s="784">
        <f t="shared" si="3151"/>
        <v>3120</v>
      </c>
      <c r="E988" s="784">
        <f t="shared" si="3151"/>
        <v>8544</v>
      </c>
      <c r="F988" s="784">
        <f t="shared" si="3151"/>
        <v>4380</v>
      </c>
      <c r="G988" s="784">
        <f t="shared" ref="G988:K988" si="3152">SUM(G457,G466,G475,G484,G493,G502,G635)</f>
        <v>4596</v>
      </c>
      <c r="H988" s="784">
        <f t="shared" si="3152"/>
        <v>4800</v>
      </c>
      <c r="I988" s="784">
        <f t="shared" si="3152"/>
        <v>5178</v>
      </c>
      <c r="J988" s="784">
        <f t="shared" si="3152"/>
        <v>2640</v>
      </c>
      <c r="K988" s="784">
        <f t="shared" si="3152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SUM(T457,T466,T475,T484,T493,T502,T635)</f>
        <v>5480</v>
      </c>
      <c r="U988" s="784">
        <f t="shared" ref="U988:AC988" si="3153">SUM(U457,U466,U475,U484,U493,U502,U635)</f>
        <v>2790</v>
      </c>
      <c r="V988" s="784">
        <f t="shared" si="3153"/>
        <v>5940</v>
      </c>
      <c r="W988" s="784">
        <f t="shared" si="3153"/>
        <v>8946</v>
      </c>
      <c r="X988" s="784">
        <f t="shared" si="3153"/>
        <v>6120</v>
      </c>
      <c r="Y988" s="784">
        <f t="shared" si="3153"/>
        <v>6756</v>
      </c>
      <c r="Z988" s="784">
        <f t="shared" si="3153"/>
        <v>8160</v>
      </c>
      <c r="AA988" s="784">
        <f t="shared" si="3153"/>
        <v>7865</v>
      </c>
      <c r="AB988" s="784">
        <f t="shared" si="3153"/>
        <v>6710</v>
      </c>
      <c r="AC988" s="784">
        <f t="shared" si="3153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SUM(AL457,AL466,AL475,AL484,AL493,AL502,AL635)</f>
        <v>6423</v>
      </c>
      <c r="AM988" s="784">
        <f t="shared" ref="AM988:AU988" si="3154">SUM(AM457,AM466,AM475,AM484,AM493,AM502,AM635)</f>
        <v>7800</v>
      </c>
      <c r="AN988" s="784">
        <f t="shared" si="3154"/>
        <v>3370</v>
      </c>
      <c r="AO988" s="784">
        <f t="shared" si="3154"/>
        <v>6600</v>
      </c>
      <c r="AP988" s="784">
        <f t="shared" si="3154"/>
        <v>6840</v>
      </c>
      <c r="AQ988" s="784">
        <f t="shared" si="3154"/>
        <v>2575</v>
      </c>
      <c r="AR988" s="784">
        <f t="shared" si="3154"/>
        <v>6500</v>
      </c>
      <c r="AS988" s="784">
        <f t="shared" si="3154"/>
        <v>6800</v>
      </c>
      <c r="AT988" s="784">
        <f t="shared" si="3154"/>
        <v>2910</v>
      </c>
      <c r="AU988" s="784">
        <f t="shared" si="3154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SUM(BD457,BD466,BD475,BD484,BD493,BD502,BD635)</f>
        <v>12906</v>
      </c>
      <c r="BE988" s="784">
        <f t="shared" ref="BE988:BM988" si="3155">SUM(BE457,BE466,BE475,BE484,BE493,BE502,BE635)</f>
        <v>6771</v>
      </c>
      <c r="BF988" s="784">
        <f t="shared" si="3155"/>
        <v>7716</v>
      </c>
      <c r="BG988" s="784">
        <f t="shared" si="3155"/>
        <v>5748</v>
      </c>
      <c r="BH988" s="784">
        <f t="shared" si="3155"/>
        <v>10488</v>
      </c>
      <c r="BI988" s="784">
        <f t="shared" si="3155"/>
        <v>7428</v>
      </c>
      <c r="BJ988" s="784">
        <f t="shared" si="3155"/>
        <v>7458</v>
      </c>
      <c r="BK988" s="784">
        <f t="shared" si="3155"/>
        <v>6678</v>
      </c>
      <c r="BL988" s="784">
        <f t="shared" si="3155"/>
        <v>13584</v>
      </c>
      <c r="BM988" s="784">
        <f t="shared" si="3155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SUM(BV457,BV466,BV475,BV484,BV493,BV502,BV635)</f>
        <v>4820</v>
      </c>
      <c r="BW988" s="784">
        <f t="shared" ref="BW988:BY988" si="3156">SUM(BW457,BW466,BW475,BW484,BW493,BW502,BW635)</f>
        <v>4825</v>
      </c>
      <c r="BX988" s="784">
        <f t="shared" si="3156"/>
        <v>5180</v>
      </c>
      <c r="BY988" s="784">
        <f t="shared" si="3156"/>
        <v>8340</v>
      </c>
      <c r="BZ988" s="586">
        <f t="shared" ref="BZ988:BZ1002" si="3157">IF(DD988&lt;3,"",(SUM(B988:R988)-MIN(B988:R988)-MAX(B988:R988))/(DD988-2))</f>
        <v>4587</v>
      </c>
      <c r="CA988" s="586">
        <f t="shared" ref="CA988:CA1002" si="3158">IF(DE988&lt;3,"",(SUM(T988:AJ988)-MIN(T988:AJ988)-MAX(T988:AJ988))/(DE988-2))</f>
        <v>6861.375</v>
      </c>
      <c r="CB988" s="586">
        <f t="shared" ref="CB988:CB1002" si="3159">IF(DF988&lt;3,"",(SUM(AL988:BB988)-MIN(AL988:BB988)-MAX(AL988:BB988))/(DF988-2))</f>
        <v>5905.375</v>
      </c>
      <c r="CC988" s="586">
        <f t="shared" ref="CC988:CC1002" si="3160">IF(DG988&lt;3,"",(SUM(BD988:BT988)-MIN(BD988:BT988)-MAX(BD988:BT988))/(DG988-2))</f>
        <v>8240.25</v>
      </c>
      <c r="CD988" s="1316">
        <f t="shared" ref="CD988:CM1002" si="316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17">
        <f t="shared" si="3161"/>
        <v>2910</v>
      </c>
      <c r="CF988" s="1317">
        <f t="shared" si="3161"/>
        <v>3370</v>
      </c>
      <c r="CG988" s="1317">
        <f t="shared" si="3161"/>
        <v>6423</v>
      </c>
      <c r="CH988" s="1318">
        <f t="shared" si="3161"/>
        <v>6500</v>
      </c>
      <c r="CI988" s="1318">
        <f t="shared" si="3161"/>
        <v>6600</v>
      </c>
      <c r="CJ988" s="1317">
        <f t="shared" si="3161"/>
        <v>6800</v>
      </c>
      <c r="CK988" s="1317">
        <f t="shared" si="3161"/>
        <v>6840</v>
      </c>
      <c r="CL988" s="1317">
        <f t="shared" si="3161"/>
        <v>7800</v>
      </c>
      <c r="CM988" s="1316">
        <f t="shared" si="3161"/>
        <v>8280</v>
      </c>
      <c r="CN988" s="1331" t="str">
        <f t="shared" ref="CN988:DB1002" si="316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2" t="str">
        <f t="shared" si="3162"/>
        <v/>
      </c>
      <c r="CP988" s="1332" t="str">
        <f t="shared" si="3162"/>
        <v/>
      </c>
      <c r="CQ988" s="1332">
        <f t="shared" si="3162"/>
        <v>5748</v>
      </c>
      <c r="CR988" s="1332">
        <f t="shared" si="3162"/>
        <v>6477</v>
      </c>
      <c r="CS988" s="1332">
        <f t="shared" si="3162"/>
        <v>6678</v>
      </c>
      <c r="CT988" s="1333">
        <f t="shared" si="3162"/>
        <v>6771</v>
      </c>
      <c r="CU988" s="1333">
        <f t="shared" si="3162"/>
        <v>7428</v>
      </c>
      <c r="CV988" s="1333">
        <f t="shared" si="3162"/>
        <v>7458</v>
      </c>
      <c r="CW988" s="1332">
        <f t="shared" si="3162"/>
        <v>7716</v>
      </c>
      <c r="CX988" s="1332">
        <f t="shared" si="3162"/>
        <v>10488</v>
      </c>
      <c r="CY988" s="1332">
        <f t="shared" si="3162"/>
        <v>12906</v>
      </c>
      <c r="CZ988" s="1332">
        <f t="shared" si="3162"/>
        <v>13584</v>
      </c>
      <c r="DA988" s="1332" t="str">
        <f t="shared" si="3162"/>
        <v/>
      </c>
      <c r="DB988" s="1331" t="str">
        <f t="shared" si="3162"/>
        <v/>
      </c>
      <c r="DC988" s="1382" t="str">
        <f t="shared" ref="DC988:DC1002" si="3163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64">COUNT(B988:R988)</f>
        <v>10</v>
      </c>
      <c r="DE988" s="95">
        <f t="shared" ref="DE988:DE1002" si="3165">COUNT(T988:AJ988)</f>
        <v>10</v>
      </c>
      <c r="DF988" s="95">
        <f t="shared" ref="DF988:DF1002" si="3166">COUNT(AL988:BB988)</f>
        <v>10</v>
      </c>
      <c r="DG988" s="95">
        <f t="shared" ref="DG988:DG1002" si="3167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701</v>
      </c>
      <c r="B989" s="784">
        <f>SUM(B508,B514,B520,B526,B532,B538,B544,B550,B556,B562,B568,B574,B580,B586,B592,B605,B611,B623,B772:B773)</f>
        <v>2560</v>
      </c>
      <c r="C989" s="784">
        <f t="shared" ref="C989:F989" si="3168">SUM(C508,C514,C520,C526,C532,C538,C544,C550,C556,C562,C568,C574,C580,C586,C592,C605,C611,C623,C772:C773)</f>
        <v>2061</v>
      </c>
      <c r="D989" s="784">
        <f t="shared" si="3168"/>
        <v>1914</v>
      </c>
      <c r="E989" s="784">
        <f t="shared" si="3168"/>
        <v>1608</v>
      </c>
      <c r="F989" s="784">
        <f t="shared" si="3168"/>
        <v>1620</v>
      </c>
      <c r="G989" s="784">
        <f t="shared" ref="G989:K989" si="3169">SUM(G508,G514,G520,G526,G532,G538,G544,G550,G556,G562,G568,G574,G580,G586,G592,G605,G611,G623,G772:G773)</f>
        <v>1896</v>
      </c>
      <c r="H989" s="784">
        <f t="shared" si="3169"/>
        <v>1652</v>
      </c>
      <c r="I989" s="784">
        <f t="shared" si="3169"/>
        <v>1244</v>
      </c>
      <c r="J989" s="784">
        <f t="shared" si="3169"/>
        <v>1656</v>
      </c>
      <c r="K989" s="784">
        <f t="shared" si="3169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SUM(T508,T514,T520,T526,T532,T538,T544,T550,T556,T562,T568,T574,T580,T586,T592,T605,T611,T623,T772:T773)</f>
        <v>2289</v>
      </c>
      <c r="U989" s="784">
        <f t="shared" ref="U989:AC989" si="3170">SUM(U508,U514,U520,U526,U532,U538,U544,U550,U556,U562,U568,U574,U580,U586,U592,U605,U611,U623,U772:U773)</f>
        <v>1970</v>
      </c>
      <c r="V989" s="784">
        <f t="shared" si="3170"/>
        <v>2979.6</v>
      </c>
      <c r="W989" s="784">
        <f t="shared" si="3170"/>
        <v>2211.6</v>
      </c>
      <c r="X989" s="784">
        <f t="shared" si="3170"/>
        <v>2776.2000000000003</v>
      </c>
      <c r="Y989" s="784">
        <f t="shared" si="3170"/>
        <v>3066</v>
      </c>
      <c r="Z989" s="784">
        <f t="shared" si="3170"/>
        <v>3072</v>
      </c>
      <c r="AA989" s="784">
        <f t="shared" si="3170"/>
        <v>3552.2</v>
      </c>
      <c r="AB989" s="784">
        <f t="shared" si="3170"/>
        <v>4598</v>
      </c>
      <c r="AC989" s="784">
        <f t="shared" si="3170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SUM(AL508,AL514,AL520,AL526,AL532,AL538,AL544,AL550,AL556,AL562,AL568,AL574,AL580,AL586,AL592,AL605,AL611,AL623,AL772:AL773)</f>
        <v>2736</v>
      </c>
      <c r="AM989" s="784">
        <f t="shared" ref="AM989:AU989" si="3171">SUM(AM508,AM514,AM520,AM526,AM532,AM538,AM544,AM550,AM556,AM562,AM568,AM574,AM580,AM586,AM592,AM605,AM611,AM623,AM772:AM773)</f>
        <v>4918</v>
      </c>
      <c r="AN989" s="784">
        <f t="shared" si="3171"/>
        <v>3065</v>
      </c>
      <c r="AO989" s="784">
        <f t="shared" si="3171"/>
        <v>4293.6000000000004</v>
      </c>
      <c r="AP989" s="784">
        <f t="shared" si="3171"/>
        <v>4440.4799999999996</v>
      </c>
      <c r="AQ989" s="784">
        <f t="shared" si="3171"/>
        <v>3318</v>
      </c>
      <c r="AR989" s="784">
        <f t="shared" si="3171"/>
        <v>4879.3999999999996</v>
      </c>
      <c r="AS989" s="784">
        <f t="shared" si="3171"/>
        <v>4976</v>
      </c>
      <c r="AT989" s="784">
        <f t="shared" si="3171"/>
        <v>3554.4</v>
      </c>
      <c r="AU989" s="784">
        <f t="shared" si="3171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SUM(BD508,BD514,BD520,BD526,BD532,BD538,BD544,BD550,BD556,BD562,BD568,BD574,BD580,BD586,BD592,BD605,BD611,BD623,BD772:BD773)</f>
        <v>3601.44</v>
      </c>
      <c r="BE989" s="784">
        <f t="shared" ref="BE989:BM989" si="3172">SUM(BE508,BE514,BE520,BE526,BE532,BE538,BE544,BE550,BE556,BE562,BE568,BE574,BE580,BE586,BE592,BE605,BE611,BE623,BE772:BE773)</f>
        <v>3639</v>
      </c>
      <c r="BF989" s="784">
        <f t="shared" si="3172"/>
        <v>4778.2</v>
      </c>
      <c r="BG989" s="784">
        <f t="shared" si="3172"/>
        <v>4125.12</v>
      </c>
      <c r="BH989" s="784">
        <f t="shared" si="3172"/>
        <v>6356.8</v>
      </c>
      <c r="BI989" s="784">
        <f t="shared" si="3172"/>
        <v>4517.3999999999996</v>
      </c>
      <c r="BJ989" s="784">
        <f t="shared" si="3172"/>
        <v>3614.4</v>
      </c>
      <c r="BK989" s="784">
        <f t="shared" si="3172"/>
        <v>7318.8</v>
      </c>
      <c r="BL989" s="784">
        <f t="shared" si="3172"/>
        <v>5879.76</v>
      </c>
      <c r="BM989" s="784">
        <f t="shared" si="3172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SUM(BV508,BV514,BV520,BV526,BV532,BV538,BV544,BV550,BV556,BV562,BV568,BV574,BV580,BV586,BV592,BV605,BV611,BV623,BV772:BV773)</f>
        <v>2952</v>
      </c>
      <c r="BW989" s="784">
        <f t="shared" ref="BW989:BY989" si="3173">SUM(BW508,BW514,BW520,BW526,BW532,BW538,BW544,BW550,BW556,BW562,BW568,BW574,BW580,BW586,BW592,BW605,BW611,BW623,BW772:BW773)</f>
        <v>3717</v>
      </c>
      <c r="BX989" s="784">
        <f t="shared" si="3173"/>
        <v>4918</v>
      </c>
      <c r="BY989" s="784">
        <f t="shared" si="3173"/>
        <v>6491</v>
      </c>
      <c r="BZ989" s="586">
        <f t="shared" si="3157"/>
        <v>1772.875</v>
      </c>
      <c r="CA989" s="586">
        <f t="shared" si="3158"/>
        <v>3068.0750000000007</v>
      </c>
      <c r="CB989" s="586">
        <f t="shared" si="3159"/>
        <v>4180.6100000000006</v>
      </c>
      <c r="CC989" s="586">
        <f t="shared" si="3160"/>
        <v>4672.6350000000002</v>
      </c>
      <c r="CD989" s="1316">
        <f t="shared" si="3161"/>
        <v>2736</v>
      </c>
      <c r="CE989" s="1317">
        <f t="shared" si="3161"/>
        <v>3065</v>
      </c>
      <c r="CF989" s="1317">
        <f t="shared" si="3161"/>
        <v>3318</v>
      </c>
      <c r="CG989" s="1317">
        <f t="shared" si="3161"/>
        <v>3554.4</v>
      </c>
      <c r="CH989" s="1318">
        <f t="shared" si="3161"/>
        <v>4293.6000000000004</v>
      </c>
      <c r="CI989" s="1318">
        <f t="shared" si="3161"/>
        <v>4440.4799999999996</v>
      </c>
      <c r="CJ989" s="1317">
        <f t="shared" si="3161"/>
        <v>4879.3999999999996</v>
      </c>
      <c r="CK989" s="1317">
        <f t="shared" si="3161"/>
        <v>4918</v>
      </c>
      <c r="CL989" s="1317">
        <f t="shared" si="3161"/>
        <v>4976</v>
      </c>
      <c r="CM989" s="1316">
        <f t="shared" si="3161"/>
        <v>5677.2</v>
      </c>
      <c r="CN989" s="1331" t="str">
        <f t="shared" si="3162"/>
        <v/>
      </c>
      <c r="CO989" s="1332" t="str">
        <f t="shared" si="3162"/>
        <v/>
      </c>
      <c r="CP989" s="1332" t="str">
        <f t="shared" si="3162"/>
        <v/>
      </c>
      <c r="CQ989" s="1332">
        <f t="shared" si="3162"/>
        <v>3601.44</v>
      </c>
      <c r="CR989" s="1332">
        <f t="shared" si="3162"/>
        <v>3614.4</v>
      </c>
      <c r="CS989" s="1332">
        <f t="shared" si="3162"/>
        <v>3639</v>
      </c>
      <c r="CT989" s="1333">
        <f t="shared" si="3162"/>
        <v>4125.12</v>
      </c>
      <c r="CU989" s="1333">
        <f t="shared" si="3162"/>
        <v>4470.3999999999996</v>
      </c>
      <c r="CV989" s="1333">
        <f t="shared" si="3162"/>
        <v>4517.3999999999996</v>
      </c>
      <c r="CW989" s="1332">
        <f t="shared" si="3162"/>
        <v>4778.2</v>
      </c>
      <c r="CX989" s="1332">
        <f t="shared" si="3162"/>
        <v>5879.76</v>
      </c>
      <c r="CY989" s="1332">
        <f t="shared" si="3162"/>
        <v>6356.8</v>
      </c>
      <c r="CZ989" s="1332">
        <f t="shared" si="3162"/>
        <v>7318.8</v>
      </c>
      <c r="DA989" s="1332" t="str">
        <f t="shared" si="3162"/>
        <v/>
      </c>
      <c r="DB989" s="1331" t="str">
        <f t="shared" si="3162"/>
        <v/>
      </c>
      <c r="DC989" s="1382" t="str">
        <f t="shared" si="3163"/>
        <v/>
      </c>
      <c r="DD989" s="641">
        <f t="shared" si="3164"/>
        <v>10</v>
      </c>
      <c r="DE989" s="95">
        <f t="shared" si="3165"/>
        <v>10</v>
      </c>
      <c r="DF989" s="95">
        <f t="shared" si="3166"/>
        <v>10</v>
      </c>
      <c r="DG989" s="95">
        <f t="shared" si="3167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702</v>
      </c>
      <c r="B990" s="784">
        <f>SUM(B599,B617,B629)</f>
        <v>0</v>
      </c>
      <c r="C990" s="784">
        <f t="shared" ref="C990:F990" si="3174">SUM(C599,C617,C629)</f>
        <v>0</v>
      </c>
      <c r="D990" s="784">
        <f t="shared" si="3174"/>
        <v>0</v>
      </c>
      <c r="E990" s="784">
        <f t="shared" si="3174"/>
        <v>0</v>
      </c>
      <c r="F990" s="784">
        <f t="shared" si="3174"/>
        <v>0</v>
      </c>
      <c r="G990" s="784">
        <f t="shared" ref="G990:K990" si="3175">SUM(G599,G617,G629)</f>
        <v>0</v>
      </c>
      <c r="H990" s="784">
        <f t="shared" si="3175"/>
        <v>0</v>
      </c>
      <c r="I990" s="784">
        <f t="shared" si="3175"/>
        <v>0</v>
      </c>
      <c r="J990" s="784">
        <f t="shared" si="3175"/>
        <v>0</v>
      </c>
      <c r="K990" s="784">
        <f t="shared" si="3175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>SUM(T599,T617,T629)</f>
        <v>0</v>
      </c>
      <c r="U990" s="784">
        <f t="shared" ref="U990:AC990" si="3176">SUM(U599,U617,U629)</f>
        <v>0</v>
      </c>
      <c r="V990" s="784">
        <f t="shared" si="3176"/>
        <v>0</v>
      </c>
      <c r="W990" s="784">
        <f t="shared" si="3176"/>
        <v>210</v>
      </c>
      <c r="X990" s="784">
        <f t="shared" si="3176"/>
        <v>0</v>
      </c>
      <c r="Y990" s="784">
        <f t="shared" si="3176"/>
        <v>0</v>
      </c>
      <c r="Z990" s="784">
        <f t="shared" si="3176"/>
        <v>0</v>
      </c>
      <c r="AA990" s="784">
        <f t="shared" si="3176"/>
        <v>0</v>
      </c>
      <c r="AB990" s="784">
        <f t="shared" si="3176"/>
        <v>0</v>
      </c>
      <c r="AC990" s="784">
        <f t="shared" si="3176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>SUM(AL599,AL617,AL629)</f>
        <v>0</v>
      </c>
      <c r="AM990" s="784">
        <f t="shared" ref="AM990:AU990" si="3177">SUM(AM599,AM617,AM629)</f>
        <v>0</v>
      </c>
      <c r="AN990" s="784">
        <f t="shared" si="3177"/>
        <v>0</v>
      </c>
      <c r="AO990" s="784">
        <f t="shared" si="3177"/>
        <v>540</v>
      </c>
      <c r="AP990" s="784">
        <f t="shared" si="3177"/>
        <v>0</v>
      </c>
      <c r="AQ990" s="784">
        <f t="shared" si="3177"/>
        <v>0</v>
      </c>
      <c r="AR990" s="784">
        <f t="shared" si="3177"/>
        <v>0</v>
      </c>
      <c r="AS990" s="784">
        <f t="shared" si="3177"/>
        <v>0</v>
      </c>
      <c r="AT990" s="784">
        <f t="shared" si="3177"/>
        <v>480</v>
      </c>
      <c r="AU990" s="784">
        <f t="shared" si="3177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>SUM(BD599,BD617,BD629)</f>
        <v>0</v>
      </c>
      <c r="BE990" s="784">
        <f t="shared" ref="BE990:BM990" si="3178">SUM(BE599,BE617,BE629)</f>
        <v>0</v>
      </c>
      <c r="BF990" s="784">
        <f t="shared" si="3178"/>
        <v>0</v>
      </c>
      <c r="BG990" s="784">
        <f t="shared" si="3178"/>
        <v>420</v>
      </c>
      <c r="BH990" s="784">
        <f t="shared" si="3178"/>
        <v>0</v>
      </c>
      <c r="BI990" s="784">
        <f t="shared" si="3178"/>
        <v>0</v>
      </c>
      <c r="BJ990" s="784">
        <f t="shared" si="3178"/>
        <v>0</v>
      </c>
      <c r="BK990" s="784">
        <f t="shared" si="3178"/>
        <v>0</v>
      </c>
      <c r="BL990" s="784">
        <f t="shared" si="3178"/>
        <v>0</v>
      </c>
      <c r="BM990" s="784">
        <f t="shared" si="3178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SUM(BV599,BV617,BV629)</f>
        <v>0</v>
      </c>
      <c r="BW990" s="784">
        <f t="shared" ref="BW990:BY990" si="3179">SUM(BW599,BW617,BW629)</f>
        <v>0</v>
      </c>
      <c r="BX990" s="784">
        <f t="shared" si="3179"/>
        <v>0</v>
      </c>
      <c r="BY990" s="784">
        <f t="shared" si="3179"/>
        <v>0</v>
      </c>
      <c r="BZ990" s="586">
        <f t="shared" si="3157"/>
        <v>0</v>
      </c>
      <c r="CA990" s="586">
        <f t="shared" si="3158"/>
        <v>0</v>
      </c>
      <c r="CB990" s="586">
        <f t="shared" si="3159"/>
        <v>60</v>
      </c>
      <c r="CC990" s="586">
        <f t="shared" si="3160"/>
        <v>0</v>
      </c>
      <c r="CD990" s="1316">
        <f t="shared" si="3161"/>
        <v>0</v>
      </c>
      <c r="CE990" s="1317">
        <f t="shared" si="3161"/>
        <v>0</v>
      </c>
      <c r="CF990" s="1317">
        <f t="shared" si="3161"/>
        <v>0</v>
      </c>
      <c r="CG990" s="1317">
        <f t="shared" si="3161"/>
        <v>0</v>
      </c>
      <c r="CH990" s="1318">
        <f t="shared" si="3161"/>
        <v>0</v>
      </c>
      <c r="CI990" s="1318">
        <f t="shared" si="3161"/>
        <v>0</v>
      </c>
      <c r="CJ990" s="1317">
        <f t="shared" si="3161"/>
        <v>0</v>
      </c>
      <c r="CK990" s="1317">
        <f t="shared" si="3161"/>
        <v>0</v>
      </c>
      <c r="CL990" s="1317">
        <f t="shared" si="3161"/>
        <v>480</v>
      </c>
      <c r="CM990" s="1316">
        <f t="shared" si="3161"/>
        <v>540</v>
      </c>
      <c r="CN990" s="1331" t="str">
        <f t="shared" si="3162"/>
        <v/>
      </c>
      <c r="CO990" s="1332" t="str">
        <f t="shared" si="3162"/>
        <v/>
      </c>
      <c r="CP990" s="1332" t="str">
        <f t="shared" si="3162"/>
        <v/>
      </c>
      <c r="CQ990" s="1332">
        <f t="shared" si="3162"/>
        <v>0</v>
      </c>
      <c r="CR990" s="1332">
        <f t="shared" si="3162"/>
        <v>0</v>
      </c>
      <c r="CS990" s="1332">
        <f t="shared" si="3162"/>
        <v>0</v>
      </c>
      <c r="CT990" s="1333">
        <f t="shared" si="3162"/>
        <v>0</v>
      </c>
      <c r="CU990" s="1333">
        <f t="shared" si="3162"/>
        <v>0</v>
      </c>
      <c r="CV990" s="1333">
        <f t="shared" si="3162"/>
        <v>0</v>
      </c>
      <c r="CW990" s="1332">
        <f t="shared" si="3162"/>
        <v>0</v>
      </c>
      <c r="CX990" s="1332">
        <f t="shared" si="3162"/>
        <v>0</v>
      </c>
      <c r="CY990" s="1332">
        <f t="shared" si="3162"/>
        <v>0</v>
      </c>
      <c r="CZ990" s="1332">
        <f t="shared" si="3162"/>
        <v>420</v>
      </c>
      <c r="DA990" s="1332" t="str">
        <f t="shared" si="3162"/>
        <v/>
      </c>
      <c r="DB990" s="1331" t="str">
        <f t="shared" si="3162"/>
        <v/>
      </c>
      <c r="DC990" s="1382" t="str">
        <f t="shared" si="3163"/>
        <v/>
      </c>
      <c r="DD990" s="641">
        <f t="shared" si="3164"/>
        <v>10</v>
      </c>
      <c r="DE990" s="95">
        <f t="shared" si="3165"/>
        <v>10</v>
      </c>
      <c r="DF990" s="95">
        <f t="shared" si="3166"/>
        <v>10</v>
      </c>
      <c r="DG990" s="95">
        <f t="shared" si="3167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703</v>
      </c>
      <c r="B991" s="784">
        <f t="shared" ref="B991:K991" si="3180">SUM(B642)</f>
        <v>432</v>
      </c>
      <c r="C991" s="784">
        <f t="shared" si="3180"/>
        <v>432</v>
      </c>
      <c r="D991" s="784">
        <f t="shared" si="3180"/>
        <v>429.59999999999997</v>
      </c>
      <c r="E991" s="784">
        <f t="shared" si="3180"/>
        <v>420</v>
      </c>
      <c r="F991" s="784">
        <f t="shared" si="3180"/>
        <v>456</v>
      </c>
      <c r="G991" s="784">
        <f t="shared" si="3180"/>
        <v>432</v>
      </c>
      <c r="H991" s="784">
        <f t="shared" si="3180"/>
        <v>444</v>
      </c>
      <c r="I991" s="784">
        <f t="shared" si="3180"/>
        <v>390</v>
      </c>
      <c r="J991" s="784">
        <f t="shared" si="3180"/>
        <v>420</v>
      </c>
      <c r="K991" s="784">
        <f t="shared" si="3180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81">SUM(T642)</f>
        <v>1750</v>
      </c>
      <c r="U991" s="784">
        <f t="shared" si="3181"/>
        <v>2340</v>
      </c>
      <c r="V991" s="784">
        <f t="shared" si="3181"/>
        <v>2250</v>
      </c>
      <c r="W991" s="784">
        <f t="shared" si="3181"/>
        <v>3900</v>
      </c>
      <c r="X991" s="784">
        <f t="shared" si="3181"/>
        <v>2160</v>
      </c>
      <c r="Y991" s="784">
        <f t="shared" si="3181"/>
        <v>2160</v>
      </c>
      <c r="Z991" s="784">
        <f t="shared" si="3181"/>
        <v>4560</v>
      </c>
      <c r="AA991" s="784">
        <f t="shared" si="3181"/>
        <v>1642.5</v>
      </c>
      <c r="AB991" s="784">
        <f t="shared" si="3181"/>
        <v>1755</v>
      </c>
      <c r="AC991" s="784">
        <f t="shared" si="3181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82">SUM(AL642)</f>
        <v>1050</v>
      </c>
      <c r="AM991" s="784">
        <f t="shared" si="3182"/>
        <v>2100</v>
      </c>
      <c r="AN991" s="784">
        <f t="shared" si="3182"/>
        <v>2160</v>
      </c>
      <c r="AO991" s="784">
        <f t="shared" si="3182"/>
        <v>2340</v>
      </c>
      <c r="AP991" s="784">
        <f t="shared" si="3182"/>
        <v>4080</v>
      </c>
      <c r="AQ991" s="784">
        <f t="shared" si="3182"/>
        <v>1080</v>
      </c>
      <c r="AR991" s="784">
        <f t="shared" si="3182"/>
        <v>2220</v>
      </c>
      <c r="AS991" s="784">
        <f t="shared" si="3182"/>
        <v>1665</v>
      </c>
      <c r="AT991" s="784">
        <f t="shared" si="3182"/>
        <v>1140</v>
      </c>
      <c r="AU991" s="784">
        <f t="shared" si="3182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83">SUM(BD642)</f>
        <v>1200</v>
      </c>
      <c r="BE991" s="784">
        <f t="shared" si="3183"/>
        <v>1860</v>
      </c>
      <c r="BF991" s="784">
        <f t="shared" si="3183"/>
        <v>1500</v>
      </c>
      <c r="BG991" s="784">
        <f t="shared" si="3183"/>
        <v>1980</v>
      </c>
      <c r="BH991" s="784">
        <f t="shared" si="3183"/>
        <v>1150</v>
      </c>
      <c r="BI991" s="784">
        <f t="shared" si="3183"/>
        <v>1100</v>
      </c>
      <c r="BJ991" s="784">
        <f t="shared" si="3183"/>
        <v>1100</v>
      </c>
      <c r="BK991" s="784">
        <f t="shared" si="3183"/>
        <v>1379.7</v>
      </c>
      <c r="BL991" s="784">
        <f t="shared" si="3183"/>
        <v>1500</v>
      </c>
      <c r="BM991" s="784">
        <f t="shared" si="3183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57"/>
        <v>427.20000000000005</v>
      </c>
      <c r="CA991" s="586">
        <f t="shared" si="3158"/>
        <v>2244.6875</v>
      </c>
      <c r="CB991" s="586">
        <f t="shared" si="3159"/>
        <v>2044.375</v>
      </c>
      <c r="CC991" s="586">
        <f t="shared" si="3160"/>
        <v>1383.7125000000001</v>
      </c>
      <c r="CD991" s="1316">
        <f t="shared" si="3161"/>
        <v>1050</v>
      </c>
      <c r="CE991" s="1317">
        <f t="shared" si="3161"/>
        <v>1080</v>
      </c>
      <c r="CF991" s="1317">
        <f t="shared" si="3161"/>
        <v>1140</v>
      </c>
      <c r="CG991" s="1317">
        <f t="shared" si="3161"/>
        <v>1665</v>
      </c>
      <c r="CH991" s="1318">
        <f t="shared" si="3161"/>
        <v>2100</v>
      </c>
      <c r="CI991" s="1318">
        <f t="shared" si="3161"/>
        <v>2160</v>
      </c>
      <c r="CJ991" s="1317">
        <f t="shared" si="3161"/>
        <v>2220</v>
      </c>
      <c r="CK991" s="1317">
        <f t="shared" si="3161"/>
        <v>2340</v>
      </c>
      <c r="CL991" s="1317">
        <f t="shared" si="3161"/>
        <v>3650</v>
      </c>
      <c r="CM991" s="1316">
        <f t="shared" si="3161"/>
        <v>4080</v>
      </c>
      <c r="CN991" s="1331" t="str">
        <f t="shared" si="3162"/>
        <v/>
      </c>
      <c r="CO991" s="1332" t="str">
        <f t="shared" si="3162"/>
        <v/>
      </c>
      <c r="CP991" s="1332" t="str">
        <f t="shared" si="3162"/>
        <v/>
      </c>
      <c r="CQ991" s="1332">
        <f t="shared" si="3162"/>
        <v>1100</v>
      </c>
      <c r="CR991" s="1332">
        <f t="shared" si="3162"/>
        <v>1100</v>
      </c>
      <c r="CS991" s="1332">
        <f t="shared" si="3162"/>
        <v>1150</v>
      </c>
      <c r="CT991" s="1333">
        <f t="shared" si="3162"/>
        <v>1200</v>
      </c>
      <c r="CU991" s="1333">
        <f t="shared" si="3162"/>
        <v>1379.7</v>
      </c>
      <c r="CV991" s="1333">
        <f t="shared" si="3162"/>
        <v>1380</v>
      </c>
      <c r="CW991" s="1332">
        <f t="shared" si="3162"/>
        <v>1500</v>
      </c>
      <c r="CX991" s="1332">
        <f t="shared" si="3162"/>
        <v>1500</v>
      </c>
      <c r="CY991" s="1332">
        <f t="shared" si="3162"/>
        <v>1860</v>
      </c>
      <c r="CZ991" s="1332">
        <f t="shared" si="3162"/>
        <v>1980</v>
      </c>
      <c r="DA991" s="1332" t="str">
        <f t="shared" si="3162"/>
        <v/>
      </c>
      <c r="DB991" s="1331" t="str">
        <f t="shared" si="3162"/>
        <v/>
      </c>
      <c r="DC991" s="1382" t="str">
        <f t="shared" si="3163"/>
        <v/>
      </c>
      <c r="DD991" s="641">
        <f t="shared" si="3164"/>
        <v>10</v>
      </c>
      <c r="DE991" s="95">
        <f t="shared" si="3165"/>
        <v>10</v>
      </c>
      <c r="DF991" s="95">
        <f t="shared" si="3166"/>
        <v>10</v>
      </c>
      <c r="DG991" s="95">
        <f t="shared" si="3167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84">SUM(C774,C775,C776,C782:C783,C806)</f>
        <v>1646</v>
      </c>
      <c r="D992" s="784">
        <f t="shared" si="3184"/>
        <v>950</v>
      </c>
      <c r="E992" s="784">
        <f t="shared" si="3184"/>
        <v>2856</v>
      </c>
      <c r="F992" s="784">
        <f t="shared" si="3184"/>
        <v>650</v>
      </c>
      <c r="G992" s="784">
        <f t="shared" si="3184"/>
        <v>720</v>
      </c>
      <c r="H992" s="784">
        <f t="shared" si="3184"/>
        <v>1514</v>
      </c>
      <c r="I992" s="784">
        <f t="shared" si="3184"/>
        <v>454</v>
      </c>
      <c r="J992" s="784">
        <f t="shared" si="3184"/>
        <v>1190</v>
      </c>
      <c r="K992" s="784">
        <f t="shared" si="3184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85">SUM(U774,U775,U776,U782:U783,U806)</f>
        <v>348</v>
      </c>
      <c r="V992" s="784">
        <f t="shared" si="3185"/>
        <v>278</v>
      </c>
      <c r="W992" s="784">
        <f t="shared" si="3185"/>
        <v>970</v>
      </c>
      <c r="X992" s="784">
        <f t="shared" si="3185"/>
        <v>1490</v>
      </c>
      <c r="Y992" s="784">
        <f t="shared" si="3185"/>
        <v>458</v>
      </c>
      <c r="Z992" s="784">
        <f t="shared" si="3185"/>
        <v>1248</v>
      </c>
      <c r="AA992" s="784">
        <f t="shared" si="3185"/>
        <v>48</v>
      </c>
      <c r="AB992" s="784">
        <f t="shared" si="3185"/>
        <v>1070</v>
      </c>
      <c r="AC992" s="784">
        <f t="shared" si="3185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86">SUM(AM774,AM775,AM776,AM782:AM783,AM806)</f>
        <v>2648</v>
      </c>
      <c r="AN992" s="784">
        <f t="shared" si="3186"/>
        <v>2690</v>
      </c>
      <c r="AO992" s="784">
        <f t="shared" si="3186"/>
        <v>3940</v>
      </c>
      <c r="AP992" s="784">
        <f t="shared" si="3186"/>
        <v>2302</v>
      </c>
      <c r="AQ992" s="784">
        <f t="shared" si="3186"/>
        <v>2640</v>
      </c>
      <c r="AR992" s="784">
        <f t="shared" si="3186"/>
        <v>2140</v>
      </c>
      <c r="AS992" s="784">
        <f t="shared" si="3186"/>
        <v>864</v>
      </c>
      <c r="AT992" s="784">
        <f t="shared" si="3186"/>
        <v>720</v>
      </c>
      <c r="AU992" s="784">
        <f t="shared" si="3186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87">SUM(BE774,BE775,BE776,BE782:BE783,BE806)</f>
        <v>1850</v>
      </c>
      <c r="BF992" s="784">
        <f t="shared" si="3187"/>
        <v>434</v>
      </c>
      <c r="BG992" s="784">
        <f t="shared" si="3187"/>
        <v>3422</v>
      </c>
      <c r="BH992" s="784">
        <f t="shared" si="3187"/>
        <v>710</v>
      </c>
      <c r="BI992" s="784">
        <f t="shared" si="3187"/>
        <v>530</v>
      </c>
      <c r="BJ992" s="784">
        <f t="shared" si="3187"/>
        <v>576</v>
      </c>
      <c r="BK992" s="784">
        <f t="shared" si="3187"/>
        <v>958</v>
      </c>
      <c r="BL992" s="784">
        <f t="shared" si="3187"/>
        <v>1320</v>
      </c>
      <c r="BM992" s="784">
        <f t="shared" si="3187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88">SUM(BW774,BW775,BW776,BW782:BW783,BW806)</f>
        <v>830</v>
      </c>
      <c r="BX992" s="784">
        <f t="shared" si="3188"/>
        <v>1850</v>
      </c>
      <c r="BY992" s="784">
        <f t="shared" si="3188"/>
        <v>2510</v>
      </c>
      <c r="BZ992" s="586">
        <f t="shared" si="3157"/>
        <v>1188.125</v>
      </c>
      <c r="CA992" s="586">
        <f t="shared" si="3158"/>
        <v>829</v>
      </c>
      <c r="CB992" s="586">
        <f t="shared" si="3159"/>
        <v>2115.25</v>
      </c>
      <c r="CC992" s="586">
        <f t="shared" si="3160"/>
        <v>1260</v>
      </c>
      <c r="CD992" s="1316">
        <f t="shared" si="3161"/>
        <v>720</v>
      </c>
      <c r="CE992" s="1317">
        <f t="shared" si="3161"/>
        <v>780</v>
      </c>
      <c r="CF992" s="1317">
        <f t="shared" si="3161"/>
        <v>864</v>
      </c>
      <c r="CG992" s="1317">
        <f t="shared" si="3161"/>
        <v>2140</v>
      </c>
      <c r="CH992" s="1318">
        <f t="shared" si="3161"/>
        <v>2302</v>
      </c>
      <c r="CI992" s="1318">
        <f t="shared" si="3161"/>
        <v>2640</v>
      </c>
      <c r="CJ992" s="1317">
        <f t="shared" si="3161"/>
        <v>2648</v>
      </c>
      <c r="CK992" s="1317">
        <f t="shared" si="3161"/>
        <v>2690</v>
      </c>
      <c r="CL992" s="1317">
        <f t="shared" si="3161"/>
        <v>2858</v>
      </c>
      <c r="CM992" s="1316">
        <f t="shared" si="3161"/>
        <v>3940</v>
      </c>
      <c r="CN992" s="1331" t="str">
        <f t="shared" si="3162"/>
        <v/>
      </c>
      <c r="CO992" s="1332" t="str">
        <f t="shared" si="3162"/>
        <v/>
      </c>
      <c r="CP992" s="1332" t="str">
        <f t="shared" si="3162"/>
        <v/>
      </c>
      <c r="CQ992" s="1332">
        <f t="shared" si="3162"/>
        <v>434</v>
      </c>
      <c r="CR992" s="1332">
        <f t="shared" si="3162"/>
        <v>530</v>
      </c>
      <c r="CS992" s="1332">
        <f t="shared" si="3162"/>
        <v>576</v>
      </c>
      <c r="CT992" s="1333">
        <f t="shared" si="3162"/>
        <v>710</v>
      </c>
      <c r="CU992" s="1333">
        <f t="shared" si="3162"/>
        <v>958</v>
      </c>
      <c r="CV992" s="1333">
        <f t="shared" si="3162"/>
        <v>1320</v>
      </c>
      <c r="CW992" s="1332">
        <f t="shared" si="3162"/>
        <v>1706</v>
      </c>
      <c r="CX992" s="1332">
        <f t="shared" si="3162"/>
        <v>1850</v>
      </c>
      <c r="CY992" s="1332">
        <f t="shared" si="3162"/>
        <v>2430</v>
      </c>
      <c r="CZ992" s="1332">
        <f t="shared" si="3162"/>
        <v>3422</v>
      </c>
      <c r="DA992" s="1332" t="str">
        <f t="shared" si="3162"/>
        <v/>
      </c>
      <c r="DB992" s="1331" t="str">
        <f t="shared" si="3162"/>
        <v/>
      </c>
      <c r="DC992" s="1382" t="str">
        <f t="shared" si="3163"/>
        <v/>
      </c>
      <c r="DD992" s="641">
        <f t="shared" si="3164"/>
        <v>10</v>
      </c>
      <c r="DE992" s="95">
        <f t="shared" si="3165"/>
        <v>10</v>
      </c>
      <c r="DF992" s="95">
        <f t="shared" si="3166"/>
        <v>10</v>
      </c>
      <c r="DG992" s="95">
        <f t="shared" si="3167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89">SUM(B781,B790)</f>
        <v>0</v>
      </c>
      <c r="C993" s="784">
        <f t="shared" si="3189"/>
        <v>0</v>
      </c>
      <c r="D993" s="784">
        <f t="shared" si="3189"/>
        <v>0</v>
      </c>
      <c r="E993" s="784">
        <f t="shared" si="3189"/>
        <v>0</v>
      </c>
      <c r="F993" s="784">
        <f t="shared" si="3189"/>
        <v>0</v>
      </c>
      <c r="G993" s="784">
        <f t="shared" si="3189"/>
        <v>0</v>
      </c>
      <c r="H993" s="784">
        <f t="shared" si="3189"/>
        <v>0</v>
      </c>
      <c r="I993" s="784">
        <f t="shared" si="3189"/>
        <v>0</v>
      </c>
      <c r="J993" s="784">
        <f t="shared" si="3189"/>
        <v>0</v>
      </c>
      <c r="K993" s="784">
        <f t="shared" si="3189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90">SUM(T781,T790)</f>
        <v>0</v>
      </c>
      <c r="U993" s="784">
        <f t="shared" si="3190"/>
        <v>0</v>
      </c>
      <c r="V993" s="784">
        <f t="shared" si="3190"/>
        <v>1200</v>
      </c>
      <c r="W993" s="784">
        <f t="shared" si="3190"/>
        <v>0</v>
      </c>
      <c r="X993" s="784">
        <f t="shared" si="3190"/>
        <v>0</v>
      </c>
      <c r="Y993" s="784">
        <f t="shared" si="3190"/>
        <v>0</v>
      </c>
      <c r="Z993" s="784">
        <f t="shared" si="3190"/>
        <v>0</v>
      </c>
      <c r="AA993" s="784">
        <f t="shared" si="3190"/>
        <v>0</v>
      </c>
      <c r="AB993" s="784">
        <f t="shared" si="3190"/>
        <v>0</v>
      </c>
      <c r="AC993" s="784">
        <f t="shared" si="3190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91">SUM(AL781,AL790)</f>
        <v>0</v>
      </c>
      <c r="AM993" s="784">
        <f t="shared" si="3191"/>
        <v>0</v>
      </c>
      <c r="AN993" s="784">
        <f t="shared" si="3191"/>
        <v>300</v>
      </c>
      <c r="AO993" s="784">
        <f t="shared" si="3191"/>
        <v>3600</v>
      </c>
      <c r="AP993" s="784">
        <f t="shared" si="3191"/>
        <v>0</v>
      </c>
      <c r="AQ993" s="784">
        <f t="shared" si="3191"/>
        <v>0</v>
      </c>
      <c r="AR993" s="784">
        <f t="shared" si="3191"/>
        <v>0</v>
      </c>
      <c r="AS993" s="784">
        <f t="shared" si="3191"/>
        <v>0</v>
      </c>
      <c r="AT993" s="784">
        <f t="shared" si="3191"/>
        <v>0</v>
      </c>
      <c r="AU993" s="784">
        <f t="shared" si="3191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92">SUM(BD781,BD790)</f>
        <v>0</v>
      </c>
      <c r="BE993" s="784">
        <f t="shared" si="3192"/>
        <v>0</v>
      </c>
      <c r="BF993" s="784">
        <f t="shared" si="3192"/>
        <v>1200</v>
      </c>
      <c r="BG993" s="784">
        <f t="shared" si="3192"/>
        <v>0</v>
      </c>
      <c r="BH993" s="784">
        <f t="shared" si="3192"/>
        <v>0</v>
      </c>
      <c r="BI993" s="784">
        <f t="shared" si="3192"/>
        <v>0</v>
      </c>
      <c r="BJ993" s="784">
        <f t="shared" si="3192"/>
        <v>0</v>
      </c>
      <c r="BK993" s="784">
        <f t="shared" si="3192"/>
        <v>0</v>
      </c>
      <c r="BL993" s="784">
        <f t="shared" si="3192"/>
        <v>0</v>
      </c>
      <c r="BM993" s="784">
        <f t="shared" si="3192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57"/>
        <v>0</v>
      </c>
      <c r="CA993" s="586">
        <f t="shared" si="3158"/>
        <v>0</v>
      </c>
      <c r="CB993" s="586">
        <f t="shared" si="3159"/>
        <v>37.5</v>
      </c>
      <c r="CC993" s="586">
        <f t="shared" si="3160"/>
        <v>0</v>
      </c>
      <c r="CD993" s="1316">
        <f t="shared" si="3161"/>
        <v>0</v>
      </c>
      <c r="CE993" s="1317">
        <f t="shared" si="3161"/>
        <v>0</v>
      </c>
      <c r="CF993" s="1317">
        <f t="shared" si="3161"/>
        <v>0</v>
      </c>
      <c r="CG993" s="1317">
        <f t="shared" si="3161"/>
        <v>0</v>
      </c>
      <c r="CH993" s="1318">
        <f t="shared" si="3161"/>
        <v>0</v>
      </c>
      <c r="CI993" s="1318">
        <f t="shared" si="3161"/>
        <v>0</v>
      </c>
      <c r="CJ993" s="1317">
        <f t="shared" si="3161"/>
        <v>0</v>
      </c>
      <c r="CK993" s="1317">
        <f t="shared" si="3161"/>
        <v>0</v>
      </c>
      <c r="CL993" s="1317">
        <f t="shared" si="3161"/>
        <v>300</v>
      </c>
      <c r="CM993" s="1316">
        <f t="shared" si="3161"/>
        <v>3600</v>
      </c>
      <c r="CN993" s="1331" t="str">
        <f t="shared" si="3162"/>
        <v/>
      </c>
      <c r="CO993" s="1332" t="str">
        <f t="shared" si="3162"/>
        <v/>
      </c>
      <c r="CP993" s="1332" t="str">
        <f t="shared" si="3162"/>
        <v/>
      </c>
      <c r="CQ993" s="1332">
        <f t="shared" si="3162"/>
        <v>0</v>
      </c>
      <c r="CR993" s="1332">
        <f t="shared" si="3162"/>
        <v>0</v>
      </c>
      <c r="CS993" s="1332">
        <f t="shared" si="3162"/>
        <v>0</v>
      </c>
      <c r="CT993" s="1333">
        <f t="shared" si="3162"/>
        <v>0</v>
      </c>
      <c r="CU993" s="1333">
        <f t="shared" si="3162"/>
        <v>0</v>
      </c>
      <c r="CV993" s="1333">
        <f t="shared" si="3162"/>
        <v>0</v>
      </c>
      <c r="CW993" s="1332">
        <f t="shared" si="3162"/>
        <v>0</v>
      </c>
      <c r="CX993" s="1332">
        <f t="shared" si="3162"/>
        <v>0</v>
      </c>
      <c r="CY993" s="1332">
        <f t="shared" si="3162"/>
        <v>0</v>
      </c>
      <c r="CZ993" s="1332">
        <f t="shared" si="3162"/>
        <v>1200</v>
      </c>
      <c r="DA993" s="1332" t="str">
        <f t="shared" si="3162"/>
        <v/>
      </c>
      <c r="DB993" s="1331" t="str">
        <f t="shared" si="3162"/>
        <v/>
      </c>
      <c r="DC993" s="1382" t="str">
        <f t="shared" si="3163"/>
        <v/>
      </c>
      <c r="DD993" s="641">
        <f t="shared" si="3164"/>
        <v>10</v>
      </c>
      <c r="DE993" s="95">
        <f t="shared" si="3165"/>
        <v>10</v>
      </c>
      <c r="DF993" s="95">
        <f t="shared" si="3166"/>
        <v>10</v>
      </c>
      <c r="DG993" s="95">
        <f t="shared" si="3167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93">SUM(B784:B785,B791:B798)</f>
        <v>0</v>
      </c>
      <c r="C994" s="784">
        <f t="shared" si="3193"/>
        <v>350</v>
      </c>
      <c r="D994" s="784">
        <f t="shared" si="3193"/>
        <v>700</v>
      </c>
      <c r="E994" s="784">
        <f t="shared" si="3193"/>
        <v>1800</v>
      </c>
      <c r="F994" s="784">
        <f t="shared" si="3193"/>
        <v>1750</v>
      </c>
      <c r="G994" s="784">
        <f t="shared" si="3193"/>
        <v>1480</v>
      </c>
      <c r="H994" s="784">
        <f t="shared" si="3193"/>
        <v>1350</v>
      </c>
      <c r="I994" s="784">
        <f t="shared" si="3193"/>
        <v>1250</v>
      </c>
      <c r="J994" s="784">
        <f t="shared" si="3193"/>
        <v>1600</v>
      </c>
      <c r="K994" s="784">
        <f t="shared" si="3193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94">SUM(T784:T785,T791:T798)</f>
        <v>1355</v>
      </c>
      <c r="U994" s="784">
        <f t="shared" si="3194"/>
        <v>270</v>
      </c>
      <c r="V994" s="784">
        <f t="shared" si="3194"/>
        <v>1640</v>
      </c>
      <c r="W994" s="784">
        <f t="shared" si="3194"/>
        <v>1900</v>
      </c>
      <c r="X994" s="784">
        <f t="shared" si="3194"/>
        <v>2650</v>
      </c>
      <c r="Y994" s="784">
        <f t="shared" si="3194"/>
        <v>1680</v>
      </c>
      <c r="Z994" s="784">
        <f t="shared" si="3194"/>
        <v>1250</v>
      </c>
      <c r="AA994" s="784">
        <f t="shared" si="3194"/>
        <v>1550</v>
      </c>
      <c r="AB994" s="784">
        <f t="shared" si="3194"/>
        <v>1500</v>
      </c>
      <c r="AC994" s="784">
        <f t="shared" si="3194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95">SUM(AL784:AL785,AL791:AL798)</f>
        <v>4640</v>
      </c>
      <c r="AM994" s="784">
        <f t="shared" si="3195"/>
        <v>2900</v>
      </c>
      <c r="AN994" s="784">
        <f t="shared" si="3195"/>
        <v>2300</v>
      </c>
      <c r="AO994" s="784">
        <f t="shared" si="3195"/>
        <v>0</v>
      </c>
      <c r="AP994" s="784">
        <f t="shared" si="3195"/>
        <v>1810</v>
      </c>
      <c r="AQ994" s="784">
        <f t="shared" si="3195"/>
        <v>1330</v>
      </c>
      <c r="AR994" s="784">
        <f t="shared" si="3195"/>
        <v>2330</v>
      </c>
      <c r="AS994" s="784">
        <f t="shared" si="3195"/>
        <v>750</v>
      </c>
      <c r="AT994" s="784">
        <f t="shared" si="3195"/>
        <v>1275</v>
      </c>
      <c r="AU994" s="784">
        <f t="shared" si="3195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96">SUM(BD784:BD785,BD791:BD798)</f>
        <v>8800</v>
      </c>
      <c r="BE994" s="784">
        <f t="shared" si="3196"/>
        <v>1440</v>
      </c>
      <c r="BF994" s="784">
        <f t="shared" si="3196"/>
        <v>13480</v>
      </c>
      <c r="BG994" s="784">
        <f t="shared" si="3196"/>
        <v>3950</v>
      </c>
      <c r="BH994" s="784">
        <f t="shared" si="3196"/>
        <v>3525</v>
      </c>
      <c r="BI994" s="784">
        <f t="shared" si="3196"/>
        <v>5940</v>
      </c>
      <c r="BJ994" s="784">
        <f t="shared" si="3196"/>
        <v>5100</v>
      </c>
      <c r="BK994" s="784">
        <f t="shared" si="3196"/>
        <v>3060</v>
      </c>
      <c r="BL994" s="784">
        <f t="shared" si="3196"/>
        <v>3200</v>
      </c>
      <c r="BM994" s="784">
        <f t="shared" si="3196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57"/>
        <v>1276.25</v>
      </c>
      <c r="CA994" s="586">
        <f t="shared" si="3158"/>
        <v>1664.375</v>
      </c>
      <c r="CB994" s="586">
        <f t="shared" si="3159"/>
        <v>1671.875</v>
      </c>
      <c r="CC994" s="586">
        <f t="shared" si="3160"/>
        <v>5091.875</v>
      </c>
      <c r="CD994" s="1316">
        <f t="shared" si="3161"/>
        <v>0</v>
      </c>
      <c r="CE994" s="1317">
        <f t="shared" si="3161"/>
        <v>680</v>
      </c>
      <c r="CF994" s="1317">
        <f t="shared" si="3161"/>
        <v>750</v>
      </c>
      <c r="CG994" s="1317">
        <f t="shared" si="3161"/>
        <v>1275</v>
      </c>
      <c r="CH994" s="1318">
        <f t="shared" si="3161"/>
        <v>1330</v>
      </c>
      <c r="CI994" s="1318">
        <f t="shared" si="3161"/>
        <v>1810</v>
      </c>
      <c r="CJ994" s="1317">
        <f t="shared" si="3161"/>
        <v>2300</v>
      </c>
      <c r="CK994" s="1317">
        <f t="shared" si="3161"/>
        <v>2330</v>
      </c>
      <c r="CL994" s="1317">
        <f t="shared" si="3161"/>
        <v>2900</v>
      </c>
      <c r="CM994" s="1316">
        <f t="shared" si="3161"/>
        <v>4640</v>
      </c>
      <c r="CN994" s="1331" t="str">
        <f t="shared" si="3162"/>
        <v/>
      </c>
      <c r="CO994" s="1332" t="str">
        <f t="shared" si="3162"/>
        <v/>
      </c>
      <c r="CP994" s="1332" t="str">
        <f t="shared" si="3162"/>
        <v/>
      </c>
      <c r="CQ994" s="1332">
        <f t="shared" si="3162"/>
        <v>1440</v>
      </c>
      <c r="CR994" s="1332">
        <f t="shared" si="3162"/>
        <v>3060</v>
      </c>
      <c r="CS994" s="1332">
        <f t="shared" si="3162"/>
        <v>3200</v>
      </c>
      <c r="CT994" s="1333">
        <f t="shared" si="3162"/>
        <v>3525</v>
      </c>
      <c r="CU994" s="1333">
        <f t="shared" si="3162"/>
        <v>3950</v>
      </c>
      <c r="CV994" s="1333">
        <f t="shared" si="3162"/>
        <v>5100</v>
      </c>
      <c r="CW994" s="1332">
        <f t="shared" si="3162"/>
        <v>5940</v>
      </c>
      <c r="CX994" s="1332">
        <f t="shared" si="3162"/>
        <v>7160</v>
      </c>
      <c r="CY994" s="1332">
        <f t="shared" si="3162"/>
        <v>8800</v>
      </c>
      <c r="CZ994" s="1332">
        <f t="shared" si="3162"/>
        <v>13480</v>
      </c>
      <c r="DA994" s="1332" t="str">
        <f t="shared" si="3162"/>
        <v/>
      </c>
      <c r="DB994" s="1331" t="str">
        <f t="shared" si="3162"/>
        <v/>
      </c>
      <c r="DC994" s="1382" t="str">
        <f t="shared" si="3163"/>
        <v/>
      </c>
      <c r="DD994" s="641">
        <f t="shared" si="3164"/>
        <v>10</v>
      </c>
      <c r="DE994" s="95">
        <f t="shared" si="3165"/>
        <v>10</v>
      </c>
      <c r="DF994" s="95">
        <f t="shared" si="3166"/>
        <v>10</v>
      </c>
      <c r="DG994" s="95">
        <f t="shared" si="3167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97">SUM(B799,B800)</f>
        <v>3000</v>
      </c>
      <c r="C995" s="784">
        <f t="shared" si="3197"/>
        <v>4000</v>
      </c>
      <c r="D995" s="784">
        <f t="shared" si="3197"/>
        <v>8500</v>
      </c>
      <c r="E995" s="784">
        <f t="shared" si="3197"/>
        <v>3450</v>
      </c>
      <c r="F995" s="784">
        <f t="shared" si="3197"/>
        <v>1400</v>
      </c>
      <c r="G995" s="784">
        <f t="shared" si="3197"/>
        <v>2750</v>
      </c>
      <c r="H995" s="784">
        <f t="shared" si="3197"/>
        <v>2850</v>
      </c>
      <c r="I995" s="784">
        <f t="shared" si="3197"/>
        <v>1400</v>
      </c>
      <c r="J995" s="784">
        <f t="shared" si="3197"/>
        <v>1920</v>
      </c>
      <c r="K995" s="784">
        <f t="shared" si="3197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98">SUM(T799,T800)</f>
        <v>1750</v>
      </c>
      <c r="U995" s="784">
        <f t="shared" si="3198"/>
        <v>1450</v>
      </c>
      <c r="V995" s="784">
        <f t="shared" si="3198"/>
        <v>1750</v>
      </c>
      <c r="W995" s="784">
        <f t="shared" si="3198"/>
        <v>1275</v>
      </c>
      <c r="X995" s="784">
        <f t="shared" si="3198"/>
        <v>1850</v>
      </c>
      <c r="Y995" s="784">
        <f t="shared" si="3198"/>
        <v>1800</v>
      </c>
      <c r="Z995" s="784">
        <f t="shared" si="3198"/>
        <v>1720</v>
      </c>
      <c r="AA995" s="784">
        <f t="shared" si="3198"/>
        <v>1800</v>
      </c>
      <c r="AB995" s="784">
        <f t="shared" si="3198"/>
        <v>1715</v>
      </c>
      <c r="AC995" s="784">
        <f t="shared" si="3198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99">SUM(AL799,AL800)</f>
        <v>1900</v>
      </c>
      <c r="AM995" s="784">
        <f t="shared" si="3199"/>
        <v>2580</v>
      </c>
      <c r="AN995" s="784">
        <f t="shared" si="3199"/>
        <v>3150</v>
      </c>
      <c r="AO995" s="784">
        <f t="shared" si="3199"/>
        <v>3900</v>
      </c>
      <c r="AP995" s="784">
        <f t="shared" si="3199"/>
        <v>2950</v>
      </c>
      <c r="AQ995" s="784">
        <f t="shared" si="3199"/>
        <v>5360</v>
      </c>
      <c r="AR995" s="784">
        <f t="shared" si="3199"/>
        <v>1900</v>
      </c>
      <c r="AS995" s="784">
        <f t="shared" si="3199"/>
        <v>3250</v>
      </c>
      <c r="AT995" s="784">
        <f t="shared" si="3199"/>
        <v>700</v>
      </c>
      <c r="AU995" s="784">
        <f t="shared" si="3199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200">SUM(BD799,BD800)</f>
        <v>10000</v>
      </c>
      <c r="BE995" s="784">
        <f t="shared" si="3200"/>
        <v>5000</v>
      </c>
      <c r="BF995" s="784">
        <f t="shared" si="3200"/>
        <v>7980</v>
      </c>
      <c r="BG995" s="784">
        <f t="shared" si="3200"/>
        <v>4000</v>
      </c>
      <c r="BH995" s="784">
        <f t="shared" si="3200"/>
        <v>5000</v>
      </c>
      <c r="BI995" s="784">
        <f t="shared" si="3200"/>
        <v>3650</v>
      </c>
      <c r="BJ995" s="784">
        <f t="shared" si="3200"/>
        <v>7500</v>
      </c>
      <c r="BK995" s="784">
        <f t="shared" si="3200"/>
        <v>4800</v>
      </c>
      <c r="BL995" s="784">
        <f t="shared" si="3200"/>
        <v>11000</v>
      </c>
      <c r="BM995" s="784">
        <f t="shared" si="3200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57"/>
        <v>2921.25</v>
      </c>
      <c r="CA995" s="586">
        <f t="shared" si="3158"/>
        <v>1729.375</v>
      </c>
      <c r="CB995" s="586">
        <f t="shared" si="3159"/>
        <v>2635</v>
      </c>
      <c r="CC995" s="586">
        <f t="shared" si="3160"/>
        <v>6072.5</v>
      </c>
      <c r="CD995" s="1316">
        <f t="shared" si="3161"/>
        <v>700</v>
      </c>
      <c r="CE995" s="1317">
        <f t="shared" si="3161"/>
        <v>1450</v>
      </c>
      <c r="CF995" s="1317">
        <f t="shared" si="3161"/>
        <v>1900</v>
      </c>
      <c r="CG995" s="1317">
        <f t="shared" si="3161"/>
        <v>1900</v>
      </c>
      <c r="CH995" s="1318">
        <f t="shared" si="3161"/>
        <v>2580</v>
      </c>
      <c r="CI995" s="1318">
        <f t="shared" si="3161"/>
        <v>2950</v>
      </c>
      <c r="CJ995" s="1317">
        <f t="shared" si="3161"/>
        <v>3150</v>
      </c>
      <c r="CK995" s="1317">
        <f t="shared" si="3161"/>
        <v>3250</v>
      </c>
      <c r="CL995" s="1317">
        <f t="shared" si="3161"/>
        <v>3900</v>
      </c>
      <c r="CM995" s="1316">
        <f t="shared" si="3161"/>
        <v>5360</v>
      </c>
      <c r="CN995" s="1331" t="str">
        <f t="shared" si="3162"/>
        <v/>
      </c>
      <c r="CO995" s="1332" t="str">
        <f t="shared" si="3162"/>
        <v/>
      </c>
      <c r="CP995" s="1332" t="str">
        <f t="shared" si="3162"/>
        <v/>
      </c>
      <c r="CQ995" s="1332">
        <f t="shared" si="3162"/>
        <v>3650</v>
      </c>
      <c r="CR995" s="1332">
        <f t="shared" si="3162"/>
        <v>4000</v>
      </c>
      <c r="CS995" s="1332">
        <f t="shared" si="3162"/>
        <v>4300</v>
      </c>
      <c r="CT995" s="1333">
        <f t="shared" si="3162"/>
        <v>4800</v>
      </c>
      <c r="CU995" s="1333">
        <f t="shared" si="3162"/>
        <v>5000</v>
      </c>
      <c r="CV995" s="1333">
        <f t="shared" si="3162"/>
        <v>5000</v>
      </c>
      <c r="CW995" s="1332">
        <f t="shared" si="3162"/>
        <v>7500</v>
      </c>
      <c r="CX995" s="1332">
        <f t="shared" si="3162"/>
        <v>7980</v>
      </c>
      <c r="CY995" s="1332">
        <f t="shared" si="3162"/>
        <v>10000</v>
      </c>
      <c r="CZ995" s="1332">
        <f t="shared" si="3162"/>
        <v>11000</v>
      </c>
      <c r="DA995" s="1332" t="str">
        <f t="shared" si="3162"/>
        <v/>
      </c>
      <c r="DB995" s="1331" t="str">
        <f t="shared" si="3162"/>
        <v/>
      </c>
      <c r="DC995" s="1382" t="str">
        <f t="shared" si="3163"/>
        <v/>
      </c>
      <c r="DD995" s="641">
        <f t="shared" si="3164"/>
        <v>10</v>
      </c>
      <c r="DE995" s="95">
        <f t="shared" si="3165"/>
        <v>10</v>
      </c>
      <c r="DF995" s="95">
        <f t="shared" si="3166"/>
        <v>10</v>
      </c>
      <c r="DG995" s="95">
        <f t="shared" si="3167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201">SUM(B801)</f>
        <v>5000</v>
      </c>
      <c r="C996" s="784">
        <f t="shared" si="3201"/>
        <v>5000</v>
      </c>
      <c r="D996" s="784">
        <f t="shared" si="3201"/>
        <v>3000</v>
      </c>
      <c r="E996" s="784">
        <f t="shared" si="3201"/>
        <v>5000</v>
      </c>
      <c r="F996" s="784">
        <f t="shared" si="3201"/>
        <v>7000</v>
      </c>
      <c r="G996" s="784">
        <f t="shared" si="3201"/>
        <v>2400</v>
      </c>
      <c r="H996" s="784">
        <f t="shared" si="3201"/>
        <v>5400</v>
      </c>
      <c r="I996" s="784">
        <f t="shared" si="3201"/>
        <v>1250</v>
      </c>
      <c r="J996" s="784">
        <f t="shared" si="3201"/>
        <v>8000</v>
      </c>
      <c r="K996" s="784">
        <f t="shared" si="3201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202">SUM(T801)</f>
        <v>2800</v>
      </c>
      <c r="U996" s="784">
        <f t="shared" si="3202"/>
        <v>1750</v>
      </c>
      <c r="V996" s="784">
        <f t="shared" si="3202"/>
        <v>2250</v>
      </c>
      <c r="W996" s="784">
        <f t="shared" si="3202"/>
        <v>3000</v>
      </c>
      <c r="X996" s="784">
        <f t="shared" si="3202"/>
        <v>2800</v>
      </c>
      <c r="Y996" s="784">
        <f t="shared" si="3202"/>
        <v>4500</v>
      </c>
      <c r="Z996" s="784">
        <f t="shared" si="3202"/>
        <v>4050</v>
      </c>
      <c r="AA996" s="784">
        <f t="shared" si="3202"/>
        <v>500</v>
      </c>
      <c r="AB996" s="784">
        <f t="shared" si="3202"/>
        <v>2800</v>
      </c>
      <c r="AC996" s="784">
        <f t="shared" si="3202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203">SUM(AL801)</f>
        <v>3500</v>
      </c>
      <c r="AM996" s="784">
        <f t="shared" si="3203"/>
        <v>3200</v>
      </c>
      <c r="AN996" s="784">
        <f t="shared" si="3203"/>
        <v>2250</v>
      </c>
      <c r="AO996" s="784">
        <f t="shared" si="3203"/>
        <v>4500</v>
      </c>
      <c r="AP996" s="784">
        <f t="shared" si="3203"/>
        <v>4500</v>
      </c>
      <c r="AQ996" s="784">
        <f t="shared" si="3203"/>
        <v>1350</v>
      </c>
      <c r="AR996" s="784">
        <f t="shared" si="3203"/>
        <v>3150</v>
      </c>
      <c r="AS996" s="784">
        <f t="shared" si="3203"/>
        <v>3000</v>
      </c>
      <c r="AT996" s="784">
        <f t="shared" si="3203"/>
        <v>2000</v>
      </c>
      <c r="AU996" s="784">
        <f t="shared" si="3203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204">SUM(BD801)</f>
        <v>10000</v>
      </c>
      <c r="BE996" s="784">
        <f t="shared" si="3204"/>
        <v>5500</v>
      </c>
      <c r="BF996" s="784">
        <f t="shared" si="3204"/>
        <v>8500</v>
      </c>
      <c r="BG996" s="784">
        <f t="shared" si="3204"/>
        <v>5000</v>
      </c>
      <c r="BH996" s="784">
        <f t="shared" si="3204"/>
        <v>9000</v>
      </c>
      <c r="BI996" s="784">
        <f t="shared" si="3204"/>
        <v>6500</v>
      </c>
      <c r="BJ996" s="784">
        <f t="shared" si="3204"/>
        <v>5000</v>
      </c>
      <c r="BK996" s="784">
        <f t="shared" si="3204"/>
        <v>2000</v>
      </c>
      <c r="BL996" s="784">
        <f t="shared" si="3204"/>
        <v>11000</v>
      </c>
      <c r="BM996" s="784">
        <f t="shared" si="3204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57"/>
        <v>4537.5</v>
      </c>
      <c r="CA996" s="586">
        <f t="shared" si="3158"/>
        <v>2681.25</v>
      </c>
      <c r="CB996" s="586">
        <f t="shared" si="3159"/>
        <v>2950</v>
      </c>
      <c r="CC996" s="586">
        <f t="shared" si="3160"/>
        <v>7562.5</v>
      </c>
      <c r="CD996" s="1316">
        <f t="shared" si="3161"/>
        <v>1350</v>
      </c>
      <c r="CE996" s="1317">
        <f t="shared" si="3161"/>
        <v>2000</v>
      </c>
      <c r="CF996" s="1317">
        <f t="shared" si="3161"/>
        <v>2000</v>
      </c>
      <c r="CG996" s="1317">
        <f t="shared" si="3161"/>
        <v>2250</v>
      </c>
      <c r="CH996" s="1318">
        <f t="shared" si="3161"/>
        <v>3000</v>
      </c>
      <c r="CI996" s="1318">
        <f t="shared" si="3161"/>
        <v>3150</v>
      </c>
      <c r="CJ996" s="1317">
        <f t="shared" si="3161"/>
        <v>3200</v>
      </c>
      <c r="CK996" s="1317">
        <f t="shared" si="3161"/>
        <v>3500</v>
      </c>
      <c r="CL996" s="1317">
        <f t="shared" si="3161"/>
        <v>4500</v>
      </c>
      <c r="CM996" s="1316">
        <f t="shared" si="3161"/>
        <v>4500</v>
      </c>
      <c r="CN996" s="1331" t="str">
        <f t="shared" si="3162"/>
        <v/>
      </c>
      <c r="CO996" s="1332" t="str">
        <f t="shared" si="3162"/>
        <v/>
      </c>
      <c r="CP996" s="1332" t="str">
        <f t="shared" si="3162"/>
        <v/>
      </c>
      <c r="CQ996" s="1332">
        <f t="shared" si="3162"/>
        <v>2000</v>
      </c>
      <c r="CR996" s="1332">
        <f t="shared" si="3162"/>
        <v>5000</v>
      </c>
      <c r="CS996" s="1332">
        <f t="shared" si="3162"/>
        <v>5000</v>
      </c>
      <c r="CT996" s="1333">
        <f t="shared" si="3162"/>
        <v>5500</v>
      </c>
      <c r="CU996" s="1333">
        <f t="shared" si="3162"/>
        <v>6500</v>
      </c>
      <c r="CV996" s="1333">
        <f t="shared" si="3162"/>
        <v>8500</v>
      </c>
      <c r="CW996" s="1332">
        <f t="shared" si="3162"/>
        <v>9000</v>
      </c>
      <c r="CX996" s="1332">
        <f t="shared" si="3162"/>
        <v>10000</v>
      </c>
      <c r="CY996" s="1332">
        <f t="shared" si="3162"/>
        <v>11000</v>
      </c>
      <c r="CZ996" s="1332">
        <f t="shared" si="3162"/>
        <v>15000</v>
      </c>
      <c r="DA996" s="1332" t="str">
        <f t="shared" si="3162"/>
        <v/>
      </c>
      <c r="DB996" s="1331" t="str">
        <f t="shared" si="3162"/>
        <v/>
      </c>
      <c r="DC996" s="1382" t="str">
        <f t="shared" si="3163"/>
        <v/>
      </c>
      <c r="DD996" s="641">
        <f t="shared" si="3164"/>
        <v>10</v>
      </c>
      <c r="DE996" s="95">
        <f t="shared" si="3165"/>
        <v>10</v>
      </c>
      <c r="DF996" s="95">
        <f t="shared" si="3166"/>
        <v>10</v>
      </c>
      <c r="DG996" s="95">
        <f t="shared" si="3167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411</v>
      </c>
      <c r="B997" s="784">
        <f t="shared" ref="B997:K997" si="3205">SUM(B802,B804)</f>
        <v>1296</v>
      </c>
      <c r="C997" s="784">
        <f t="shared" si="3205"/>
        <v>2760</v>
      </c>
      <c r="D997" s="784">
        <f t="shared" si="3205"/>
        <v>5028</v>
      </c>
      <c r="E997" s="784">
        <f t="shared" si="3205"/>
        <v>2400</v>
      </c>
      <c r="F997" s="784">
        <f t="shared" si="3205"/>
        <v>2800</v>
      </c>
      <c r="G997" s="784">
        <f t="shared" si="3205"/>
        <v>2800</v>
      </c>
      <c r="H997" s="784">
        <f t="shared" si="3205"/>
        <v>1644</v>
      </c>
      <c r="I997" s="784">
        <f t="shared" si="3205"/>
        <v>960</v>
      </c>
      <c r="J997" s="784">
        <f t="shared" si="3205"/>
        <v>1850</v>
      </c>
      <c r="K997" s="784">
        <f t="shared" si="3205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206">SUM(T802,T804)</f>
        <v>1180</v>
      </c>
      <c r="U997" s="784">
        <f t="shared" si="3206"/>
        <v>1150</v>
      </c>
      <c r="V997" s="784">
        <f t="shared" si="3206"/>
        <v>620</v>
      </c>
      <c r="W997" s="784">
        <f t="shared" si="3206"/>
        <v>1320</v>
      </c>
      <c r="X997" s="784">
        <f t="shared" si="3206"/>
        <v>2100</v>
      </c>
      <c r="Y997" s="784">
        <f t="shared" si="3206"/>
        <v>2880</v>
      </c>
      <c r="Z997" s="784">
        <f t="shared" si="3206"/>
        <v>2400</v>
      </c>
      <c r="AA997" s="784">
        <f t="shared" si="3206"/>
        <v>1524</v>
      </c>
      <c r="AB997" s="784">
        <f t="shared" si="3206"/>
        <v>2150</v>
      </c>
      <c r="AC997" s="784">
        <f t="shared" si="3206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207">SUM(AL802,AL804)</f>
        <v>4200</v>
      </c>
      <c r="AM997" s="784">
        <f t="shared" si="3207"/>
        <v>3000</v>
      </c>
      <c r="AN997" s="784">
        <f t="shared" si="3207"/>
        <v>3060</v>
      </c>
      <c r="AO997" s="784">
        <f t="shared" si="3207"/>
        <v>7200</v>
      </c>
      <c r="AP997" s="784">
        <f t="shared" si="3207"/>
        <v>4020</v>
      </c>
      <c r="AQ997" s="784">
        <f t="shared" si="3207"/>
        <v>4800</v>
      </c>
      <c r="AR997" s="784">
        <f t="shared" si="3207"/>
        <v>5640</v>
      </c>
      <c r="AS997" s="784">
        <f t="shared" si="3207"/>
        <v>2550</v>
      </c>
      <c r="AT997" s="784">
        <f t="shared" si="3207"/>
        <v>3100</v>
      </c>
      <c r="AU997" s="784">
        <f t="shared" si="3207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208">SUM(BD802,BD804)</f>
        <v>5700</v>
      </c>
      <c r="BE997" s="784">
        <f t="shared" si="3208"/>
        <v>4250</v>
      </c>
      <c r="BF997" s="784">
        <f t="shared" si="3208"/>
        <v>4230</v>
      </c>
      <c r="BG997" s="784">
        <f t="shared" si="3208"/>
        <v>3750</v>
      </c>
      <c r="BH997" s="784">
        <f t="shared" si="3208"/>
        <v>4450</v>
      </c>
      <c r="BI997" s="784">
        <f t="shared" si="3208"/>
        <v>4200</v>
      </c>
      <c r="BJ997" s="784">
        <f t="shared" si="3208"/>
        <v>4050</v>
      </c>
      <c r="BK997" s="784">
        <f t="shared" si="3208"/>
        <v>3700</v>
      </c>
      <c r="BL997" s="784">
        <f t="shared" si="3208"/>
        <v>3000</v>
      </c>
      <c r="BM997" s="784">
        <f t="shared" si="3208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57"/>
        <v>2406.25</v>
      </c>
      <c r="CA997" s="586">
        <f t="shared" si="3158"/>
        <v>1838</v>
      </c>
      <c r="CB997" s="586">
        <f t="shared" si="3159"/>
        <v>3882.5</v>
      </c>
      <c r="CC997" s="586">
        <f t="shared" si="3160"/>
        <v>3953.75</v>
      </c>
      <c r="CD997" s="1316">
        <f t="shared" si="3161"/>
        <v>2550</v>
      </c>
      <c r="CE997" s="1317">
        <f t="shared" si="3161"/>
        <v>3000</v>
      </c>
      <c r="CF997" s="1317">
        <f t="shared" si="3161"/>
        <v>3060</v>
      </c>
      <c r="CG997" s="1317">
        <f t="shared" si="3161"/>
        <v>3100</v>
      </c>
      <c r="CH997" s="1318">
        <f t="shared" si="3161"/>
        <v>3240</v>
      </c>
      <c r="CI997" s="1318">
        <f t="shared" si="3161"/>
        <v>4020</v>
      </c>
      <c r="CJ997" s="1317">
        <f t="shared" si="3161"/>
        <v>4200</v>
      </c>
      <c r="CK997" s="1317">
        <f t="shared" si="3161"/>
        <v>4800</v>
      </c>
      <c r="CL997" s="1317">
        <f t="shared" si="3161"/>
        <v>5640</v>
      </c>
      <c r="CM997" s="1316">
        <f t="shared" si="3161"/>
        <v>7200</v>
      </c>
      <c r="CN997" s="1331" t="str">
        <f t="shared" si="3162"/>
        <v/>
      </c>
      <c r="CO997" s="1332" t="str">
        <f t="shared" si="3162"/>
        <v/>
      </c>
      <c r="CP997" s="1332" t="str">
        <f t="shared" si="3162"/>
        <v/>
      </c>
      <c r="CQ997" s="1332">
        <f t="shared" si="3162"/>
        <v>2700</v>
      </c>
      <c r="CR997" s="1332">
        <f t="shared" si="3162"/>
        <v>3000</v>
      </c>
      <c r="CS997" s="1332">
        <f t="shared" si="3162"/>
        <v>3700</v>
      </c>
      <c r="CT997" s="1333">
        <f t="shared" si="3162"/>
        <v>3750</v>
      </c>
      <c r="CU997" s="1333">
        <f t="shared" si="3162"/>
        <v>4050</v>
      </c>
      <c r="CV997" s="1333">
        <f t="shared" si="3162"/>
        <v>4200</v>
      </c>
      <c r="CW997" s="1332">
        <f t="shared" si="3162"/>
        <v>4230</v>
      </c>
      <c r="CX997" s="1332">
        <f t="shared" si="3162"/>
        <v>4250</v>
      </c>
      <c r="CY997" s="1332">
        <f t="shared" si="3162"/>
        <v>4450</v>
      </c>
      <c r="CZ997" s="1332">
        <f t="shared" si="3162"/>
        <v>5700</v>
      </c>
      <c r="DA997" s="1332" t="str">
        <f t="shared" si="3162"/>
        <v/>
      </c>
      <c r="DB997" s="1331" t="str">
        <f t="shared" si="3162"/>
        <v/>
      </c>
      <c r="DC997" s="1382" t="str">
        <f t="shared" si="3163"/>
        <v/>
      </c>
      <c r="DD997" s="641">
        <f t="shared" si="3164"/>
        <v>10</v>
      </c>
      <c r="DE997" s="95">
        <f t="shared" si="3165"/>
        <v>10</v>
      </c>
      <c r="DF997" s="95">
        <f t="shared" si="3166"/>
        <v>10</v>
      </c>
      <c r="DG997" s="95">
        <f t="shared" si="3167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943</v>
      </c>
      <c r="B998" s="784">
        <f t="shared" ref="B998:K998" si="3209">B803</f>
        <v>672</v>
      </c>
      <c r="C998" s="784">
        <f t="shared" si="3209"/>
        <v>3500</v>
      </c>
      <c r="D998" s="784">
        <f t="shared" si="3209"/>
        <v>8640</v>
      </c>
      <c r="E998" s="784">
        <f t="shared" si="3209"/>
        <v>10800</v>
      </c>
      <c r="F998" s="784">
        <f t="shared" si="3209"/>
        <v>4800</v>
      </c>
      <c r="G998" s="784">
        <f t="shared" si="3209"/>
        <v>3600</v>
      </c>
      <c r="H998" s="784">
        <f t="shared" si="3209"/>
        <v>9600</v>
      </c>
      <c r="I998" s="784">
        <f t="shared" si="3209"/>
        <v>2016</v>
      </c>
      <c r="J998" s="784">
        <f t="shared" si="3209"/>
        <v>6000</v>
      </c>
      <c r="K998" s="784">
        <f t="shared" si="3209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210">T803</f>
        <v>2880</v>
      </c>
      <c r="U998" s="784">
        <f t="shared" si="3210"/>
        <v>2160</v>
      </c>
      <c r="V998" s="784">
        <f t="shared" si="3210"/>
        <v>1680</v>
      </c>
      <c r="W998" s="784">
        <f t="shared" si="3210"/>
        <v>1600</v>
      </c>
      <c r="X998" s="784">
        <f t="shared" si="3210"/>
        <v>3360</v>
      </c>
      <c r="Y998" s="784">
        <f t="shared" si="3210"/>
        <v>5760</v>
      </c>
      <c r="Z998" s="784">
        <f t="shared" si="3210"/>
        <v>4200</v>
      </c>
      <c r="AA998" s="784">
        <f t="shared" si="3210"/>
        <v>1200</v>
      </c>
      <c r="AB998" s="784">
        <f t="shared" si="3210"/>
        <v>4860</v>
      </c>
      <c r="AC998" s="784">
        <f t="shared" si="3210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211">AL803</f>
        <v>4800</v>
      </c>
      <c r="AM998" s="784">
        <f t="shared" si="3211"/>
        <v>3360</v>
      </c>
      <c r="AN998" s="784">
        <f t="shared" si="3211"/>
        <v>2160</v>
      </c>
      <c r="AO998" s="784">
        <f t="shared" si="3211"/>
        <v>5400</v>
      </c>
      <c r="AP998" s="784">
        <f t="shared" si="3211"/>
        <v>2520</v>
      </c>
      <c r="AQ998" s="784">
        <f t="shared" si="3211"/>
        <v>2880</v>
      </c>
      <c r="AR998" s="784">
        <f t="shared" si="3211"/>
        <v>3360</v>
      </c>
      <c r="AS998" s="784">
        <f t="shared" si="3211"/>
        <v>2600</v>
      </c>
      <c r="AT998" s="784">
        <f t="shared" si="3211"/>
        <v>600</v>
      </c>
      <c r="AU998" s="784">
        <f t="shared" si="3211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212">BD803</f>
        <v>9800</v>
      </c>
      <c r="BE998" s="784">
        <f t="shared" si="3212"/>
        <v>7500</v>
      </c>
      <c r="BF998" s="784">
        <f t="shared" si="3212"/>
        <v>9500</v>
      </c>
      <c r="BG998" s="784">
        <f t="shared" si="3212"/>
        <v>4000</v>
      </c>
      <c r="BH998" s="784">
        <f t="shared" si="3212"/>
        <v>8500</v>
      </c>
      <c r="BI998" s="784">
        <f t="shared" si="3212"/>
        <v>5000</v>
      </c>
      <c r="BJ998" s="784">
        <f t="shared" si="3212"/>
        <v>8000</v>
      </c>
      <c r="BK998" s="784">
        <f t="shared" si="3212"/>
        <v>7000</v>
      </c>
      <c r="BL998" s="784">
        <f t="shared" si="3212"/>
        <v>10000</v>
      </c>
      <c r="BM998" s="784">
        <f t="shared" si="3212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57"/>
        <v>5189.5</v>
      </c>
      <c r="CA998" s="586">
        <f t="shared" si="3158"/>
        <v>3312.5</v>
      </c>
      <c r="CB998" s="586">
        <f t="shared" si="3159"/>
        <v>2785</v>
      </c>
      <c r="CC998" s="586">
        <f t="shared" si="3160"/>
        <v>8100</v>
      </c>
      <c r="CD998" s="1316">
        <f t="shared" si="3161"/>
        <v>600</v>
      </c>
      <c r="CE998" s="1317">
        <f t="shared" si="3161"/>
        <v>600</v>
      </c>
      <c r="CF998" s="1317">
        <f t="shared" si="3161"/>
        <v>2160</v>
      </c>
      <c r="CG998" s="1317">
        <f t="shared" si="3161"/>
        <v>2520</v>
      </c>
      <c r="CH998" s="1318">
        <f t="shared" si="3161"/>
        <v>2600</v>
      </c>
      <c r="CI998" s="1318">
        <f t="shared" si="3161"/>
        <v>2880</v>
      </c>
      <c r="CJ998" s="1317">
        <f t="shared" si="3161"/>
        <v>3360</v>
      </c>
      <c r="CK998" s="1317">
        <f t="shared" si="3161"/>
        <v>3360</v>
      </c>
      <c r="CL998" s="1317">
        <f t="shared" si="3161"/>
        <v>4800</v>
      </c>
      <c r="CM998" s="1316">
        <f t="shared" si="3161"/>
        <v>5400</v>
      </c>
      <c r="CN998" s="1331" t="str">
        <f t="shared" si="3162"/>
        <v/>
      </c>
      <c r="CO998" s="1332" t="str">
        <f t="shared" si="3162"/>
        <v/>
      </c>
      <c r="CP998" s="1332" t="str">
        <f t="shared" si="3162"/>
        <v/>
      </c>
      <c r="CQ998" s="1332">
        <f t="shared" si="3162"/>
        <v>4000</v>
      </c>
      <c r="CR998" s="1332">
        <f t="shared" si="3162"/>
        <v>5000</v>
      </c>
      <c r="CS998" s="1332">
        <f t="shared" si="3162"/>
        <v>7000</v>
      </c>
      <c r="CT998" s="1333">
        <f t="shared" si="3162"/>
        <v>7500</v>
      </c>
      <c r="CU998" s="1333">
        <f t="shared" si="3162"/>
        <v>8000</v>
      </c>
      <c r="CV998" s="1333">
        <f t="shared" si="3162"/>
        <v>8500</v>
      </c>
      <c r="CW998" s="1332">
        <f t="shared" si="3162"/>
        <v>9500</v>
      </c>
      <c r="CX998" s="1332">
        <f t="shared" si="3162"/>
        <v>9500</v>
      </c>
      <c r="CY998" s="1332">
        <f t="shared" si="3162"/>
        <v>9800</v>
      </c>
      <c r="CZ998" s="1332">
        <f t="shared" si="3162"/>
        <v>10000</v>
      </c>
      <c r="DA998" s="1332" t="str">
        <f t="shared" si="3162"/>
        <v/>
      </c>
      <c r="DB998" s="1331" t="str">
        <f t="shared" si="3162"/>
        <v/>
      </c>
      <c r="DC998" s="1382" t="str">
        <f t="shared" si="3163"/>
        <v/>
      </c>
      <c r="DD998" s="641">
        <f t="shared" si="3164"/>
        <v>10</v>
      </c>
      <c r="DE998" s="95">
        <f t="shared" si="3165"/>
        <v>10</v>
      </c>
      <c r="DF998" s="95">
        <f t="shared" si="3166"/>
        <v>10</v>
      </c>
      <c r="DG998" s="95">
        <f t="shared" si="3167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412</v>
      </c>
      <c r="B999" s="784">
        <f t="shared" ref="B999:K999" si="3213">SUM(B805,B808:B810)</f>
        <v>0</v>
      </c>
      <c r="C999" s="784">
        <f t="shared" si="3213"/>
        <v>4300</v>
      </c>
      <c r="D999" s="784">
        <f t="shared" si="3213"/>
        <v>3200</v>
      </c>
      <c r="E999" s="784">
        <f t="shared" si="3213"/>
        <v>1500</v>
      </c>
      <c r="F999" s="784">
        <f t="shared" si="3213"/>
        <v>1600</v>
      </c>
      <c r="G999" s="784">
        <f t="shared" si="3213"/>
        <v>6560</v>
      </c>
      <c r="H999" s="784">
        <f t="shared" si="3213"/>
        <v>1600</v>
      </c>
      <c r="I999" s="784">
        <f t="shared" si="3213"/>
        <v>1050</v>
      </c>
      <c r="J999" s="784">
        <f t="shared" si="3213"/>
        <v>7500</v>
      </c>
      <c r="K999" s="784">
        <f t="shared" si="3213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214">SUM(T805,T808:T810)</f>
        <v>3000</v>
      </c>
      <c r="U999" s="784">
        <f t="shared" si="3214"/>
        <v>250</v>
      </c>
      <c r="V999" s="784">
        <f t="shared" si="3214"/>
        <v>850</v>
      </c>
      <c r="W999" s="784">
        <f t="shared" si="3214"/>
        <v>900</v>
      </c>
      <c r="X999" s="784">
        <f t="shared" si="3214"/>
        <v>1620</v>
      </c>
      <c r="Y999" s="784">
        <f t="shared" si="3214"/>
        <v>6450</v>
      </c>
      <c r="Z999" s="784">
        <f t="shared" si="3214"/>
        <v>7700</v>
      </c>
      <c r="AA999" s="784">
        <f t="shared" si="3214"/>
        <v>5200</v>
      </c>
      <c r="AB999" s="784">
        <f t="shared" si="3214"/>
        <v>1250</v>
      </c>
      <c r="AC999" s="784">
        <f t="shared" si="3214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215">SUM(AL805,AL808:AL810)</f>
        <v>2650</v>
      </c>
      <c r="AM999" s="784">
        <f t="shared" si="3215"/>
        <v>11000</v>
      </c>
      <c r="AN999" s="784">
        <f t="shared" si="3215"/>
        <v>11850</v>
      </c>
      <c r="AO999" s="784">
        <f t="shared" si="3215"/>
        <v>9650</v>
      </c>
      <c r="AP999" s="784">
        <f t="shared" si="3215"/>
        <v>7230</v>
      </c>
      <c r="AQ999" s="784">
        <f t="shared" si="3215"/>
        <v>13850</v>
      </c>
      <c r="AR999" s="784">
        <f t="shared" si="3215"/>
        <v>11000</v>
      </c>
      <c r="AS999" s="784">
        <f t="shared" si="3215"/>
        <v>4400</v>
      </c>
      <c r="AT999" s="784">
        <f t="shared" si="3215"/>
        <v>2550</v>
      </c>
      <c r="AU999" s="784">
        <f t="shared" si="3215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216">SUM(BD805,BD808:BD810)</f>
        <v>9800</v>
      </c>
      <c r="BE999" s="784">
        <f t="shared" si="3216"/>
        <v>6150</v>
      </c>
      <c r="BF999" s="784">
        <f t="shared" si="3216"/>
        <v>5200</v>
      </c>
      <c r="BG999" s="784">
        <f t="shared" si="3216"/>
        <v>4390</v>
      </c>
      <c r="BH999" s="784">
        <f t="shared" si="3216"/>
        <v>4500</v>
      </c>
      <c r="BI999" s="784">
        <f t="shared" si="3216"/>
        <v>5200</v>
      </c>
      <c r="BJ999" s="784">
        <f t="shared" si="3216"/>
        <v>5650</v>
      </c>
      <c r="BK999" s="784">
        <f t="shared" si="3216"/>
        <v>4850</v>
      </c>
      <c r="BL999" s="784">
        <f t="shared" si="3216"/>
        <v>4800</v>
      </c>
      <c r="BM999" s="784">
        <f t="shared" si="3216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57"/>
        <v>3251.25</v>
      </c>
      <c r="CA999" s="586">
        <f t="shared" si="3158"/>
        <v>2940</v>
      </c>
      <c r="CB999" s="586">
        <f t="shared" si="3159"/>
        <v>7685</v>
      </c>
      <c r="CC999" s="586">
        <f t="shared" si="3160"/>
        <v>5418.75</v>
      </c>
      <c r="CD999" s="1316">
        <f t="shared" si="3161"/>
        <v>2550</v>
      </c>
      <c r="CE999" s="1317">
        <f t="shared" si="3161"/>
        <v>2650</v>
      </c>
      <c r="CF999" s="1317">
        <f t="shared" si="3161"/>
        <v>3700</v>
      </c>
      <c r="CG999" s="1317">
        <f t="shared" si="3161"/>
        <v>4400</v>
      </c>
      <c r="CH999" s="1318">
        <f t="shared" si="3161"/>
        <v>7230</v>
      </c>
      <c r="CI999" s="1318">
        <f t="shared" si="3161"/>
        <v>9650</v>
      </c>
      <c r="CJ999" s="1317">
        <f t="shared" si="3161"/>
        <v>11000</v>
      </c>
      <c r="CK999" s="1317">
        <f t="shared" si="3161"/>
        <v>11000</v>
      </c>
      <c r="CL999" s="1317">
        <f t="shared" si="3161"/>
        <v>11850</v>
      </c>
      <c r="CM999" s="1316">
        <f t="shared" si="3161"/>
        <v>13850</v>
      </c>
      <c r="CN999" s="1331" t="str">
        <f t="shared" si="3162"/>
        <v/>
      </c>
      <c r="CO999" s="1332" t="str">
        <f t="shared" si="3162"/>
        <v/>
      </c>
      <c r="CP999" s="1332" t="str">
        <f t="shared" si="3162"/>
        <v/>
      </c>
      <c r="CQ999" s="1332">
        <f t="shared" si="3162"/>
        <v>4390</v>
      </c>
      <c r="CR999" s="1332">
        <f t="shared" si="3162"/>
        <v>4500</v>
      </c>
      <c r="CS999" s="1332">
        <f t="shared" si="3162"/>
        <v>4800</v>
      </c>
      <c r="CT999" s="1333">
        <f t="shared" si="3162"/>
        <v>4850</v>
      </c>
      <c r="CU999" s="1333">
        <f t="shared" si="3162"/>
        <v>5200</v>
      </c>
      <c r="CV999" s="1333">
        <f t="shared" si="3162"/>
        <v>5200</v>
      </c>
      <c r="CW999" s="1332">
        <f t="shared" si="3162"/>
        <v>5650</v>
      </c>
      <c r="CX999" s="1332">
        <f t="shared" si="3162"/>
        <v>6150</v>
      </c>
      <c r="CY999" s="1332">
        <f t="shared" si="3162"/>
        <v>7000</v>
      </c>
      <c r="CZ999" s="1332">
        <f t="shared" si="3162"/>
        <v>9800</v>
      </c>
      <c r="DA999" s="1332" t="str">
        <f t="shared" si="3162"/>
        <v/>
      </c>
      <c r="DB999" s="1331" t="str">
        <f t="shared" si="3162"/>
        <v/>
      </c>
      <c r="DC999" s="1382" t="str">
        <f t="shared" si="3163"/>
        <v/>
      </c>
      <c r="DD999" s="641">
        <f t="shared" si="3164"/>
        <v>10</v>
      </c>
      <c r="DE999" s="95">
        <f t="shared" si="3165"/>
        <v>10</v>
      </c>
      <c r="DF999" s="95">
        <f t="shared" si="3166"/>
        <v>10</v>
      </c>
      <c r="DG999" s="95">
        <f t="shared" si="3167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704</v>
      </c>
      <c r="B1000" s="784">
        <f>SUM(B807)</f>
        <v>0</v>
      </c>
      <c r="C1000" s="784">
        <f t="shared" ref="C1000:K1000" si="3217">SUM(C807)</f>
        <v>0</v>
      </c>
      <c r="D1000" s="784">
        <f t="shared" si="3217"/>
        <v>0</v>
      </c>
      <c r="E1000" s="784">
        <f t="shared" si="3217"/>
        <v>0</v>
      </c>
      <c r="F1000" s="784">
        <f t="shared" si="3217"/>
        <v>0</v>
      </c>
      <c r="G1000" s="784">
        <f t="shared" si="3217"/>
        <v>0</v>
      </c>
      <c r="H1000" s="784">
        <f t="shared" si="3217"/>
        <v>0</v>
      </c>
      <c r="I1000" s="784">
        <f t="shared" si="3217"/>
        <v>0</v>
      </c>
      <c r="J1000" s="784">
        <f t="shared" si="3217"/>
        <v>0</v>
      </c>
      <c r="K1000" s="784">
        <f t="shared" si="3217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218">SUM(U807)</f>
        <v>0</v>
      </c>
      <c r="V1000" s="784">
        <f t="shared" si="3218"/>
        <v>0</v>
      </c>
      <c r="W1000" s="784">
        <f t="shared" si="3218"/>
        <v>0</v>
      </c>
      <c r="X1000" s="784">
        <f t="shared" si="3218"/>
        <v>0</v>
      </c>
      <c r="Y1000" s="784">
        <f t="shared" si="3218"/>
        <v>0</v>
      </c>
      <c r="Z1000" s="784">
        <f t="shared" si="3218"/>
        <v>0</v>
      </c>
      <c r="AA1000" s="784">
        <f t="shared" si="3218"/>
        <v>0</v>
      </c>
      <c r="AB1000" s="784">
        <f t="shared" si="3218"/>
        <v>0</v>
      </c>
      <c r="AC1000" s="784">
        <f t="shared" si="3218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219">SUM(AM807)</f>
        <v>0</v>
      </c>
      <c r="AN1000" s="784">
        <f t="shared" si="3219"/>
        <v>0</v>
      </c>
      <c r="AO1000" s="784">
        <f t="shared" si="3219"/>
        <v>0</v>
      </c>
      <c r="AP1000" s="784">
        <f t="shared" si="3219"/>
        <v>0</v>
      </c>
      <c r="AQ1000" s="784">
        <f t="shared" si="3219"/>
        <v>0</v>
      </c>
      <c r="AR1000" s="784">
        <f t="shared" si="3219"/>
        <v>0</v>
      </c>
      <c r="AS1000" s="784">
        <f t="shared" si="3219"/>
        <v>0</v>
      </c>
      <c r="AT1000" s="784">
        <f t="shared" si="3219"/>
        <v>0</v>
      </c>
      <c r="AU1000" s="784">
        <f t="shared" si="3219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220">SUM(BE807)</f>
        <v>0</v>
      </c>
      <c r="BF1000" s="784">
        <f t="shared" si="3220"/>
        <v>0</v>
      </c>
      <c r="BG1000" s="784">
        <f t="shared" si="3220"/>
        <v>0</v>
      </c>
      <c r="BH1000" s="784">
        <f t="shared" si="3220"/>
        <v>0</v>
      </c>
      <c r="BI1000" s="784">
        <f t="shared" si="3220"/>
        <v>0</v>
      </c>
      <c r="BJ1000" s="784">
        <f t="shared" si="3220"/>
        <v>0</v>
      </c>
      <c r="BK1000" s="784">
        <f t="shared" si="3220"/>
        <v>0</v>
      </c>
      <c r="BL1000" s="784">
        <f t="shared" si="3220"/>
        <v>0</v>
      </c>
      <c r="BM1000" s="784">
        <f t="shared" si="3220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221">SUM(BV807)</f>
        <v>0</v>
      </c>
      <c r="BW1000" s="784">
        <f t="shared" si="3221"/>
        <v>0</v>
      </c>
      <c r="BX1000" s="784">
        <f t="shared" si="3221"/>
        <v>0</v>
      </c>
      <c r="BY1000" s="784">
        <f t="shared" si="3221"/>
        <v>0</v>
      </c>
      <c r="BZ1000" s="586">
        <f t="shared" si="3157"/>
        <v>0</v>
      </c>
      <c r="CA1000" s="586">
        <f t="shared" si="3158"/>
        <v>0</v>
      </c>
      <c r="CB1000" s="586">
        <f t="shared" si="3159"/>
        <v>0</v>
      </c>
      <c r="CC1000" s="586">
        <f t="shared" si="3160"/>
        <v>0</v>
      </c>
      <c r="CD1000" s="1316">
        <f t="shared" si="3161"/>
        <v>0</v>
      </c>
      <c r="CE1000" s="1317">
        <f t="shared" si="3161"/>
        <v>0</v>
      </c>
      <c r="CF1000" s="1317">
        <f t="shared" si="3161"/>
        <v>0</v>
      </c>
      <c r="CG1000" s="1317">
        <f t="shared" si="3161"/>
        <v>0</v>
      </c>
      <c r="CH1000" s="1318">
        <f t="shared" si="3161"/>
        <v>0</v>
      </c>
      <c r="CI1000" s="1318">
        <f t="shared" si="3161"/>
        <v>0</v>
      </c>
      <c r="CJ1000" s="1317">
        <f t="shared" si="3161"/>
        <v>0</v>
      </c>
      <c r="CK1000" s="1317">
        <f t="shared" si="3161"/>
        <v>0</v>
      </c>
      <c r="CL1000" s="1317">
        <f t="shared" si="3161"/>
        <v>0</v>
      </c>
      <c r="CM1000" s="1316">
        <f t="shared" si="3161"/>
        <v>0</v>
      </c>
      <c r="CN1000" s="1331" t="str">
        <f t="shared" si="3162"/>
        <v/>
      </c>
      <c r="CO1000" s="1332" t="str">
        <f t="shared" si="3162"/>
        <v/>
      </c>
      <c r="CP1000" s="1332" t="str">
        <f t="shared" si="3162"/>
        <v/>
      </c>
      <c r="CQ1000" s="1332">
        <f t="shared" si="3162"/>
        <v>0</v>
      </c>
      <c r="CR1000" s="1332">
        <f t="shared" si="3162"/>
        <v>0</v>
      </c>
      <c r="CS1000" s="1332">
        <f t="shared" si="3162"/>
        <v>0</v>
      </c>
      <c r="CT1000" s="1333">
        <f t="shared" si="3162"/>
        <v>0</v>
      </c>
      <c r="CU1000" s="1333">
        <f t="shared" si="3162"/>
        <v>0</v>
      </c>
      <c r="CV1000" s="1333">
        <f t="shared" si="3162"/>
        <v>0</v>
      </c>
      <c r="CW1000" s="1332">
        <f t="shared" si="3162"/>
        <v>0</v>
      </c>
      <c r="CX1000" s="1332">
        <f t="shared" si="3162"/>
        <v>0</v>
      </c>
      <c r="CY1000" s="1332">
        <f t="shared" si="3162"/>
        <v>0</v>
      </c>
      <c r="CZ1000" s="1332">
        <f t="shared" si="3162"/>
        <v>0</v>
      </c>
      <c r="DA1000" s="1332" t="str">
        <f t="shared" si="3162"/>
        <v/>
      </c>
      <c r="DB1000" s="1331" t="str">
        <f t="shared" si="3162"/>
        <v/>
      </c>
      <c r="DC1000" s="1382" t="str">
        <f t="shared" si="3163"/>
        <v/>
      </c>
      <c r="DD1000" s="641">
        <f t="shared" si="3164"/>
        <v>10</v>
      </c>
      <c r="DE1000" s="95">
        <f t="shared" si="3165"/>
        <v>10</v>
      </c>
      <c r="DF1000" s="95">
        <f t="shared" si="3166"/>
        <v>10</v>
      </c>
      <c r="DG1000" s="95">
        <f t="shared" si="3167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705</v>
      </c>
      <c r="B1001" s="784">
        <f>SUM(B808)</f>
        <v>0</v>
      </c>
      <c r="C1001" s="784">
        <f t="shared" ref="C1001:K1001" si="3222">SUM(C808)</f>
        <v>0</v>
      </c>
      <c r="D1001" s="784">
        <f t="shared" si="3222"/>
        <v>0</v>
      </c>
      <c r="E1001" s="784">
        <f t="shared" si="3222"/>
        <v>0</v>
      </c>
      <c r="F1001" s="784">
        <f t="shared" si="3222"/>
        <v>0</v>
      </c>
      <c r="G1001" s="784">
        <f t="shared" si="3222"/>
        <v>0</v>
      </c>
      <c r="H1001" s="784">
        <f t="shared" si="3222"/>
        <v>0</v>
      </c>
      <c r="I1001" s="784">
        <f t="shared" si="3222"/>
        <v>0</v>
      </c>
      <c r="J1001" s="784">
        <f t="shared" si="3222"/>
        <v>0</v>
      </c>
      <c r="K1001" s="784">
        <f t="shared" si="3222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223">SUM(U808)</f>
        <v>0</v>
      </c>
      <c r="V1001" s="784">
        <f t="shared" si="3223"/>
        <v>0</v>
      </c>
      <c r="W1001" s="784">
        <f t="shared" si="3223"/>
        <v>0</v>
      </c>
      <c r="X1001" s="784">
        <f t="shared" si="3223"/>
        <v>0</v>
      </c>
      <c r="Y1001" s="784">
        <f t="shared" si="3223"/>
        <v>0</v>
      </c>
      <c r="Z1001" s="784">
        <f t="shared" si="3223"/>
        <v>0</v>
      </c>
      <c r="AA1001" s="784">
        <f t="shared" si="3223"/>
        <v>0</v>
      </c>
      <c r="AB1001" s="784">
        <f t="shared" si="3223"/>
        <v>0</v>
      </c>
      <c r="AC1001" s="784">
        <f t="shared" si="3223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224">SUM(AM808)</f>
        <v>0</v>
      </c>
      <c r="AN1001" s="784">
        <f t="shared" si="3224"/>
        <v>0</v>
      </c>
      <c r="AO1001" s="784">
        <f t="shared" si="3224"/>
        <v>0</v>
      </c>
      <c r="AP1001" s="784">
        <f t="shared" si="3224"/>
        <v>0</v>
      </c>
      <c r="AQ1001" s="784">
        <f t="shared" si="3224"/>
        <v>0</v>
      </c>
      <c r="AR1001" s="784">
        <f t="shared" si="3224"/>
        <v>0</v>
      </c>
      <c r="AS1001" s="784">
        <f t="shared" si="3224"/>
        <v>0</v>
      </c>
      <c r="AT1001" s="784">
        <f t="shared" si="3224"/>
        <v>0</v>
      </c>
      <c r="AU1001" s="784">
        <f t="shared" si="3224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225">SUM(BE808)</f>
        <v>0</v>
      </c>
      <c r="BF1001" s="784">
        <f t="shared" si="3225"/>
        <v>0</v>
      </c>
      <c r="BG1001" s="784">
        <f t="shared" si="3225"/>
        <v>0</v>
      </c>
      <c r="BH1001" s="784">
        <f t="shared" si="3225"/>
        <v>0</v>
      </c>
      <c r="BI1001" s="784">
        <f t="shared" si="3225"/>
        <v>0</v>
      </c>
      <c r="BJ1001" s="784">
        <f t="shared" si="3225"/>
        <v>0</v>
      </c>
      <c r="BK1001" s="784">
        <f t="shared" si="3225"/>
        <v>0</v>
      </c>
      <c r="BL1001" s="784">
        <f t="shared" si="3225"/>
        <v>0</v>
      </c>
      <c r="BM1001" s="784">
        <f t="shared" si="3225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221"/>
        <v>0</v>
      </c>
      <c r="BW1001" s="784">
        <f t="shared" si="3221"/>
        <v>0</v>
      </c>
      <c r="BX1001" s="784">
        <f t="shared" si="3221"/>
        <v>0</v>
      </c>
      <c r="BY1001" s="784">
        <f t="shared" si="3221"/>
        <v>0</v>
      </c>
      <c r="BZ1001" s="586">
        <f t="shared" si="3157"/>
        <v>0</v>
      </c>
      <c r="CA1001" s="586">
        <f t="shared" si="3158"/>
        <v>0</v>
      </c>
      <c r="CB1001" s="586">
        <f t="shared" si="3159"/>
        <v>0</v>
      </c>
      <c r="CC1001" s="586">
        <f t="shared" si="3160"/>
        <v>0</v>
      </c>
      <c r="CD1001" s="1316">
        <f t="shared" si="3161"/>
        <v>0</v>
      </c>
      <c r="CE1001" s="1317">
        <f t="shared" si="3161"/>
        <v>0</v>
      </c>
      <c r="CF1001" s="1317">
        <f t="shared" si="3161"/>
        <v>0</v>
      </c>
      <c r="CG1001" s="1317">
        <f t="shared" si="3161"/>
        <v>0</v>
      </c>
      <c r="CH1001" s="1318">
        <f t="shared" si="3161"/>
        <v>0</v>
      </c>
      <c r="CI1001" s="1318">
        <f t="shared" si="3161"/>
        <v>0</v>
      </c>
      <c r="CJ1001" s="1317">
        <f t="shared" si="3161"/>
        <v>0</v>
      </c>
      <c r="CK1001" s="1317">
        <f t="shared" si="3161"/>
        <v>0</v>
      </c>
      <c r="CL1001" s="1317">
        <f t="shared" si="3161"/>
        <v>0</v>
      </c>
      <c r="CM1001" s="1316">
        <f t="shared" si="3161"/>
        <v>0</v>
      </c>
      <c r="CN1001" s="1331" t="str">
        <f t="shared" si="3162"/>
        <v/>
      </c>
      <c r="CO1001" s="1332" t="str">
        <f t="shared" si="3162"/>
        <v/>
      </c>
      <c r="CP1001" s="1332" t="str">
        <f t="shared" si="3162"/>
        <v/>
      </c>
      <c r="CQ1001" s="1332">
        <f t="shared" si="3162"/>
        <v>0</v>
      </c>
      <c r="CR1001" s="1332">
        <f t="shared" si="3162"/>
        <v>0</v>
      </c>
      <c r="CS1001" s="1332">
        <f t="shared" si="3162"/>
        <v>0</v>
      </c>
      <c r="CT1001" s="1333">
        <f t="shared" si="3162"/>
        <v>0</v>
      </c>
      <c r="CU1001" s="1333">
        <f t="shared" si="3162"/>
        <v>0</v>
      </c>
      <c r="CV1001" s="1333">
        <f t="shared" si="3162"/>
        <v>0</v>
      </c>
      <c r="CW1001" s="1332">
        <f t="shared" si="3162"/>
        <v>0</v>
      </c>
      <c r="CX1001" s="1332">
        <f t="shared" si="3162"/>
        <v>0</v>
      </c>
      <c r="CY1001" s="1332">
        <f t="shared" si="3162"/>
        <v>0</v>
      </c>
      <c r="CZ1001" s="1332">
        <f t="shared" si="3162"/>
        <v>0</v>
      </c>
      <c r="DA1001" s="1332" t="str">
        <f t="shared" si="3162"/>
        <v/>
      </c>
      <c r="DB1001" s="1331" t="str">
        <f t="shared" si="3162"/>
        <v/>
      </c>
      <c r="DC1001" s="1382" t="str">
        <f t="shared" si="3163"/>
        <v/>
      </c>
      <c r="DD1001" s="641">
        <f t="shared" si="3164"/>
        <v>10</v>
      </c>
      <c r="DE1001" s="95">
        <f t="shared" si="3165"/>
        <v>10</v>
      </c>
      <c r="DF1001" s="95">
        <f t="shared" si="3166"/>
        <v>10</v>
      </c>
      <c r="DG1001" s="95">
        <f t="shared" si="3167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413</v>
      </c>
      <c r="B1002" s="784">
        <f t="shared" ref="B1002:K1002" si="3226">B985-SUM(B988:B999)</f>
        <v>610</v>
      </c>
      <c r="C1002" s="784">
        <f t="shared" si="3226"/>
        <v>1651</v>
      </c>
      <c r="D1002" s="784">
        <f t="shared" si="3226"/>
        <v>5343.4000000000015</v>
      </c>
      <c r="E1002" s="784">
        <f t="shared" si="3226"/>
        <v>4822</v>
      </c>
      <c r="F1002" s="784">
        <f t="shared" si="3226"/>
        <v>684</v>
      </c>
      <c r="G1002" s="784">
        <f t="shared" si="3226"/>
        <v>126</v>
      </c>
      <c r="H1002" s="784">
        <f t="shared" si="3226"/>
        <v>226</v>
      </c>
      <c r="I1002" s="784">
        <f t="shared" si="3226"/>
        <v>-192</v>
      </c>
      <c r="J1002" s="784">
        <f t="shared" si="3226"/>
        <v>2024</v>
      </c>
      <c r="K1002" s="784">
        <f t="shared" si="3226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227">T985-SUM(T988:T999)</f>
        <v>-434.5</v>
      </c>
      <c r="U1002" s="784">
        <f t="shared" si="3227"/>
        <v>-1986.7999999999993</v>
      </c>
      <c r="V1002" s="784">
        <f t="shared" si="3227"/>
        <v>-1997.5999999999985</v>
      </c>
      <c r="W1002" s="784">
        <f t="shared" si="3227"/>
        <v>-192.59999999999854</v>
      </c>
      <c r="X1002" s="784">
        <f t="shared" si="3227"/>
        <v>-886.20000000000073</v>
      </c>
      <c r="Y1002" s="784">
        <f t="shared" si="3227"/>
        <v>1822</v>
      </c>
      <c r="Z1002" s="784">
        <f t="shared" si="3227"/>
        <v>-2106.9700000000012</v>
      </c>
      <c r="AA1002" s="784">
        <f t="shared" si="3227"/>
        <v>4613.7000000000007</v>
      </c>
      <c r="AB1002" s="784">
        <f t="shared" si="3227"/>
        <v>5532</v>
      </c>
      <c r="AC1002" s="784">
        <f t="shared" si="3227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228">AL985-SUM(AL988:AL999)</f>
        <v>1483</v>
      </c>
      <c r="AM1002" s="784">
        <f t="shared" si="3228"/>
        <v>2749</v>
      </c>
      <c r="AN1002" s="784">
        <f t="shared" si="3228"/>
        <v>725</v>
      </c>
      <c r="AO1002" s="784">
        <f t="shared" si="3228"/>
        <v>-623.59999999999854</v>
      </c>
      <c r="AP1002" s="784">
        <f t="shared" si="3228"/>
        <v>183.52000000000407</v>
      </c>
      <c r="AQ1002" s="784">
        <f t="shared" si="3228"/>
        <v>3668.1999999999971</v>
      </c>
      <c r="AR1002" s="784">
        <f t="shared" si="3228"/>
        <v>6315.5999999999985</v>
      </c>
      <c r="AS1002" s="784">
        <f t="shared" si="3228"/>
        <v>6515</v>
      </c>
      <c r="AT1002" s="784">
        <f t="shared" si="3228"/>
        <v>3430.5999999999985</v>
      </c>
      <c r="AU1002" s="784">
        <f t="shared" si="3228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229">BD985-SUM(BD988:BD999)</f>
        <v>21056.559999999998</v>
      </c>
      <c r="BE1002" s="784">
        <f t="shared" si="3229"/>
        <v>300</v>
      </c>
      <c r="BF1002" s="784">
        <f t="shared" si="3229"/>
        <v>1016.8000000000029</v>
      </c>
      <c r="BG1002" s="784">
        <f t="shared" si="3229"/>
        <v>4416.1300000000047</v>
      </c>
      <c r="BH1002" s="784">
        <f t="shared" si="3229"/>
        <v>12040.199999999997</v>
      </c>
      <c r="BI1002" s="784">
        <f t="shared" si="3229"/>
        <v>2934.5999999999985</v>
      </c>
      <c r="BJ1002" s="784">
        <f t="shared" si="3229"/>
        <v>35491.599999999999</v>
      </c>
      <c r="BK1002" s="784">
        <f t="shared" si="3229"/>
        <v>5975.5</v>
      </c>
      <c r="BL1002" s="784">
        <f t="shared" si="3229"/>
        <v>-1493.760000000002</v>
      </c>
      <c r="BM1002" s="784">
        <f t="shared" si="3229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-605</v>
      </c>
      <c r="BY1002" s="784">
        <f>BY985-SUM(BY988:BY999)</f>
        <v>778</v>
      </c>
      <c r="BZ1002" s="586">
        <f t="shared" si="3157"/>
        <v>1935.75</v>
      </c>
      <c r="CA1002" s="586">
        <f t="shared" si="3158"/>
        <v>798.11250000000064</v>
      </c>
      <c r="CB1002" s="586">
        <f t="shared" si="3159"/>
        <v>2755.6524999999997</v>
      </c>
      <c r="CC1002" s="586">
        <f t="shared" si="3160"/>
        <v>7564.5487500000027</v>
      </c>
      <c r="CD1002" s="1316">
        <f t="shared" si="3161"/>
        <v>-623.59999999999854</v>
      </c>
      <c r="CE1002" s="1317">
        <f t="shared" si="3161"/>
        <v>183.52000000000407</v>
      </c>
      <c r="CF1002" s="1317">
        <f t="shared" si="3161"/>
        <v>725</v>
      </c>
      <c r="CG1002" s="1317">
        <f t="shared" si="3161"/>
        <v>1483</v>
      </c>
      <c r="CH1002" s="1318">
        <f t="shared" si="3161"/>
        <v>2749</v>
      </c>
      <c r="CI1002" s="1318">
        <f t="shared" si="3161"/>
        <v>3430.5999999999985</v>
      </c>
      <c r="CJ1002" s="1317">
        <f t="shared" si="3161"/>
        <v>3490.2999999999993</v>
      </c>
      <c r="CK1002" s="1317">
        <f t="shared" si="3161"/>
        <v>3668.1999999999971</v>
      </c>
      <c r="CL1002" s="1317">
        <f t="shared" si="3161"/>
        <v>6315.5999999999985</v>
      </c>
      <c r="CM1002" s="1316">
        <f t="shared" si="3161"/>
        <v>6515</v>
      </c>
      <c r="CN1002" s="1331" t="str">
        <f t="shared" si="3162"/>
        <v/>
      </c>
      <c r="CO1002" s="1332" t="str">
        <f t="shared" si="3162"/>
        <v/>
      </c>
      <c r="CP1002" s="1332" t="str">
        <f t="shared" si="3162"/>
        <v/>
      </c>
      <c r="CQ1002" s="1332">
        <f t="shared" si="3162"/>
        <v>-1493.760000000002</v>
      </c>
      <c r="CR1002" s="1332">
        <f t="shared" si="3162"/>
        <v>300</v>
      </c>
      <c r="CS1002" s="1332">
        <f t="shared" si="3162"/>
        <v>1016.8000000000029</v>
      </c>
      <c r="CT1002" s="1333">
        <f t="shared" si="3162"/>
        <v>2934.5999999999985</v>
      </c>
      <c r="CU1002" s="1333">
        <f t="shared" si="3162"/>
        <v>4416.1300000000047</v>
      </c>
      <c r="CV1002" s="1333">
        <f t="shared" si="3162"/>
        <v>5975.5</v>
      </c>
      <c r="CW1002" s="1332">
        <f t="shared" si="3162"/>
        <v>12040.199999999997</v>
      </c>
      <c r="CX1002" s="1332">
        <f t="shared" si="3162"/>
        <v>12776.599999999999</v>
      </c>
      <c r="CY1002" s="1332">
        <f t="shared" si="3162"/>
        <v>21056.559999999998</v>
      </c>
      <c r="CZ1002" s="1332">
        <f t="shared" si="3162"/>
        <v>35491.599999999999</v>
      </c>
      <c r="DA1002" s="1332" t="str">
        <f t="shared" si="3162"/>
        <v/>
      </c>
      <c r="DB1002" s="1331" t="str">
        <f t="shared" si="3162"/>
        <v/>
      </c>
      <c r="DC1002" s="1382" t="str">
        <f t="shared" si="3163"/>
        <v/>
      </c>
      <c r="DD1002" s="641">
        <f t="shared" si="3164"/>
        <v>10</v>
      </c>
      <c r="DE1002" s="95">
        <f t="shared" si="3165"/>
        <v>10</v>
      </c>
      <c r="DF1002" s="95">
        <f t="shared" si="3166"/>
        <v>10</v>
      </c>
      <c r="DG1002" s="95">
        <f t="shared" si="3167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0"/>
      <c r="CE1003" s="1340"/>
      <c r="CF1003" s="1340"/>
      <c r="CG1003" s="1340"/>
      <c r="CH1003" s="1340"/>
      <c r="CI1003" s="1340"/>
      <c r="CJ1003" s="1340"/>
      <c r="CK1003" s="1340"/>
      <c r="CL1003" s="1340"/>
      <c r="CM1003" s="1340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230">SUM(B988:B1003)</f>
        <v>23160</v>
      </c>
      <c r="C1004" s="784">
        <f t="shared" si="3230"/>
        <v>29120</v>
      </c>
      <c r="D1004" s="784">
        <f t="shared" si="3230"/>
        <v>40825</v>
      </c>
      <c r="E1004" s="784">
        <f t="shared" si="3230"/>
        <v>43200</v>
      </c>
      <c r="F1004" s="784">
        <f t="shared" si="3230"/>
        <v>27140</v>
      </c>
      <c r="G1004" s="784">
        <f t="shared" si="3230"/>
        <v>27360</v>
      </c>
      <c r="H1004" s="784">
        <f t="shared" si="3230"/>
        <v>31080</v>
      </c>
      <c r="I1004" s="784">
        <f t="shared" si="3230"/>
        <v>15000</v>
      </c>
      <c r="J1004" s="784">
        <f t="shared" si="3230"/>
        <v>34800</v>
      </c>
      <c r="K1004" s="784">
        <f t="shared" si="3230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231">SUM(T988:T1003)</f>
        <v>22819.5</v>
      </c>
      <c r="U1004" s="784">
        <f t="shared" si="3231"/>
        <v>12491.2</v>
      </c>
      <c r="V1004" s="784">
        <f t="shared" si="3231"/>
        <v>19440</v>
      </c>
      <c r="W1004" s="784">
        <f t="shared" si="3231"/>
        <v>26040</v>
      </c>
      <c r="X1004" s="784">
        <f t="shared" si="3231"/>
        <v>26040</v>
      </c>
      <c r="Y1004" s="784">
        <f t="shared" si="3231"/>
        <v>37332</v>
      </c>
      <c r="Z1004" s="784">
        <f t="shared" si="3231"/>
        <v>36253.03</v>
      </c>
      <c r="AA1004" s="784">
        <f t="shared" si="3231"/>
        <v>29495.4</v>
      </c>
      <c r="AB1004" s="784">
        <f t="shared" si="3231"/>
        <v>33940</v>
      </c>
      <c r="AC1004" s="784">
        <f t="shared" si="3231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232">SUM(AL988:AL1003)</f>
        <v>36240</v>
      </c>
      <c r="AM1004" s="784">
        <f t="shared" si="3232"/>
        <v>46255</v>
      </c>
      <c r="AN1004" s="784">
        <f t="shared" si="3232"/>
        <v>37080</v>
      </c>
      <c r="AO1004" s="784">
        <f t="shared" si="3232"/>
        <v>51340</v>
      </c>
      <c r="AP1004" s="784">
        <f t="shared" si="3232"/>
        <v>40876</v>
      </c>
      <c r="AQ1004" s="784">
        <f t="shared" si="3232"/>
        <v>42851.199999999997</v>
      </c>
      <c r="AR1004" s="784">
        <f t="shared" si="3232"/>
        <v>49435</v>
      </c>
      <c r="AS1004" s="784">
        <f t="shared" si="3232"/>
        <v>37370</v>
      </c>
      <c r="AT1004" s="784">
        <f t="shared" si="3232"/>
        <v>22460</v>
      </c>
      <c r="AU1004" s="784">
        <f t="shared" si="3232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233">SUM(BD988:BD1003)</f>
        <v>94570</v>
      </c>
      <c r="BE1004" s="784">
        <f t="shared" si="3233"/>
        <v>44260</v>
      </c>
      <c r="BF1004" s="784">
        <f t="shared" si="3233"/>
        <v>65535</v>
      </c>
      <c r="BG1004" s="784">
        <f t="shared" si="3233"/>
        <v>45201.25</v>
      </c>
      <c r="BH1004" s="784">
        <f t="shared" si="3233"/>
        <v>65720</v>
      </c>
      <c r="BI1004" s="784">
        <f t="shared" si="3233"/>
        <v>47000</v>
      </c>
      <c r="BJ1004" s="784">
        <f t="shared" si="3233"/>
        <v>83540</v>
      </c>
      <c r="BK1004" s="784">
        <f t="shared" si="3233"/>
        <v>47720</v>
      </c>
      <c r="BL1004" s="784">
        <f t="shared" si="3233"/>
        <v>63790</v>
      </c>
      <c r="BM1004" s="784">
        <f t="shared" si="3233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34453</v>
      </c>
      <c r="BY1004" s="784">
        <f>SUM(BY988:BY1003)</f>
        <v>57746</v>
      </c>
      <c r="BZ1004" s="606"/>
      <c r="CA1004" s="606"/>
      <c r="CB1004" s="606"/>
      <c r="CC1004" s="606"/>
      <c r="CD1004" s="1340"/>
      <c r="CE1004" s="1340"/>
      <c r="CF1004" s="1340"/>
      <c r="CG1004" s="1340"/>
      <c r="CH1004" s="1340"/>
      <c r="CI1004" s="1340"/>
      <c r="CJ1004" s="1340"/>
      <c r="CK1004" s="1340"/>
      <c r="CL1004" s="1340"/>
      <c r="CM1004" s="1340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0"/>
      <c r="CE1005" s="1340"/>
      <c r="CF1005" s="1340"/>
      <c r="CG1005" s="1340"/>
      <c r="CH1005" s="1340"/>
      <c r="CI1005" s="1340"/>
      <c r="CJ1005" s="1340"/>
      <c r="CK1005" s="1340"/>
      <c r="CL1005" s="1340"/>
      <c r="CM1005" s="1340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0"/>
      <c r="CE1006" s="1340"/>
      <c r="CF1006" s="1340"/>
      <c r="CG1006" s="1340"/>
      <c r="CH1006" s="1340"/>
      <c r="CI1006" s="1340"/>
      <c r="CJ1006" s="1340"/>
      <c r="CK1006" s="1340"/>
      <c r="CL1006" s="1340"/>
      <c r="CM1006" s="1340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0"/>
      <c r="CE1007" s="1340"/>
      <c r="CF1007" s="1340"/>
      <c r="CG1007" s="1340"/>
      <c r="CH1007" s="1340"/>
      <c r="CI1007" s="1340"/>
      <c r="CJ1007" s="1340"/>
      <c r="CK1007" s="1340"/>
      <c r="CL1007" s="1340"/>
      <c r="CM1007" s="1340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0"/>
      <c r="CE1008" s="1340"/>
      <c r="CF1008" s="1340"/>
      <c r="CG1008" s="1340"/>
      <c r="CH1008" s="1340"/>
      <c r="CI1008" s="1340"/>
      <c r="CJ1008" s="1340"/>
      <c r="CK1008" s="1340"/>
      <c r="CL1008" s="1340"/>
      <c r="CM1008" s="1340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414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0"/>
      <c r="CE1009" s="1340"/>
      <c r="CF1009" s="1340"/>
      <c r="CG1009" s="1340"/>
      <c r="CH1009" s="1340"/>
      <c r="CI1009" s="1340"/>
      <c r="CJ1009" s="1340"/>
      <c r="CK1009" s="1340"/>
      <c r="CL1009" s="1340"/>
      <c r="CM1009" s="1340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415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0"/>
      <c r="CE1010" s="1340"/>
      <c r="CF1010" s="1340"/>
      <c r="CG1010" s="1340"/>
      <c r="CH1010" s="1340"/>
      <c r="CI1010" s="1340"/>
      <c r="CJ1010" s="1340"/>
      <c r="CK1010" s="1340"/>
      <c r="CL1010" s="1340"/>
      <c r="CM1010" s="1340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416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0"/>
      <c r="CE1011" s="1340"/>
      <c r="CF1011" s="1340"/>
      <c r="CG1011" s="1340"/>
      <c r="CH1011" s="1340"/>
      <c r="CI1011" s="1340"/>
      <c r="CJ1011" s="1340"/>
      <c r="CK1011" s="1340"/>
      <c r="CL1011" s="1340"/>
      <c r="CM1011" s="1340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417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0"/>
      <c r="CE1012" s="1340"/>
      <c r="CF1012" s="1340"/>
      <c r="CG1012" s="1340"/>
      <c r="CH1012" s="1340"/>
      <c r="CI1012" s="1340"/>
      <c r="CJ1012" s="1340"/>
      <c r="CK1012" s="1340"/>
      <c r="CL1012" s="1340"/>
      <c r="CM1012" s="1340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418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0"/>
      <c r="CE1013" s="1340"/>
      <c r="CF1013" s="1340"/>
      <c r="CG1013" s="1340"/>
      <c r="CH1013" s="1340"/>
      <c r="CI1013" s="1340"/>
      <c r="CJ1013" s="1340"/>
      <c r="CK1013" s="1340"/>
      <c r="CL1013" s="1340"/>
      <c r="CM1013" s="1340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419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0"/>
      <c r="CE1014" s="1340"/>
      <c r="CF1014" s="1340"/>
      <c r="CG1014" s="1340"/>
      <c r="CH1014" s="1340"/>
      <c r="CI1014" s="1340"/>
      <c r="CJ1014" s="1340"/>
      <c r="CK1014" s="1340"/>
      <c r="CL1014" s="1340"/>
      <c r="CM1014" s="1340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420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0"/>
      <c r="CE1015" s="1340"/>
      <c r="CF1015" s="1340"/>
      <c r="CG1015" s="1340"/>
      <c r="CH1015" s="1340"/>
      <c r="CI1015" s="1340"/>
      <c r="CJ1015" s="1340"/>
      <c r="CK1015" s="1340"/>
      <c r="CL1015" s="1340"/>
      <c r="CM1015" s="1340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421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0"/>
      <c r="CE1016" s="1340"/>
      <c r="CF1016" s="1340"/>
      <c r="CG1016" s="1340"/>
      <c r="CH1016" s="1340"/>
      <c r="CI1016" s="1340"/>
      <c r="CJ1016" s="1340"/>
      <c r="CK1016" s="1340"/>
      <c r="CL1016" s="1340"/>
      <c r="CM1016" s="1340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422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0"/>
      <c r="CE1017" s="1340"/>
      <c r="CF1017" s="1340"/>
      <c r="CG1017" s="1340"/>
      <c r="CH1017" s="1340"/>
      <c r="CI1017" s="1340"/>
      <c r="CJ1017" s="1340"/>
      <c r="CK1017" s="1340"/>
      <c r="CL1017" s="1340"/>
      <c r="CM1017" s="1340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0"/>
      <c r="CE1018" s="1340"/>
      <c r="CF1018" s="1340"/>
      <c r="CG1018" s="1340"/>
      <c r="CH1018" s="1340"/>
      <c r="CI1018" s="1340"/>
      <c r="CJ1018" s="1340"/>
      <c r="CK1018" s="1340"/>
      <c r="CL1018" s="1340"/>
      <c r="CM1018" s="1340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423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0"/>
      <c r="CE1019" s="1340"/>
      <c r="CF1019" s="1340"/>
      <c r="CG1019" s="1340"/>
      <c r="CH1019" s="1340"/>
      <c r="CI1019" s="1340"/>
      <c r="CJ1019" s="1340"/>
      <c r="CK1019" s="1340"/>
      <c r="CL1019" s="1340"/>
      <c r="CM1019" s="1340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424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0"/>
      <c r="CE1020" s="1340"/>
      <c r="CF1020" s="1340"/>
      <c r="CG1020" s="1340"/>
      <c r="CH1020" s="1340"/>
      <c r="CI1020" s="1340"/>
      <c r="CJ1020" s="1340"/>
      <c r="CK1020" s="1340"/>
      <c r="CL1020" s="1340"/>
      <c r="CM1020" s="1340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425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3621</v>
      </c>
      <c r="BY1021" s="594">
        <f>BY21</f>
        <v>5774</v>
      </c>
      <c r="BZ1021" s="606"/>
      <c r="CA1021" s="606"/>
      <c r="CB1021" s="606"/>
      <c r="CC1021" s="606"/>
      <c r="CD1021" s="1340"/>
      <c r="CE1021" s="1340"/>
      <c r="CF1021" s="1340"/>
      <c r="CG1021" s="1340"/>
      <c r="CH1021" s="1340"/>
      <c r="CI1021" s="1340"/>
      <c r="CJ1021" s="1340"/>
      <c r="CK1021" s="1340"/>
      <c r="CL1021" s="1340"/>
      <c r="CM1021" s="1340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426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0"/>
      <c r="CE1022" s="1340"/>
      <c r="CF1022" s="1340"/>
      <c r="CG1022" s="1340"/>
      <c r="CH1022" s="1340"/>
      <c r="CI1022" s="1340"/>
      <c r="CJ1022" s="1340"/>
      <c r="CK1022" s="1340"/>
      <c r="CL1022" s="1340"/>
      <c r="CM1022" s="1340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427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1.0678832918742217E-2</v>
      </c>
      <c r="BY1023" s="822">
        <f>IF(OR(BY1022=0,BY1022=""),"",BY1021/BY1022)</f>
        <v>1.5136292926525531E-2</v>
      </c>
      <c r="BZ1023" s="606"/>
      <c r="CA1023" s="606"/>
      <c r="CB1023" s="606"/>
      <c r="CC1023" s="606"/>
      <c r="CD1023" s="1340"/>
      <c r="CE1023" s="1340"/>
      <c r="CF1023" s="1340"/>
      <c r="CG1023" s="1340"/>
      <c r="CH1023" s="1340"/>
      <c r="CI1023" s="1340"/>
      <c r="CJ1023" s="1340"/>
      <c r="CK1023" s="1340"/>
      <c r="CL1023" s="1340"/>
      <c r="CM1023" s="1340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428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0.25056865623754665</v>
      </c>
      <c r="BY1024" s="822">
        <f>IF(BY1023="",BY1020,BY1020+BY1023)</f>
        <v>0.28373472436418978</v>
      </c>
      <c r="BZ1024" s="606"/>
      <c r="CA1024" s="606"/>
      <c r="CB1024" s="606"/>
      <c r="CC1024" s="606"/>
      <c r="CD1024" s="1340"/>
      <c r="CE1024" s="1340"/>
      <c r="CF1024" s="1340"/>
      <c r="CG1024" s="1340"/>
      <c r="CH1024" s="1340"/>
      <c r="CI1024" s="1340"/>
      <c r="CJ1024" s="1340"/>
      <c r="CK1024" s="1340"/>
      <c r="CL1024" s="1340"/>
      <c r="CM1024" s="1340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429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0.33409154165006222</v>
      </c>
      <c r="BY1025" s="822">
        <f>BY1024*BY46/6</f>
        <v>0.42560208654628467</v>
      </c>
      <c r="BZ1025" s="606"/>
      <c r="CA1025" s="606"/>
      <c r="CB1025" s="606"/>
      <c r="CC1025" s="606"/>
      <c r="CD1025" s="1340"/>
      <c r="CE1025" s="1340"/>
      <c r="CF1025" s="1340"/>
      <c r="CG1025" s="1340"/>
      <c r="CH1025" s="1340"/>
      <c r="CI1025" s="1340"/>
      <c r="CJ1025" s="1340"/>
      <c r="CK1025" s="1340"/>
      <c r="CL1025" s="1340"/>
      <c r="CM1025" s="1340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430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0.33409154165006222</v>
      </c>
      <c r="BY1026" s="822">
        <f>IF(OR(BY48=0,BY48=""),"",BY1025/SUM(BY48))</f>
        <v>0.42560208654628467</v>
      </c>
      <c r="BZ1026" s="606"/>
      <c r="CA1026" s="606"/>
      <c r="CB1026" s="606"/>
      <c r="CC1026" s="606"/>
      <c r="CD1026" s="1340"/>
      <c r="CE1026" s="1340"/>
      <c r="CF1026" s="1340"/>
      <c r="CG1026" s="1340"/>
      <c r="CH1026" s="1340"/>
      <c r="CI1026" s="1340"/>
      <c r="CJ1026" s="1340"/>
      <c r="CK1026" s="1340"/>
      <c r="CL1026" s="1340"/>
      <c r="CM1026" s="1340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431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0"/>
      <c r="CE1027" s="1340"/>
      <c r="CF1027" s="1340"/>
      <c r="CG1027" s="1340"/>
      <c r="CH1027" s="1340"/>
      <c r="CI1027" s="1340"/>
      <c r="CJ1027" s="1340"/>
      <c r="CK1027" s="1340"/>
      <c r="CL1027" s="1340"/>
      <c r="CM1027" s="1340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432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0"/>
      <c r="CE1028" s="1340"/>
      <c r="CF1028" s="1340"/>
      <c r="CG1028" s="1340"/>
      <c r="CH1028" s="1340"/>
      <c r="CI1028" s="1340"/>
      <c r="CJ1028" s="1340"/>
      <c r="CK1028" s="1340"/>
      <c r="CL1028" s="1340"/>
      <c r="CM1028" s="1340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433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0"/>
      <c r="CE1029" s="1340"/>
      <c r="CF1029" s="1340"/>
      <c r="CG1029" s="1340"/>
      <c r="CH1029" s="1340"/>
      <c r="CI1029" s="1340"/>
      <c r="CJ1029" s="1340"/>
      <c r="CK1029" s="1340"/>
      <c r="CL1029" s="1340"/>
      <c r="CM1029" s="1340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434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0.33409154165006222</v>
      </c>
      <c r="BY1030" s="824">
        <f>IF(OR(BY1029="",BY1029=0),"",BY1025/BY1029)</f>
        <v>0.42560208654628467</v>
      </c>
      <c r="BZ1030" s="606"/>
      <c r="CA1030" s="606"/>
      <c r="CB1030" s="606"/>
      <c r="CC1030" s="606"/>
      <c r="CD1030" s="1340"/>
      <c r="CE1030" s="1340"/>
      <c r="CF1030" s="1340"/>
      <c r="CG1030" s="1340"/>
      <c r="CH1030" s="1340"/>
      <c r="CI1030" s="1340"/>
      <c r="CJ1030" s="1340"/>
      <c r="CK1030" s="1340"/>
      <c r="CL1030" s="1340"/>
      <c r="CM1030" s="1340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08"/>
      <c r="CE1044" s="1308"/>
      <c r="CF1044" s="1308"/>
      <c r="CG1044" s="1308"/>
      <c r="CH1044" s="1308"/>
      <c r="CI1044" s="1308"/>
      <c r="CJ1044" s="1308"/>
      <c r="CK1044" s="1308"/>
      <c r="CL1044" s="1308"/>
      <c r="CM1044" s="1308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67" customWidth="1"/>
    <col min="37" max="37" width="1.83203125" style="1467" customWidth="1"/>
    <col min="38" max="54" width="8.83203125" style="1467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435</v>
      </c>
      <c r="B1" s="60"/>
      <c r="C1" s="60"/>
      <c r="D1" s="1425" t="s">
        <v>713</v>
      </c>
      <c r="E1" s="1426"/>
      <c r="F1" s="1426"/>
      <c r="G1" s="1418">
        <f>Data!G1</f>
        <v>8800</v>
      </c>
      <c r="H1" s="1419" t="str">
        <f>Data!H1</f>
        <v>kJ</v>
      </c>
      <c r="I1" s="1427"/>
      <c r="J1" s="1428" t="s">
        <v>737</v>
      </c>
      <c r="K1" s="142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67"/>
      <c r="U1" s="1567"/>
      <c r="V1" s="1567"/>
      <c r="W1" s="1567"/>
      <c r="X1" s="1567"/>
      <c r="Y1" s="1567"/>
      <c r="Z1" s="1567"/>
      <c r="AA1" s="1567"/>
      <c r="AB1" s="1567"/>
      <c r="AC1" s="1567"/>
      <c r="AD1" s="1567"/>
      <c r="AE1" s="1567"/>
      <c r="AF1" s="1567"/>
      <c r="AG1" s="1567"/>
      <c r="AH1" s="1567"/>
      <c r="AI1" s="1567"/>
      <c r="AJ1" s="1567"/>
      <c r="AK1" s="1567"/>
      <c r="AL1" s="1567"/>
      <c r="AM1" s="1567"/>
      <c r="AN1" s="1567"/>
      <c r="AO1" s="1567"/>
      <c r="AP1" s="1567"/>
      <c r="AQ1" s="1567"/>
      <c r="AR1" s="1567"/>
      <c r="AS1" s="1567"/>
      <c r="AT1" s="1567"/>
      <c r="AU1" s="1567"/>
      <c r="AV1" s="1567"/>
      <c r="AW1" s="1567"/>
      <c r="AX1" s="1567"/>
      <c r="AY1" s="1567"/>
      <c r="AZ1" s="1567"/>
      <c r="BA1" s="1567"/>
      <c r="BB1" s="1567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67"/>
      <c r="U2" s="1567"/>
      <c r="V2" s="1567"/>
      <c r="W2" s="1567"/>
      <c r="X2" s="1567"/>
      <c r="Y2" s="1567"/>
      <c r="Z2" s="1567"/>
      <c r="AA2" s="1567"/>
      <c r="AB2" s="1567"/>
      <c r="AC2" s="1567"/>
      <c r="AD2" s="1567"/>
      <c r="AE2" s="1567"/>
      <c r="AF2" s="1567"/>
      <c r="AG2" s="1567"/>
      <c r="AH2" s="1567"/>
      <c r="AI2" s="1567"/>
      <c r="AJ2" s="1567"/>
      <c r="AK2" s="1567"/>
      <c r="AL2" s="1567"/>
      <c r="AM2" s="1567"/>
      <c r="AN2" s="1567"/>
      <c r="AO2" s="1567"/>
      <c r="AP2" s="1567"/>
      <c r="AQ2" s="1567"/>
      <c r="AR2" s="1567"/>
      <c r="AS2" s="1567"/>
      <c r="AT2" s="1567"/>
      <c r="AU2" s="1567"/>
      <c r="AV2" s="1567"/>
      <c r="AW2" s="1567"/>
      <c r="AX2" s="1567"/>
      <c r="AY2" s="1567"/>
      <c r="AZ2" s="1567"/>
      <c r="BA2" s="1567"/>
      <c r="BB2" s="1567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602" t="s">
        <v>50</v>
      </c>
      <c r="DR4" s="1602"/>
      <c r="DS4" s="1602"/>
      <c r="DT4" s="1602"/>
      <c r="DU4" s="1602"/>
      <c r="DV4" s="1602"/>
      <c r="DW4" s="1602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684</v>
      </c>
      <c r="BW5" s="435"/>
      <c r="BX5" s="435"/>
      <c r="BY5" s="435"/>
      <c r="BZ5" s="858"/>
      <c r="CA5" s="858"/>
      <c r="CB5" s="858"/>
      <c r="CC5" s="859"/>
      <c r="CD5" s="1603" t="s">
        <v>47</v>
      </c>
      <c r="CE5" s="1603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604" t="s">
        <v>48</v>
      </c>
      <c r="CT5" s="1604"/>
      <c r="CU5" s="1605" t="s">
        <v>47</v>
      </c>
      <c r="CV5" s="1605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601" t="s">
        <v>48</v>
      </c>
      <c r="DK5" s="1601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68"/>
      <c r="U7" s="1568"/>
      <c r="V7" s="1568"/>
      <c r="W7" s="1568"/>
      <c r="X7" s="1568"/>
      <c r="Y7" s="1568"/>
      <c r="Z7" s="1568"/>
      <c r="AA7" s="1568"/>
      <c r="AB7" s="1568"/>
      <c r="AC7" s="1568"/>
      <c r="AD7" s="1568"/>
      <c r="AE7" s="1568"/>
      <c r="AF7" s="1568"/>
      <c r="AG7" s="1568"/>
      <c r="AH7" s="1568"/>
      <c r="AI7" s="1568"/>
      <c r="AJ7" s="1568"/>
      <c r="AK7" s="1569"/>
      <c r="AL7" s="1568"/>
      <c r="AM7" s="1568"/>
      <c r="AN7" s="1568"/>
      <c r="AO7" s="1568"/>
      <c r="AP7" s="1568"/>
      <c r="AQ7" s="1568"/>
      <c r="AR7" s="1568"/>
      <c r="AS7" s="1568"/>
      <c r="AT7" s="1568"/>
      <c r="AU7" s="1568"/>
      <c r="AV7" s="1568"/>
      <c r="AW7" s="1568"/>
      <c r="AX7" s="1568"/>
      <c r="AY7" s="1568"/>
      <c r="AZ7" s="1568"/>
      <c r="BA7" s="1568"/>
      <c r="BB7" s="1568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436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0"/>
      <c r="U8" s="1570"/>
      <c r="V8" s="1570"/>
      <c r="W8" s="1570"/>
      <c r="X8" s="1570"/>
      <c r="Y8" s="1570"/>
      <c r="Z8" s="1570"/>
      <c r="AA8" s="1570"/>
      <c r="AB8" s="1570"/>
      <c r="AC8" s="1570"/>
      <c r="AD8" s="1570"/>
      <c r="AE8" s="1570"/>
      <c r="AF8" s="1570"/>
      <c r="AG8" s="1570"/>
      <c r="AH8" s="1570"/>
      <c r="AI8" s="1570"/>
      <c r="AJ8" s="1570"/>
      <c r="AK8" s="1569"/>
      <c r="AL8" s="1570"/>
      <c r="AM8" s="1570"/>
      <c r="AN8" s="1570"/>
      <c r="AO8" s="1570"/>
      <c r="AP8" s="1570"/>
      <c r="AQ8" s="1570"/>
      <c r="AR8" s="1570"/>
      <c r="AS8" s="1570"/>
      <c r="AT8" s="1570"/>
      <c r="AU8" s="1570"/>
      <c r="AV8" s="1570"/>
      <c r="AW8" s="1570"/>
      <c r="AX8" s="1570"/>
      <c r="AY8" s="1570"/>
      <c r="AZ8" s="1570"/>
      <c r="BA8" s="1570"/>
      <c r="BB8" s="15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58"/>
      <c r="BW8" s="1358"/>
      <c r="BX8" s="1358"/>
      <c r="BY8" s="1358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437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1"/>
      <c r="U9" s="1571"/>
      <c r="V9" s="1571"/>
      <c r="W9" s="1571"/>
      <c r="X9" s="1571"/>
      <c r="Y9" s="1571"/>
      <c r="Z9" s="1571"/>
      <c r="AA9" s="1571"/>
      <c r="AB9" s="1571"/>
      <c r="AC9" s="1571"/>
      <c r="AD9" s="1571"/>
      <c r="AE9" s="1571"/>
      <c r="AF9" s="1571"/>
      <c r="AG9" s="1571"/>
      <c r="AH9" s="1571"/>
      <c r="AI9" s="1571"/>
      <c r="AJ9" s="1571"/>
      <c r="AK9" s="1569"/>
      <c r="AL9" s="1571"/>
      <c r="AM9" s="1571"/>
      <c r="AN9" s="1571"/>
      <c r="AO9" s="1571"/>
      <c r="AP9" s="1571"/>
      <c r="AQ9" s="1571"/>
      <c r="AR9" s="1571"/>
      <c r="AS9" s="1571"/>
      <c r="AT9" s="1571"/>
      <c r="AU9" s="1571"/>
      <c r="AV9" s="1571"/>
      <c r="AW9" s="1571"/>
      <c r="AX9" s="1571"/>
      <c r="AY9" s="1571"/>
      <c r="AZ9" s="1571"/>
      <c r="BA9" s="1571"/>
      <c r="BB9" s="1571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297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1"/>
      <c r="U10" s="1571"/>
      <c r="V10" s="1571"/>
      <c r="W10" s="1571"/>
      <c r="X10" s="1571"/>
      <c r="Y10" s="1571"/>
      <c r="Z10" s="1571"/>
      <c r="AA10" s="1571"/>
      <c r="AB10" s="1571"/>
      <c r="AC10" s="1571"/>
      <c r="AD10" s="1571"/>
      <c r="AE10" s="1571"/>
      <c r="AF10" s="1571"/>
      <c r="AG10" s="1571"/>
      <c r="AH10" s="1571"/>
      <c r="AI10" s="1571"/>
      <c r="AJ10" s="1571"/>
      <c r="AK10" s="1569"/>
      <c r="AL10" s="1571"/>
      <c r="AM10" s="1571"/>
      <c r="AN10" s="1571"/>
      <c r="AO10" s="1571">
        <v>1</v>
      </c>
      <c r="AP10" s="1571"/>
      <c r="AQ10" s="1571"/>
      <c r="AR10" s="1571"/>
      <c r="AS10" s="1571">
        <v>1</v>
      </c>
      <c r="AT10" s="1571"/>
      <c r="AU10" s="1571"/>
      <c r="AV10" s="1571"/>
      <c r="AW10" s="1571"/>
      <c r="AX10" s="1571"/>
      <c r="AY10" s="1571"/>
      <c r="AZ10" s="1571"/>
      <c r="BA10" s="1571"/>
      <c r="BB10" s="1571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298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2"/>
      <c r="U11" s="1572"/>
      <c r="V11" s="1572"/>
      <c r="W11" s="1572"/>
      <c r="X11" s="1572"/>
      <c r="Y11" s="1572"/>
      <c r="Z11" s="1572"/>
      <c r="AA11" s="1572"/>
      <c r="AB11" s="1572"/>
      <c r="AC11" s="1572"/>
      <c r="AD11" s="1572"/>
      <c r="AE11" s="1572"/>
      <c r="AF11" s="1572"/>
      <c r="AG11" s="1572"/>
      <c r="AH11" s="1572"/>
      <c r="AI11" s="1572"/>
      <c r="AJ11" s="1572"/>
      <c r="AK11" s="1569"/>
      <c r="AL11" s="1572"/>
      <c r="AM11" s="1572"/>
      <c r="AN11" s="1572"/>
      <c r="AO11" s="1572">
        <v>1</v>
      </c>
      <c r="AP11" s="1572"/>
      <c r="AQ11" s="1572"/>
      <c r="AR11" s="1572"/>
      <c r="AS11" s="1572">
        <v>3</v>
      </c>
      <c r="AT11" s="1572"/>
      <c r="AU11" s="1572"/>
      <c r="AV11" s="1572"/>
      <c r="AW11" s="1572"/>
      <c r="AX11" s="1572"/>
      <c r="AY11" s="1572"/>
      <c r="AZ11" s="1572"/>
      <c r="BA11" s="1572"/>
      <c r="BB11" s="1572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283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2"/>
      <c r="U12" s="1572"/>
      <c r="V12" s="1572"/>
      <c r="W12" s="1572"/>
      <c r="X12" s="1572"/>
      <c r="Y12" s="1572"/>
      <c r="Z12" s="1572"/>
      <c r="AA12" s="1572"/>
      <c r="AB12" s="1572"/>
      <c r="AC12" s="1572"/>
      <c r="AD12" s="1572"/>
      <c r="AE12" s="1572"/>
      <c r="AF12" s="1572"/>
      <c r="AG12" s="1572"/>
      <c r="AH12" s="1572"/>
      <c r="AI12" s="1572"/>
      <c r="AJ12" s="1572"/>
      <c r="AK12" s="1569"/>
      <c r="AL12" s="1572"/>
      <c r="AM12" s="1572"/>
      <c r="AN12" s="1572"/>
      <c r="AO12" s="1572">
        <v>2</v>
      </c>
      <c r="AP12" s="1572"/>
      <c r="AQ12" s="1572"/>
      <c r="AR12" s="1572"/>
      <c r="AS12" s="1572">
        <v>2</v>
      </c>
      <c r="AT12" s="1572"/>
      <c r="AU12" s="1572"/>
      <c r="AV12" s="1572"/>
      <c r="AW12" s="1572"/>
      <c r="AX12" s="1572"/>
      <c r="AY12" s="1572"/>
      <c r="AZ12" s="1572"/>
      <c r="BA12" s="1572"/>
      <c r="BB12" s="1572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314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2"/>
      <c r="U13" s="1572"/>
      <c r="V13" s="1572"/>
      <c r="W13" s="1572"/>
      <c r="X13" s="1572"/>
      <c r="Y13" s="1572"/>
      <c r="Z13" s="1572"/>
      <c r="AA13" s="1572"/>
      <c r="AB13" s="1572"/>
      <c r="AC13" s="1572"/>
      <c r="AD13" s="1572"/>
      <c r="AE13" s="1572"/>
      <c r="AF13" s="1572"/>
      <c r="AG13" s="1572"/>
      <c r="AH13" s="1572"/>
      <c r="AI13" s="1572"/>
      <c r="AJ13" s="1572"/>
      <c r="AK13" s="1569"/>
      <c r="AL13" s="1572"/>
      <c r="AM13" s="1572"/>
      <c r="AN13" s="1572"/>
      <c r="AO13" s="1572">
        <v>500</v>
      </c>
      <c r="AP13" s="1572"/>
      <c r="AQ13" s="1572"/>
      <c r="AR13" s="1572"/>
      <c r="AS13" s="1572">
        <v>30</v>
      </c>
      <c r="AT13" s="1572"/>
      <c r="AU13" s="1572"/>
      <c r="AV13" s="1572"/>
      <c r="AW13" s="1572"/>
      <c r="AX13" s="1572"/>
      <c r="AY13" s="1572"/>
      <c r="AZ13" s="1572"/>
      <c r="BA13" s="1572"/>
      <c r="BB13" s="1572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315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3" t="str">
        <f t="shared" ref="T14:AJ14" si="4">IF(T11="","",T10*T11*T12*T13)</f>
        <v/>
      </c>
      <c r="U14" s="1573" t="str">
        <f t="shared" si="4"/>
        <v/>
      </c>
      <c r="V14" s="1573" t="str">
        <f t="shared" si="4"/>
        <v/>
      </c>
      <c r="W14" s="1573" t="str">
        <f t="shared" si="4"/>
        <v/>
      </c>
      <c r="X14" s="1573" t="str">
        <f t="shared" si="4"/>
        <v/>
      </c>
      <c r="Y14" s="1573" t="str">
        <f t="shared" si="4"/>
        <v/>
      </c>
      <c r="Z14" s="1573" t="str">
        <f t="shared" si="4"/>
        <v/>
      </c>
      <c r="AA14" s="1573" t="str">
        <f t="shared" si="4"/>
        <v/>
      </c>
      <c r="AB14" s="1573" t="str">
        <f t="shared" si="4"/>
        <v/>
      </c>
      <c r="AC14" s="1573" t="str">
        <f t="shared" si="4"/>
        <v/>
      </c>
      <c r="AD14" s="1573" t="str">
        <f t="shared" si="4"/>
        <v/>
      </c>
      <c r="AE14" s="1573" t="str">
        <f t="shared" si="4"/>
        <v/>
      </c>
      <c r="AF14" s="1573" t="str">
        <f t="shared" si="4"/>
        <v/>
      </c>
      <c r="AG14" s="1573" t="str">
        <f t="shared" si="4"/>
        <v/>
      </c>
      <c r="AH14" s="1573" t="str">
        <f t="shared" si="4"/>
        <v/>
      </c>
      <c r="AI14" s="1573" t="str">
        <f t="shared" si="4"/>
        <v/>
      </c>
      <c r="AJ14" s="1573" t="str">
        <f t="shared" si="4"/>
        <v/>
      </c>
      <c r="AK14" s="1569"/>
      <c r="AL14" s="1573" t="str">
        <f t="shared" ref="AL14:BB14" si="5">IF(AL11="","",AL10*AL11*AL12*AL13)</f>
        <v/>
      </c>
      <c r="AM14" s="1573" t="str">
        <f t="shared" si="5"/>
        <v/>
      </c>
      <c r="AN14" s="1573" t="str">
        <f t="shared" si="5"/>
        <v/>
      </c>
      <c r="AO14" s="1573">
        <f t="shared" si="5"/>
        <v>1000</v>
      </c>
      <c r="AP14" s="1573" t="str">
        <f t="shared" si="5"/>
        <v/>
      </c>
      <c r="AQ14" s="1573" t="str">
        <f t="shared" si="5"/>
        <v/>
      </c>
      <c r="AR14" s="1573" t="str">
        <f t="shared" si="5"/>
        <v/>
      </c>
      <c r="AS14" s="1573">
        <f t="shared" si="5"/>
        <v>180</v>
      </c>
      <c r="AT14" s="1573" t="str">
        <f t="shared" si="5"/>
        <v/>
      </c>
      <c r="AU14" s="1573" t="str">
        <f t="shared" si="5"/>
        <v/>
      </c>
      <c r="AV14" s="1573" t="str">
        <f t="shared" si="5"/>
        <v/>
      </c>
      <c r="AW14" s="1573" t="str">
        <f t="shared" si="5"/>
        <v/>
      </c>
      <c r="AX14" s="1573" t="str">
        <f t="shared" si="5"/>
        <v/>
      </c>
      <c r="AY14" s="1573" t="str">
        <f t="shared" si="5"/>
        <v/>
      </c>
      <c r="AZ14" s="1573" t="str">
        <f t="shared" si="5"/>
        <v/>
      </c>
      <c r="BA14" s="1573" t="str">
        <f t="shared" si="5"/>
        <v/>
      </c>
      <c r="BB14" s="1573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438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1"/>
      <c r="U15" s="1571"/>
      <c r="V15" s="1571"/>
      <c r="W15" s="1571"/>
      <c r="X15" s="1571"/>
      <c r="Y15" s="1571"/>
      <c r="Z15" s="1571"/>
      <c r="AA15" s="1571"/>
      <c r="AB15" s="1571"/>
      <c r="AC15" s="1571"/>
      <c r="AD15" s="1571"/>
      <c r="AE15" s="1571"/>
      <c r="AF15" s="1571"/>
      <c r="AG15" s="1571"/>
      <c r="AH15" s="1571"/>
      <c r="AI15" s="1571"/>
      <c r="AJ15" s="1571"/>
      <c r="AK15" s="1569"/>
      <c r="AL15" s="1571"/>
      <c r="AM15" s="1571"/>
      <c r="AN15" s="1571"/>
      <c r="AO15" s="1571"/>
      <c r="AP15" s="1571"/>
      <c r="AQ15" s="1571"/>
      <c r="AR15" s="1571"/>
      <c r="AS15" s="1571"/>
      <c r="AT15" s="1571"/>
      <c r="AU15" s="1571"/>
      <c r="AV15" s="1571"/>
      <c r="AW15" s="1571"/>
      <c r="AX15" s="1571"/>
      <c r="AY15" s="1571"/>
      <c r="AZ15" s="1571"/>
      <c r="BA15" s="1571"/>
      <c r="BB15" s="1571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297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1"/>
      <c r="U16" s="1571"/>
      <c r="V16" s="1571"/>
      <c r="W16" s="1571"/>
      <c r="X16" s="1571"/>
      <c r="Y16" s="1571"/>
      <c r="Z16" s="1571"/>
      <c r="AA16" s="1571">
        <v>1</v>
      </c>
      <c r="AB16" s="1571"/>
      <c r="AC16" s="1571">
        <v>1</v>
      </c>
      <c r="AD16" s="1571"/>
      <c r="AE16" s="1571"/>
      <c r="AF16" s="1571"/>
      <c r="AG16" s="1571"/>
      <c r="AH16" s="1571"/>
      <c r="AI16" s="1571"/>
      <c r="AJ16" s="1571"/>
      <c r="AK16" s="1569"/>
      <c r="AL16" s="1571"/>
      <c r="AM16" s="1571"/>
      <c r="AN16" s="1571"/>
      <c r="AO16" s="1571"/>
      <c r="AP16" s="1571"/>
      <c r="AQ16" s="1571"/>
      <c r="AR16" s="1571">
        <v>1</v>
      </c>
      <c r="AS16" s="1571"/>
      <c r="AT16" s="1571"/>
      <c r="AU16" s="1571"/>
      <c r="AV16" s="1571"/>
      <c r="AW16" s="1571"/>
      <c r="AX16" s="1571"/>
      <c r="AY16" s="1571"/>
      <c r="AZ16" s="1571"/>
      <c r="BA16" s="1571"/>
      <c r="BB16" s="1571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298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2"/>
      <c r="U17" s="1572"/>
      <c r="V17" s="1572"/>
      <c r="W17" s="1572"/>
      <c r="X17" s="1572"/>
      <c r="Y17" s="1572"/>
      <c r="Z17" s="1572"/>
      <c r="AA17" s="1572">
        <v>8</v>
      </c>
      <c r="AB17" s="1572"/>
      <c r="AC17" s="1572">
        <v>7</v>
      </c>
      <c r="AD17" s="1572"/>
      <c r="AE17" s="1572"/>
      <c r="AF17" s="1572"/>
      <c r="AG17" s="1572"/>
      <c r="AH17" s="1572"/>
      <c r="AI17" s="1572"/>
      <c r="AJ17" s="1572"/>
      <c r="AK17" s="1569"/>
      <c r="AL17" s="1572"/>
      <c r="AM17" s="1572"/>
      <c r="AN17" s="1572"/>
      <c r="AO17" s="1572"/>
      <c r="AP17" s="1572"/>
      <c r="AQ17" s="1572"/>
      <c r="AR17" s="1572">
        <v>3</v>
      </c>
      <c r="AS17" s="1572"/>
      <c r="AT17" s="1572"/>
      <c r="AU17" s="1572"/>
      <c r="AV17" s="1572"/>
      <c r="AW17" s="1572"/>
      <c r="AX17" s="1572"/>
      <c r="AY17" s="1572"/>
      <c r="AZ17" s="1572"/>
      <c r="BA17" s="1572"/>
      <c r="BB17" s="1572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283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2"/>
      <c r="U18" s="1572"/>
      <c r="V18" s="1572"/>
      <c r="W18" s="1572"/>
      <c r="X18" s="1572"/>
      <c r="Y18" s="1572"/>
      <c r="Z18" s="1572"/>
      <c r="AA18" s="1572">
        <v>2.5</v>
      </c>
      <c r="AB18" s="1572"/>
      <c r="AC18" s="1572">
        <v>3</v>
      </c>
      <c r="AD18" s="1572"/>
      <c r="AE18" s="1572"/>
      <c r="AF18" s="1572"/>
      <c r="AG18" s="1572"/>
      <c r="AH18" s="1572"/>
      <c r="AI18" s="1572"/>
      <c r="AJ18" s="1572"/>
      <c r="AK18" s="1569"/>
      <c r="AL18" s="1572"/>
      <c r="AM18" s="1572"/>
      <c r="AN18" s="1572"/>
      <c r="AO18" s="1572"/>
      <c r="AP18" s="1572"/>
      <c r="AQ18" s="1572"/>
      <c r="AR18" s="1572">
        <v>3</v>
      </c>
      <c r="AS18" s="1572"/>
      <c r="AT18" s="1572"/>
      <c r="AU18" s="1572"/>
      <c r="AV18" s="1572"/>
      <c r="AW18" s="1572"/>
      <c r="AX18" s="1572"/>
      <c r="AY18" s="1572"/>
      <c r="AZ18" s="1572"/>
      <c r="BA18" s="1572"/>
      <c r="BB18" s="1572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314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2"/>
      <c r="U19" s="1572"/>
      <c r="V19" s="1572"/>
      <c r="W19" s="1572"/>
      <c r="X19" s="1572"/>
      <c r="Y19" s="1572"/>
      <c r="Z19" s="1572"/>
      <c r="AA19" s="1572">
        <v>25</v>
      </c>
      <c r="AB19" s="1572"/>
      <c r="AC19" s="1572">
        <v>57</v>
      </c>
      <c r="AD19" s="1572"/>
      <c r="AE19" s="1572"/>
      <c r="AF19" s="1572"/>
      <c r="AG19" s="1572"/>
      <c r="AH19" s="1572"/>
      <c r="AI19" s="1572"/>
      <c r="AJ19" s="1572"/>
      <c r="AK19" s="1569"/>
      <c r="AL19" s="1572"/>
      <c r="AM19" s="1572"/>
      <c r="AN19" s="1572"/>
      <c r="AO19" s="1572"/>
      <c r="AP19" s="1572"/>
      <c r="AQ19" s="1572"/>
      <c r="AR19" s="1572">
        <v>500</v>
      </c>
      <c r="AS19" s="1572"/>
      <c r="AT19" s="1572"/>
      <c r="AU19" s="1572"/>
      <c r="AV19" s="1572"/>
      <c r="AW19" s="1572"/>
      <c r="AX19" s="1572"/>
      <c r="AY19" s="1572"/>
      <c r="AZ19" s="1572"/>
      <c r="BA19" s="1572"/>
      <c r="BB19" s="1572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3" t="str">
        <f t="shared" ref="T20:AJ20" si="10">IF(T17="","",T16*T17*T18*T19)</f>
        <v/>
      </c>
      <c r="U20" s="1573" t="str">
        <f t="shared" si="10"/>
        <v/>
      </c>
      <c r="V20" s="1573" t="str">
        <f t="shared" si="10"/>
        <v/>
      </c>
      <c r="W20" s="1573" t="str">
        <f t="shared" si="10"/>
        <v/>
      </c>
      <c r="X20" s="1573" t="str">
        <f t="shared" si="10"/>
        <v/>
      </c>
      <c r="Y20" s="1573" t="str">
        <f t="shared" si="10"/>
        <v/>
      </c>
      <c r="Z20" s="1573" t="str">
        <f t="shared" si="10"/>
        <v/>
      </c>
      <c r="AA20" s="1573">
        <f t="shared" si="10"/>
        <v>500</v>
      </c>
      <c r="AB20" s="1573" t="str">
        <f t="shared" si="10"/>
        <v/>
      </c>
      <c r="AC20" s="1573">
        <f t="shared" si="10"/>
        <v>1197</v>
      </c>
      <c r="AD20" s="1573" t="str">
        <f t="shared" si="10"/>
        <v/>
      </c>
      <c r="AE20" s="1573" t="str">
        <f t="shared" si="10"/>
        <v/>
      </c>
      <c r="AF20" s="1573" t="str">
        <f t="shared" si="10"/>
        <v/>
      </c>
      <c r="AG20" s="1573" t="str">
        <f t="shared" si="10"/>
        <v/>
      </c>
      <c r="AH20" s="1573" t="str">
        <f t="shared" si="10"/>
        <v/>
      </c>
      <c r="AI20" s="1573" t="str">
        <f t="shared" si="10"/>
        <v/>
      </c>
      <c r="AJ20" s="1573" t="str">
        <f t="shared" si="10"/>
        <v/>
      </c>
      <c r="AK20" s="1569"/>
      <c r="AL20" s="1573" t="str">
        <f t="shared" ref="AL20:BB20" si="11">IF(AL17="","",AL16*AL17*AL18*AL19)</f>
        <v/>
      </c>
      <c r="AM20" s="1573" t="str">
        <f t="shared" si="11"/>
        <v/>
      </c>
      <c r="AN20" s="1573" t="str">
        <f t="shared" si="11"/>
        <v/>
      </c>
      <c r="AO20" s="1573" t="str">
        <f t="shared" si="11"/>
        <v/>
      </c>
      <c r="AP20" s="1573" t="str">
        <f t="shared" si="11"/>
        <v/>
      </c>
      <c r="AQ20" s="1573" t="str">
        <f t="shared" si="11"/>
        <v/>
      </c>
      <c r="AR20" s="1573">
        <f t="shared" si="11"/>
        <v>4500</v>
      </c>
      <c r="AS20" s="1573" t="str">
        <f t="shared" si="11"/>
        <v/>
      </c>
      <c r="AT20" s="1573" t="str">
        <f t="shared" si="11"/>
        <v/>
      </c>
      <c r="AU20" s="1573" t="str">
        <f t="shared" si="11"/>
        <v/>
      </c>
      <c r="AV20" s="1573" t="str">
        <f t="shared" si="11"/>
        <v/>
      </c>
      <c r="AW20" s="1573" t="str">
        <f t="shared" si="11"/>
        <v/>
      </c>
      <c r="AX20" s="1573" t="str">
        <f t="shared" si="11"/>
        <v/>
      </c>
      <c r="AY20" s="1573" t="str">
        <f t="shared" si="11"/>
        <v/>
      </c>
      <c r="AZ20" s="1573" t="str">
        <f t="shared" si="11"/>
        <v/>
      </c>
      <c r="BA20" s="1573" t="str">
        <f t="shared" si="11"/>
        <v/>
      </c>
      <c r="BB20" s="1573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439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1"/>
      <c r="U21" s="1571"/>
      <c r="V21" s="1571"/>
      <c r="W21" s="1571"/>
      <c r="X21" s="1571"/>
      <c r="Y21" s="1571"/>
      <c r="Z21" s="1571"/>
      <c r="AA21" s="1571"/>
      <c r="AB21" s="1571"/>
      <c r="AC21" s="1571"/>
      <c r="AD21" s="1571"/>
      <c r="AE21" s="1571"/>
      <c r="AF21" s="1571"/>
      <c r="AG21" s="1571"/>
      <c r="AH21" s="1571"/>
      <c r="AI21" s="1571"/>
      <c r="AJ21" s="1571"/>
      <c r="AK21" s="1569"/>
      <c r="AL21" s="1571"/>
      <c r="AM21" s="1571"/>
      <c r="AN21" s="1571"/>
      <c r="AO21" s="1571"/>
      <c r="AP21" s="1571"/>
      <c r="AQ21" s="1571"/>
      <c r="AR21" s="1571"/>
      <c r="AS21" s="1571"/>
      <c r="AT21" s="1571"/>
      <c r="AU21" s="1571"/>
      <c r="AV21" s="1571"/>
      <c r="AW21" s="1571"/>
      <c r="AX21" s="1571"/>
      <c r="AY21" s="1571"/>
      <c r="AZ21" s="1571"/>
      <c r="BA21" s="1571"/>
      <c r="BB21" s="1571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297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1"/>
      <c r="U22" s="1571">
        <v>2</v>
      </c>
      <c r="V22" s="1571">
        <v>2</v>
      </c>
      <c r="W22" s="1571"/>
      <c r="X22" s="1571"/>
      <c r="Y22" s="1571"/>
      <c r="Z22" s="1571"/>
      <c r="AA22" s="1571">
        <v>3</v>
      </c>
      <c r="AB22" s="1571"/>
      <c r="AC22" s="1571">
        <v>2</v>
      </c>
      <c r="AD22" s="1571"/>
      <c r="AE22" s="1571"/>
      <c r="AF22" s="1571"/>
      <c r="AG22" s="1571"/>
      <c r="AH22" s="1571"/>
      <c r="AI22" s="1571"/>
      <c r="AJ22" s="1571"/>
      <c r="AK22" s="1569"/>
      <c r="AL22" s="1571"/>
      <c r="AM22" s="1571"/>
      <c r="AN22" s="1571">
        <v>1</v>
      </c>
      <c r="AO22" s="1571"/>
      <c r="AP22" s="1571"/>
      <c r="AQ22" s="1571"/>
      <c r="AR22" s="1571"/>
      <c r="AS22" s="1571"/>
      <c r="AT22" s="1571"/>
      <c r="AU22" s="1571"/>
      <c r="AV22" s="1571"/>
      <c r="AW22" s="1571"/>
      <c r="AX22" s="1571"/>
      <c r="AY22" s="1571"/>
      <c r="AZ22" s="1571"/>
      <c r="BA22" s="1571"/>
      <c r="BB22" s="1571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298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2"/>
      <c r="U23" s="1572">
        <v>5</v>
      </c>
      <c r="V23" s="1572">
        <v>3</v>
      </c>
      <c r="W23" s="1572"/>
      <c r="X23" s="1572"/>
      <c r="Y23" s="1572"/>
      <c r="Z23" s="1572"/>
      <c r="AA23" s="1572">
        <v>8</v>
      </c>
      <c r="AB23" s="1572"/>
      <c r="AC23" s="1572">
        <v>7</v>
      </c>
      <c r="AD23" s="1572"/>
      <c r="AE23" s="1572"/>
      <c r="AF23" s="1572"/>
      <c r="AG23" s="1572"/>
      <c r="AH23" s="1572"/>
      <c r="AI23" s="1572"/>
      <c r="AJ23" s="1572"/>
      <c r="AK23" s="1569"/>
      <c r="AL23" s="1572"/>
      <c r="AM23" s="1572"/>
      <c r="AN23" s="1572">
        <v>1</v>
      </c>
      <c r="AO23" s="1572"/>
      <c r="AP23" s="1572"/>
      <c r="AQ23" s="1572"/>
      <c r="AR23" s="1572"/>
      <c r="AS23" s="1572"/>
      <c r="AT23" s="1572"/>
      <c r="AU23" s="1572"/>
      <c r="AV23" s="1572"/>
      <c r="AW23" s="1572"/>
      <c r="AX23" s="1572"/>
      <c r="AY23" s="1572"/>
      <c r="AZ23" s="1572"/>
      <c r="BA23" s="1572"/>
      <c r="BB23" s="1572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283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2"/>
      <c r="U24" s="1572">
        <v>1</v>
      </c>
      <c r="V24" s="1572">
        <v>1</v>
      </c>
      <c r="W24" s="1572"/>
      <c r="X24" s="1572"/>
      <c r="Y24" s="1572"/>
      <c r="Z24" s="1572"/>
      <c r="AA24" s="1572">
        <v>1.32</v>
      </c>
      <c r="AB24" s="1572"/>
      <c r="AC24" s="1572">
        <v>3</v>
      </c>
      <c r="AD24" s="1572"/>
      <c r="AE24" s="1572"/>
      <c r="AF24" s="1572"/>
      <c r="AG24" s="1572"/>
      <c r="AH24" s="1572"/>
      <c r="AI24" s="1572"/>
      <c r="AJ24" s="1572"/>
      <c r="AK24" s="1569"/>
      <c r="AL24" s="1572"/>
      <c r="AM24" s="1572"/>
      <c r="AN24" s="1572">
        <v>10</v>
      </c>
      <c r="AO24" s="1572"/>
      <c r="AP24" s="1572"/>
      <c r="AQ24" s="1572"/>
      <c r="AR24" s="1572"/>
      <c r="AS24" s="1572"/>
      <c r="AT24" s="1572"/>
      <c r="AU24" s="1572"/>
      <c r="AV24" s="1572"/>
      <c r="AW24" s="1572"/>
      <c r="AX24" s="1572"/>
      <c r="AY24" s="1572"/>
      <c r="AZ24" s="1572"/>
      <c r="BA24" s="1572"/>
      <c r="BB24" s="1572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314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2"/>
      <c r="U25" s="1572">
        <f>1200/(2*5)</f>
        <v>120</v>
      </c>
      <c r="V25" s="1572">
        <v>120</v>
      </c>
      <c r="W25" s="1572"/>
      <c r="X25" s="1572"/>
      <c r="Y25" s="1572"/>
      <c r="Z25" s="1572"/>
      <c r="AA25" s="1572">
        <v>30</v>
      </c>
      <c r="AB25" s="1572"/>
      <c r="AC25" s="1572">
        <v>57</v>
      </c>
      <c r="AD25" s="1572"/>
      <c r="AE25" s="1572"/>
      <c r="AF25" s="1572"/>
      <c r="AG25" s="1572"/>
      <c r="AH25" s="1572"/>
      <c r="AI25" s="1572"/>
      <c r="AJ25" s="1572"/>
      <c r="AK25" s="1569"/>
      <c r="AL25" s="1572"/>
      <c r="AM25" s="1572"/>
      <c r="AN25" s="1572">
        <v>500</v>
      </c>
      <c r="AO25" s="1572"/>
      <c r="AP25" s="1572"/>
      <c r="AQ25" s="1572"/>
      <c r="AR25" s="1572"/>
      <c r="AS25" s="1572"/>
      <c r="AT25" s="1572"/>
      <c r="AU25" s="1572"/>
      <c r="AV25" s="1572"/>
      <c r="AW25" s="1572"/>
      <c r="AX25" s="1572"/>
      <c r="AY25" s="1572"/>
      <c r="AZ25" s="1572"/>
      <c r="BA25" s="1572"/>
      <c r="BB25" s="1572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315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3" t="str">
        <f t="shared" ref="T26:AJ26" si="16">IF(T23="","",T22*T23*T24*T25)</f>
        <v/>
      </c>
      <c r="U26" s="1573">
        <f t="shared" si="16"/>
        <v>1200</v>
      </c>
      <c r="V26" s="1573">
        <f t="shared" si="16"/>
        <v>720</v>
      </c>
      <c r="W26" s="1573" t="str">
        <f t="shared" si="16"/>
        <v/>
      </c>
      <c r="X26" s="1573" t="str">
        <f t="shared" si="16"/>
        <v/>
      </c>
      <c r="Y26" s="1573" t="str">
        <f t="shared" si="16"/>
        <v/>
      </c>
      <c r="Z26" s="1573" t="str">
        <f t="shared" si="16"/>
        <v/>
      </c>
      <c r="AA26" s="1573">
        <f t="shared" si="16"/>
        <v>950.4</v>
      </c>
      <c r="AB26" s="1573" t="str">
        <f t="shared" si="16"/>
        <v/>
      </c>
      <c r="AC26" s="1573">
        <f t="shared" si="16"/>
        <v>2394</v>
      </c>
      <c r="AD26" s="1573" t="str">
        <f t="shared" si="16"/>
        <v/>
      </c>
      <c r="AE26" s="1573" t="str">
        <f t="shared" si="16"/>
        <v/>
      </c>
      <c r="AF26" s="1573" t="str">
        <f t="shared" si="16"/>
        <v/>
      </c>
      <c r="AG26" s="1573" t="str">
        <f t="shared" si="16"/>
        <v/>
      </c>
      <c r="AH26" s="1573" t="str">
        <f t="shared" si="16"/>
        <v/>
      </c>
      <c r="AI26" s="1573" t="str">
        <f t="shared" si="16"/>
        <v/>
      </c>
      <c r="AJ26" s="1573" t="str">
        <f t="shared" si="16"/>
        <v/>
      </c>
      <c r="AK26" s="1569"/>
      <c r="AL26" s="1573" t="str">
        <f t="shared" ref="AL26:BB26" si="17">IF(AL23="","",AL22*AL23*AL24*AL25)</f>
        <v/>
      </c>
      <c r="AM26" s="1573" t="str">
        <f t="shared" si="17"/>
        <v/>
      </c>
      <c r="AN26" s="1573">
        <f t="shared" si="17"/>
        <v>5000</v>
      </c>
      <c r="AO26" s="1573" t="str">
        <f t="shared" si="17"/>
        <v/>
      </c>
      <c r="AP26" s="1573" t="str">
        <f t="shared" si="17"/>
        <v/>
      </c>
      <c r="AQ26" s="1573" t="str">
        <f t="shared" si="17"/>
        <v/>
      </c>
      <c r="AR26" s="1573" t="str">
        <f t="shared" si="17"/>
        <v/>
      </c>
      <c r="AS26" s="1573" t="str">
        <f t="shared" si="17"/>
        <v/>
      </c>
      <c r="AT26" s="1573" t="str">
        <f t="shared" si="17"/>
        <v/>
      </c>
      <c r="AU26" s="1573" t="str">
        <f t="shared" si="17"/>
        <v/>
      </c>
      <c r="AV26" s="1573" t="str">
        <f t="shared" si="17"/>
        <v/>
      </c>
      <c r="AW26" s="1573" t="str">
        <f t="shared" si="17"/>
        <v/>
      </c>
      <c r="AX26" s="1573" t="str">
        <f t="shared" si="17"/>
        <v/>
      </c>
      <c r="AY26" s="1573" t="str">
        <f t="shared" si="17"/>
        <v/>
      </c>
      <c r="AZ26" s="1573" t="str">
        <f t="shared" si="17"/>
        <v/>
      </c>
      <c r="BA26" s="1573" t="str">
        <f t="shared" si="17"/>
        <v/>
      </c>
      <c r="BB26" s="1573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440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1"/>
      <c r="U27" s="1571"/>
      <c r="V27" s="1571"/>
      <c r="W27" s="1571"/>
      <c r="X27" s="1571"/>
      <c r="Y27" s="1571"/>
      <c r="Z27" s="1571"/>
      <c r="AA27" s="1571"/>
      <c r="AB27" s="1571"/>
      <c r="AC27" s="1571"/>
      <c r="AD27" s="1571"/>
      <c r="AE27" s="1571"/>
      <c r="AF27" s="1571"/>
      <c r="AG27" s="1571"/>
      <c r="AH27" s="1571"/>
      <c r="AI27" s="1571"/>
      <c r="AJ27" s="1571"/>
      <c r="AK27" s="1569"/>
      <c r="AL27" s="1571"/>
      <c r="AM27" s="1571"/>
      <c r="AN27" s="1571"/>
      <c r="AO27" s="1571"/>
      <c r="AP27" s="1571"/>
      <c r="AQ27" s="1571"/>
      <c r="AR27" s="1571"/>
      <c r="AS27" s="1571"/>
      <c r="AT27" s="1571"/>
      <c r="AU27" s="1571"/>
      <c r="AV27" s="1571"/>
      <c r="AW27" s="1571"/>
      <c r="AX27" s="1571"/>
      <c r="AY27" s="1571"/>
      <c r="AZ27" s="1571"/>
      <c r="BA27" s="1571"/>
      <c r="BB27" s="1571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297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1"/>
      <c r="U28" s="1571"/>
      <c r="V28" s="1571"/>
      <c r="W28" s="1571"/>
      <c r="X28" s="1571"/>
      <c r="Y28" s="1571"/>
      <c r="Z28" s="1571"/>
      <c r="AA28" s="1571"/>
      <c r="AB28" s="1571"/>
      <c r="AC28" s="1571"/>
      <c r="AD28" s="1571"/>
      <c r="AE28" s="1571"/>
      <c r="AF28" s="1571"/>
      <c r="AG28" s="1571"/>
      <c r="AH28" s="1571"/>
      <c r="AI28" s="1571"/>
      <c r="AJ28" s="1571"/>
      <c r="AK28" s="1569"/>
      <c r="AL28" s="1571"/>
      <c r="AM28" s="1571"/>
      <c r="AN28" s="1571"/>
      <c r="AO28" s="1571"/>
      <c r="AP28" s="1571">
        <v>1</v>
      </c>
      <c r="AQ28" s="1571"/>
      <c r="AR28" s="1571"/>
      <c r="AS28" s="1571"/>
      <c r="AT28" s="1571"/>
      <c r="AU28" s="1571"/>
      <c r="AV28" s="1571"/>
      <c r="AW28" s="1571"/>
      <c r="AX28" s="1571"/>
      <c r="AY28" s="1571"/>
      <c r="AZ28" s="1571"/>
      <c r="BA28" s="1571"/>
      <c r="BB28" s="1571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298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2"/>
      <c r="U29" s="1572"/>
      <c r="V29" s="1572"/>
      <c r="W29" s="1572"/>
      <c r="X29" s="1572"/>
      <c r="Y29" s="1572"/>
      <c r="Z29" s="1572"/>
      <c r="AA29" s="1572"/>
      <c r="AB29" s="1572"/>
      <c r="AC29" s="1572"/>
      <c r="AD29" s="1572"/>
      <c r="AE29" s="1572"/>
      <c r="AF29" s="1572"/>
      <c r="AG29" s="1572"/>
      <c r="AH29" s="1572"/>
      <c r="AI29" s="1572"/>
      <c r="AJ29" s="1572"/>
      <c r="AK29" s="1569"/>
      <c r="AL29" s="1572"/>
      <c r="AM29" s="1572"/>
      <c r="AN29" s="1572"/>
      <c r="AO29" s="1572"/>
      <c r="AP29" s="1572">
        <v>14</v>
      </c>
      <c r="AQ29" s="1572"/>
      <c r="AR29" s="1572"/>
      <c r="AS29" s="1572"/>
      <c r="AT29" s="1572"/>
      <c r="AU29" s="1572"/>
      <c r="AV29" s="1572"/>
      <c r="AW29" s="1572"/>
      <c r="AX29" s="1572"/>
      <c r="AY29" s="1572"/>
      <c r="AZ29" s="1572"/>
      <c r="BA29" s="1572"/>
      <c r="BB29" s="1572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283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2"/>
      <c r="U30" s="1572"/>
      <c r="V30" s="1572"/>
      <c r="W30" s="1572"/>
      <c r="X30" s="1572"/>
      <c r="Y30" s="1572"/>
      <c r="Z30" s="1572"/>
      <c r="AA30" s="1572"/>
      <c r="AB30" s="1572"/>
      <c r="AC30" s="1572"/>
      <c r="AD30" s="1572"/>
      <c r="AE30" s="1572"/>
      <c r="AF30" s="1572"/>
      <c r="AG30" s="1572"/>
      <c r="AH30" s="1572"/>
      <c r="AI30" s="1572"/>
      <c r="AJ30" s="1572"/>
      <c r="AK30" s="1569"/>
      <c r="AL30" s="1572"/>
      <c r="AM30" s="1572"/>
      <c r="AN30" s="1572"/>
      <c r="AO30" s="1572"/>
      <c r="AP30" s="1572">
        <v>0.15</v>
      </c>
      <c r="AQ30" s="1572"/>
      <c r="AR30" s="1572"/>
      <c r="AS30" s="1572"/>
      <c r="AT30" s="1572"/>
      <c r="AU30" s="1572"/>
      <c r="AV30" s="1572"/>
      <c r="AW30" s="1572"/>
      <c r="AX30" s="1572"/>
      <c r="AY30" s="1572"/>
      <c r="AZ30" s="1572"/>
      <c r="BA30" s="1572"/>
      <c r="BB30" s="1572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314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2"/>
      <c r="U31" s="1572"/>
      <c r="V31" s="1572"/>
      <c r="W31" s="1572"/>
      <c r="X31" s="1572"/>
      <c r="Y31" s="1572"/>
      <c r="Z31" s="1572"/>
      <c r="AA31" s="1572"/>
      <c r="AB31" s="1572"/>
      <c r="AC31" s="1572"/>
      <c r="AD31" s="1572"/>
      <c r="AE31" s="1572"/>
      <c r="AF31" s="1572"/>
      <c r="AG31" s="1572"/>
      <c r="AH31" s="1572"/>
      <c r="AI31" s="1572"/>
      <c r="AJ31" s="1572"/>
      <c r="AK31" s="1569"/>
      <c r="AL31" s="1572"/>
      <c r="AM31" s="1572"/>
      <c r="AN31" s="1572"/>
      <c r="AO31" s="1572"/>
      <c r="AP31" s="1572">
        <v>160</v>
      </c>
      <c r="AQ31" s="1572"/>
      <c r="AR31" s="1572"/>
      <c r="AS31" s="1572"/>
      <c r="AT31" s="1572"/>
      <c r="AU31" s="1572"/>
      <c r="AV31" s="1572"/>
      <c r="AW31" s="1572"/>
      <c r="AX31" s="1572"/>
      <c r="AY31" s="1572"/>
      <c r="AZ31" s="1572"/>
      <c r="BA31" s="1572"/>
      <c r="BB31" s="1572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315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3" t="str">
        <f t="shared" ref="T32:AJ32" si="25">IF(T29="","",T28*T29*T30*T31)</f>
        <v/>
      </c>
      <c r="U32" s="1573" t="str">
        <f t="shared" si="25"/>
        <v/>
      </c>
      <c r="V32" s="1573" t="str">
        <f t="shared" si="25"/>
        <v/>
      </c>
      <c r="W32" s="1573" t="str">
        <f t="shared" si="25"/>
        <v/>
      </c>
      <c r="X32" s="1573" t="str">
        <f t="shared" si="25"/>
        <v/>
      </c>
      <c r="Y32" s="1573" t="str">
        <f t="shared" si="25"/>
        <v/>
      </c>
      <c r="Z32" s="1573" t="str">
        <f t="shared" si="25"/>
        <v/>
      </c>
      <c r="AA32" s="1573" t="str">
        <f t="shared" si="25"/>
        <v/>
      </c>
      <c r="AB32" s="1573" t="str">
        <f t="shared" si="25"/>
        <v/>
      </c>
      <c r="AC32" s="1573" t="str">
        <f t="shared" si="25"/>
        <v/>
      </c>
      <c r="AD32" s="1573" t="str">
        <f t="shared" si="25"/>
        <v/>
      </c>
      <c r="AE32" s="1573" t="str">
        <f t="shared" si="25"/>
        <v/>
      </c>
      <c r="AF32" s="1573" t="str">
        <f t="shared" si="25"/>
        <v/>
      </c>
      <c r="AG32" s="1573" t="str">
        <f t="shared" si="25"/>
        <v/>
      </c>
      <c r="AH32" s="1573" t="str">
        <f t="shared" si="25"/>
        <v/>
      </c>
      <c r="AI32" s="1573" t="str">
        <f t="shared" si="25"/>
        <v/>
      </c>
      <c r="AJ32" s="1573" t="str">
        <f t="shared" si="25"/>
        <v/>
      </c>
      <c r="AK32" s="1569"/>
      <c r="AL32" s="1573" t="str">
        <f t="shared" ref="AL32:BB32" si="26">IF(AL29="","",AL28*AL29*AL30*AL31)</f>
        <v/>
      </c>
      <c r="AM32" s="1573" t="str">
        <f t="shared" si="26"/>
        <v/>
      </c>
      <c r="AN32" s="1573" t="str">
        <f t="shared" si="26"/>
        <v/>
      </c>
      <c r="AO32" s="1573" t="str">
        <f t="shared" si="26"/>
        <v/>
      </c>
      <c r="AP32" s="1573">
        <f t="shared" si="26"/>
        <v>336</v>
      </c>
      <c r="AQ32" s="1573" t="str">
        <f t="shared" si="26"/>
        <v/>
      </c>
      <c r="AR32" s="1573" t="str">
        <f t="shared" si="26"/>
        <v/>
      </c>
      <c r="AS32" s="1573" t="str">
        <f t="shared" si="26"/>
        <v/>
      </c>
      <c r="AT32" s="1573" t="str">
        <f t="shared" si="26"/>
        <v/>
      </c>
      <c r="AU32" s="1573" t="str">
        <f t="shared" si="26"/>
        <v/>
      </c>
      <c r="AV32" s="1573" t="str">
        <f t="shared" si="26"/>
        <v/>
      </c>
      <c r="AW32" s="1573" t="str">
        <f t="shared" si="26"/>
        <v/>
      </c>
      <c r="AX32" s="1573" t="str">
        <f t="shared" si="26"/>
        <v/>
      </c>
      <c r="AY32" s="1573" t="str">
        <f t="shared" si="26"/>
        <v/>
      </c>
      <c r="AZ32" s="1573" t="str">
        <f t="shared" si="26"/>
        <v/>
      </c>
      <c r="BA32" s="1573" t="str">
        <f t="shared" si="26"/>
        <v/>
      </c>
      <c r="BB32" s="1573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441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1"/>
      <c r="U33" s="1571"/>
      <c r="V33" s="1571"/>
      <c r="W33" s="1571"/>
      <c r="X33" s="1571"/>
      <c r="Y33" s="1571"/>
      <c r="Z33" s="1571"/>
      <c r="AA33" s="1571"/>
      <c r="AB33" s="1571"/>
      <c r="AC33" s="1571"/>
      <c r="AD33" s="1571"/>
      <c r="AE33" s="1571"/>
      <c r="AF33" s="1571"/>
      <c r="AG33" s="1571"/>
      <c r="AH33" s="1571"/>
      <c r="AI33" s="1571"/>
      <c r="AJ33" s="1571"/>
      <c r="AK33" s="1569"/>
      <c r="AL33" s="1571"/>
      <c r="AM33" s="1571"/>
      <c r="AN33" s="1571"/>
      <c r="AO33" s="1571"/>
      <c r="AP33" s="1571"/>
      <c r="AQ33" s="1571"/>
      <c r="AR33" s="1571"/>
      <c r="AS33" s="1571"/>
      <c r="AT33" s="1571"/>
      <c r="AU33" s="1571"/>
      <c r="AV33" s="1571"/>
      <c r="AW33" s="1571"/>
      <c r="AX33" s="1571"/>
      <c r="AY33" s="1571"/>
      <c r="AZ33" s="1571"/>
      <c r="BA33" s="1571"/>
      <c r="BB33" s="1571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297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1"/>
      <c r="U34" s="1571"/>
      <c r="V34" s="1571"/>
      <c r="W34" s="1571"/>
      <c r="X34" s="1571"/>
      <c r="Y34" s="1571"/>
      <c r="Z34" s="1571"/>
      <c r="AA34" s="1571">
        <v>2</v>
      </c>
      <c r="AB34" s="1571">
        <v>2</v>
      </c>
      <c r="AC34" s="1571">
        <v>1</v>
      </c>
      <c r="AD34" s="1571"/>
      <c r="AE34" s="1571"/>
      <c r="AF34" s="1571"/>
      <c r="AG34" s="1571"/>
      <c r="AH34" s="1571"/>
      <c r="AI34" s="1571"/>
      <c r="AJ34" s="1571"/>
      <c r="AK34" s="1569"/>
      <c r="AL34" s="1571"/>
      <c r="AM34" s="1571"/>
      <c r="AN34" s="1571"/>
      <c r="AO34" s="1571"/>
      <c r="AP34" s="1571"/>
      <c r="AQ34" s="1571"/>
      <c r="AR34" s="1571"/>
      <c r="AS34" s="1571"/>
      <c r="AT34" s="1571"/>
      <c r="AU34" s="1571"/>
      <c r="AV34" s="1571"/>
      <c r="AW34" s="1571"/>
      <c r="AX34" s="1571"/>
      <c r="AY34" s="1571"/>
      <c r="AZ34" s="1571"/>
      <c r="BA34" s="1571"/>
      <c r="BB34" s="1571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298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2"/>
      <c r="U35" s="1572"/>
      <c r="V35" s="1572"/>
      <c r="W35" s="1572"/>
      <c r="X35" s="1572"/>
      <c r="Y35" s="1572"/>
      <c r="Z35" s="1572"/>
      <c r="AA35" s="1572">
        <v>20</v>
      </c>
      <c r="AB35" s="1572">
        <v>8</v>
      </c>
      <c r="AC35" s="1572">
        <v>7</v>
      </c>
      <c r="AD35" s="1572"/>
      <c r="AE35" s="1572"/>
      <c r="AF35" s="1572"/>
      <c r="AG35" s="1572"/>
      <c r="AH35" s="1572"/>
      <c r="AI35" s="1572"/>
      <c r="AJ35" s="1572"/>
      <c r="AK35" s="1569"/>
      <c r="AL35" s="1572"/>
      <c r="AM35" s="1572"/>
      <c r="AN35" s="1572"/>
      <c r="AO35" s="1572"/>
      <c r="AP35" s="1572"/>
      <c r="AQ35" s="1572"/>
      <c r="AR35" s="1572"/>
      <c r="AS35" s="1572"/>
      <c r="AT35" s="1572"/>
      <c r="AU35" s="1572"/>
      <c r="AV35" s="1572"/>
      <c r="AW35" s="1572"/>
      <c r="AX35" s="1572"/>
      <c r="AY35" s="1572"/>
      <c r="AZ35" s="1572"/>
      <c r="BA35" s="1572"/>
      <c r="BB35" s="1572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283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2"/>
      <c r="U36" s="1572"/>
      <c r="V36" s="1572"/>
      <c r="W36" s="1572"/>
      <c r="X36" s="1572"/>
      <c r="Y36" s="1572"/>
      <c r="Z36" s="1572"/>
      <c r="AA36" s="1572">
        <v>4</v>
      </c>
      <c r="AB36" s="1572">
        <v>6</v>
      </c>
      <c r="AC36" s="1572">
        <v>3</v>
      </c>
      <c r="AD36" s="1572"/>
      <c r="AE36" s="1572"/>
      <c r="AF36" s="1572"/>
      <c r="AG36" s="1572"/>
      <c r="AH36" s="1572"/>
      <c r="AI36" s="1572"/>
      <c r="AJ36" s="1572"/>
      <c r="AK36" s="1569"/>
      <c r="AL36" s="1572"/>
      <c r="AM36" s="1572"/>
      <c r="AN36" s="1572"/>
      <c r="AO36" s="1572"/>
      <c r="AP36" s="1572"/>
      <c r="AQ36" s="1572"/>
      <c r="AR36" s="1572"/>
      <c r="AS36" s="1572"/>
      <c r="AT36" s="1572"/>
      <c r="AU36" s="1572"/>
      <c r="AV36" s="1572"/>
      <c r="AW36" s="1572"/>
      <c r="AX36" s="1572"/>
      <c r="AY36" s="1572"/>
      <c r="AZ36" s="1572"/>
      <c r="BA36" s="1572"/>
      <c r="BB36" s="1572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314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2"/>
      <c r="U37" s="1572"/>
      <c r="V37" s="1572"/>
      <c r="W37" s="1572"/>
      <c r="X37" s="1572"/>
      <c r="Y37" s="1572"/>
      <c r="Z37" s="1572"/>
      <c r="AA37" s="1572">
        <v>10</v>
      </c>
      <c r="AB37" s="1572">
        <f>2400/(2*8*6)</f>
        <v>25</v>
      </c>
      <c r="AC37" s="1572">
        <v>46</v>
      </c>
      <c r="AD37" s="1572"/>
      <c r="AE37" s="1572"/>
      <c r="AF37" s="1572"/>
      <c r="AG37" s="1572"/>
      <c r="AH37" s="1572"/>
      <c r="AI37" s="1572"/>
      <c r="AJ37" s="1572"/>
      <c r="AK37" s="1569"/>
      <c r="AL37" s="1572"/>
      <c r="AM37" s="1572"/>
      <c r="AN37" s="1572"/>
      <c r="AO37" s="1572"/>
      <c r="AP37" s="1572"/>
      <c r="AQ37" s="1572"/>
      <c r="AR37" s="1572"/>
      <c r="AS37" s="1572"/>
      <c r="AT37" s="1572"/>
      <c r="AU37" s="1572"/>
      <c r="AV37" s="1572"/>
      <c r="AW37" s="1572"/>
      <c r="AX37" s="1572"/>
      <c r="AY37" s="1572"/>
      <c r="AZ37" s="1572"/>
      <c r="BA37" s="1572"/>
      <c r="BB37" s="1572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3" t="str">
        <f t="shared" ref="T38:AJ38" si="33">IF(T35="","",T34*T35*T36*T37)</f>
        <v/>
      </c>
      <c r="U38" s="1573" t="str">
        <f t="shared" si="33"/>
        <v/>
      </c>
      <c r="V38" s="1573" t="str">
        <f t="shared" si="33"/>
        <v/>
      </c>
      <c r="W38" s="1573" t="str">
        <f t="shared" si="33"/>
        <v/>
      </c>
      <c r="X38" s="1573" t="str">
        <f t="shared" si="33"/>
        <v/>
      </c>
      <c r="Y38" s="1573" t="str">
        <f t="shared" si="33"/>
        <v/>
      </c>
      <c r="Z38" s="1573" t="str">
        <f t="shared" si="33"/>
        <v/>
      </c>
      <c r="AA38" s="1573">
        <f t="shared" si="33"/>
        <v>1600</v>
      </c>
      <c r="AB38" s="1573">
        <f t="shared" si="33"/>
        <v>2400</v>
      </c>
      <c r="AC38" s="1573">
        <f t="shared" si="33"/>
        <v>966</v>
      </c>
      <c r="AD38" s="1573" t="str">
        <f t="shared" si="33"/>
        <v/>
      </c>
      <c r="AE38" s="1573" t="str">
        <f t="shared" si="33"/>
        <v/>
      </c>
      <c r="AF38" s="1573" t="str">
        <f t="shared" si="33"/>
        <v/>
      </c>
      <c r="AG38" s="1573" t="str">
        <f t="shared" si="33"/>
        <v/>
      </c>
      <c r="AH38" s="1573" t="str">
        <f t="shared" si="33"/>
        <v/>
      </c>
      <c r="AI38" s="1573" t="str">
        <f t="shared" si="33"/>
        <v/>
      </c>
      <c r="AJ38" s="1573" t="str">
        <f t="shared" si="33"/>
        <v/>
      </c>
      <c r="AK38" s="1569"/>
      <c r="AL38" s="1573" t="str">
        <f t="shared" ref="AL38:BB38" si="34">IF(AL35="","",AL34*AL35*AL36*AL37)</f>
        <v/>
      </c>
      <c r="AM38" s="1573" t="str">
        <f t="shared" si="34"/>
        <v/>
      </c>
      <c r="AN38" s="1573" t="str">
        <f t="shared" si="34"/>
        <v/>
      </c>
      <c r="AO38" s="1573" t="str">
        <f t="shared" si="34"/>
        <v/>
      </c>
      <c r="AP38" s="1573" t="str">
        <f t="shared" si="34"/>
        <v/>
      </c>
      <c r="AQ38" s="1573" t="str">
        <f t="shared" si="34"/>
        <v/>
      </c>
      <c r="AR38" s="1573" t="str">
        <f t="shared" si="34"/>
        <v/>
      </c>
      <c r="AS38" s="1573" t="str">
        <f t="shared" si="34"/>
        <v/>
      </c>
      <c r="AT38" s="1573" t="str">
        <f t="shared" si="34"/>
        <v/>
      </c>
      <c r="AU38" s="1573" t="str">
        <f t="shared" si="34"/>
        <v/>
      </c>
      <c r="AV38" s="1573" t="str">
        <f t="shared" si="34"/>
        <v/>
      </c>
      <c r="AW38" s="1573" t="str">
        <f t="shared" si="34"/>
        <v/>
      </c>
      <c r="AX38" s="1573" t="str">
        <f t="shared" si="34"/>
        <v/>
      </c>
      <c r="AY38" s="1573" t="str">
        <f t="shared" si="34"/>
        <v/>
      </c>
      <c r="AZ38" s="1573" t="str">
        <f t="shared" si="34"/>
        <v/>
      </c>
      <c r="BA38" s="1573" t="str">
        <f t="shared" si="34"/>
        <v/>
      </c>
      <c r="BB38" s="1573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345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1"/>
      <c r="U39" s="1571"/>
      <c r="V39" s="1571"/>
      <c r="W39" s="1571"/>
      <c r="X39" s="1571"/>
      <c r="Y39" s="1571"/>
      <c r="Z39" s="1571"/>
      <c r="AA39" s="1571"/>
      <c r="AB39" s="1571"/>
      <c r="AC39" s="1571"/>
      <c r="AD39" s="1571"/>
      <c r="AE39" s="1571"/>
      <c r="AF39" s="1571"/>
      <c r="AG39" s="1571"/>
      <c r="AH39" s="1571"/>
      <c r="AI39" s="1571"/>
      <c r="AJ39" s="1571"/>
      <c r="AK39" s="1569"/>
      <c r="AL39" s="1571"/>
      <c r="AM39" s="1571"/>
      <c r="AN39" s="1571"/>
      <c r="AO39" s="1571"/>
      <c r="AP39" s="1571"/>
      <c r="AQ39" s="1571"/>
      <c r="AR39" s="1571"/>
      <c r="AS39" s="1571"/>
      <c r="AT39" s="1571"/>
      <c r="AU39" s="1571"/>
      <c r="AV39" s="1571"/>
      <c r="AW39" s="1571"/>
      <c r="AX39" s="1571"/>
      <c r="AY39" s="1571"/>
      <c r="AZ39" s="1571"/>
      <c r="BA39" s="1571"/>
      <c r="BB39" s="1571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297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1"/>
      <c r="U40" s="1571">
        <v>2</v>
      </c>
      <c r="V40" s="1571"/>
      <c r="W40" s="1571"/>
      <c r="X40" s="1571"/>
      <c r="Y40" s="1571"/>
      <c r="Z40" s="1571"/>
      <c r="AA40" s="1571"/>
      <c r="AB40" s="1571"/>
      <c r="AC40" s="1571"/>
      <c r="AD40" s="1571"/>
      <c r="AE40" s="1571"/>
      <c r="AF40" s="1571"/>
      <c r="AG40" s="1571"/>
      <c r="AH40" s="1571"/>
      <c r="AI40" s="1571"/>
      <c r="AJ40" s="1571"/>
      <c r="AK40" s="1569"/>
      <c r="AL40" s="1571"/>
      <c r="AM40" s="1571"/>
      <c r="AN40" s="1571"/>
      <c r="AO40" s="1571"/>
      <c r="AP40" s="1571"/>
      <c r="AQ40" s="1571"/>
      <c r="AR40" s="1571"/>
      <c r="AS40" s="1571"/>
      <c r="AT40" s="1571"/>
      <c r="AU40" s="1571"/>
      <c r="AV40" s="1571"/>
      <c r="AW40" s="1571"/>
      <c r="AX40" s="1571"/>
      <c r="AY40" s="1571"/>
      <c r="AZ40" s="1571"/>
      <c r="BA40" s="1571"/>
      <c r="BB40" s="1571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298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2"/>
      <c r="U41" s="1572">
        <v>5</v>
      </c>
      <c r="V41" s="1572"/>
      <c r="W41" s="1572"/>
      <c r="X41" s="1572"/>
      <c r="Y41" s="1572"/>
      <c r="Z41" s="1572"/>
      <c r="AA41" s="1572"/>
      <c r="AB41" s="1572"/>
      <c r="AC41" s="1572"/>
      <c r="AD41" s="1572"/>
      <c r="AE41" s="1572"/>
      <c r="AF41" s="1572"/>
      <c r="AG41" s="1572"/>
      <c r="AH41" s="1572"/>
      <c r="AI41" s="1572"/>
      <c r="AJ41" s="1572"/>
      <c r="AK41" s="1569"/>
      <c r="AL41" s="1572"/>
      <c r="AM41" s="1572"/>
      <c r="AN41" s="1572"/>
      <c r="AO41" s="1572"/>
      <c r="AP41" s="1572"/>
      <c r="AQ41" s="1572"/>
      <c r="AR41" s="1572"/>
      <c r="AS41" s="1572"/>
      <c r="AT41" s="1572"/>
      <c r="AU41" s="1572"/>
      <c r="AV41" s="1572"/>
      <c r="AW41" s="1572"/>
      <c r="AX41" s="1572"/>
      <c r="AY41" s="1572"/>
      <c r="AZ41" s="1572"/>
      <c r="BA41" s="1572"/>
      <c r="BB41" s="1572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283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2"/>
      <c r="U42" s="1572">
        <v>1</v>
      </c>
      <c r="V42" s="1572"/>
      <c r="W42" s="1572"/>
      <c r="X42" s="1572"/>
      <c r="Y42" s="1572"/>
      <c r="Z42" s="1572"/>
      <c r="AA42" s="1572"/>
      <c r="AB42" s="1572"/>
      <c r="AC42" s="1572"/>
      <c r="AD42" s="1572"/>
      <c r="AE42" s="1572"/>
      <c r="AF42" s="1572"/>
      <c r="AG42" s="1572"/>
      <c r="AH42" s="1572"/>
      <c r="AI42" s="1572"/>
      <c r="AJ42" s="1572"/>
      <c r="AK42" s="1569"/>
      <c r="AL42" s="1572"/>
      <c r="AM42" s="1572"/>
      <c r="AN42" s="1572"/>
      <c r="AO42" s="1572"/>
      <c r="AP42" s="1572"/>
      <c r="AQ42" s="1572"/>
      <c r="AR42" s="1572"/>
      <c r="AS42" s="1572"/>
      <c r="AT42" s="1572"/>
      <c r="AU42" s="1572"/>
      <c r="AV42" s="1572"/>
      <c r="AW42" s="1572"/>
      <c r="AX42" s="1572"/>
      <c r="AY42" s="1572"/>
      <c r="AZ42" s="1572"/>
      <c r="BA42" s="1572"/>
      <c r="BB42" s="1572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314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2"/>
      <c r="U43" s="1572">
        <f>1500/(2*5)</f>
        <v>150</v>
      </c>
      <c r="V43" s="1572"/>
      <c r="W43" s="1572"/>
      <c r="X43" s="1572"/>
      <c r="Y43" s="1572"/>
      <c r="Z43" s="1572"/>
      <c r="AA43" s="1572"/>
      <c r="AB43" s="1572"/>
      <c r="AC43" s="1572"/>
      <c r="AD43" s="1572"/>
      <c r="AE43" s="1572"/>
      <c r="AF43" s="1572"/>
      <c r="AG43" s="1572"/>
      <c r="AH43" s="1572"/>
      <c r="AI43" s="1572"/>
      <c r="AJ43" s="1572"/>
      <c r="AK43" s="1569"/>
      <c r="AL43" s="1572"/>
      <c r="AM43" s="1572"/>
      <c r="AN43" s="1572"/>
      <c r="AO43" s="1572"/>
      <c r="AP43" s="1572"/>
      <c r="AQ43" s="1572"/>
      <c r="AR43" s="1572"/>
      <c r="AS43" s="1572"/>
      <c r="AT43" s="1572"/>
      <c r="AU43" s="1572"/>
      <c r="AV43" s="1572"/>
      <c r="AW43" s="1572"/>
      <c r="AX43" s="1572"/>
      <c r="AY43" s="1572"/>
      <c r="AZ43" s="1572"/>
      <c r="BA43" s="1572"/>
      <c r="BB43" s="1572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3" t="str">
        <f t="shared" ref="T44:AJ44" si="41">IF(T41="","",T40*T41*T42*T43)</f>
        <v/>
      </c>
      <c r="U44" s="1573">
        <f t="shared" si="41"/>
        <v>1500</v>
      </c>
      <c r="V44" s="1573" t="str">
        <f t="shared" si="41"/>
        <v/>
      </c>
      <c r="W44" s="1573" t="str">
        <f t="shared" si="41"/>
        <v/>
      </c>
      <c r="X44" s="1573" t="str">
        <f t="shared" si="41"/>
        <v/>
      </c>
      <c r="Y44" s="1573" t="str">
        <f t="shared" si="41"/>
        <v/>
      </c>
      <c r="Z44" s="1573" t="str">
        <f t="shared" si="41"/>
        <v/>
      </c>
      <c r="AA44" s="1573" t="str">
        <f t="shared" si="41"/>
        <v/>
      </c>
      <c r="AB44" s="1573" t="str">
        <f t="shared" si="41"/>
        <v/>
      </c>
      <c r="AC44" s="1573" t="str">
        <f t="shared" si="41"/>
        <v/>
      </c>
      <c r="AD44" s="1573" t="str">
        <f t="shared" si="41"/>
        <v/>
      </c>
      <c r="AE44" s="1573" t="str">
        <f t="shared" si="41"/>
        <v/>
      </c>
      <c r="AF44" s="1573" t="str">
        <f t="shared" si="41"/>
        <v/>
      </c>
      <c r="AG44" s="1573" t="str">
        <f t="shared" si="41"/>
        <v/>
      </c>
      <c r="AH44" s="1573" t="str">
        <f t="shared" si="41"/>
        <v/>
      </c>
      <c r="AI44" s="1573" t="str">
        <f t="shared" si="41"/>
        <v/>
      </c>
      <c r="AJ44" s="1573" t="str">
        <f t="shared" si="41"/>
        <v/>
      </c>
      <c r="AK44" s="1569"/>
      <c r="AL44" s="1573" t="str">
        <f t="shared" ref="AL44:BB44" si="42">IF(AL41="","",AL40*AL41*AL42*AL43)</f>
        <v/>
      </c>
      <c r="AM44" s="1573" t="str">
        <f t="shared" si="42"/>
        <v/>
      </c>
      <c r="AN44" s="1573" t="str">
        <f t="shared" si="42"/>
        <v/>
      </c>
      <c r="AO44" s="1573" t="str">
        <f t="shared" si="42"/>
        <v/>
      </c>
      <c r="AP44" s="1573" t="str">
        <f t="shared" si="42"/>
        <v/>
      </c>
      <c r="AQ44" s="1573" t="str">
        <f t="shared" si="42"/>
        <v/>
      </c>
      <c r="AR44" s="1573" t="str">
        <f t="shared" si="42"/>
        <v/>
      </c>
      <c r="AS44" s="1573" t="str">
        <f t="shared" si="42"/>
        <v/>
      </c>
      <c r="AT44" s="1573" t="str">
        <f t="shared" si="42"/>
        <v/>
      </c>
      <c r="AU44" s="1573" t="str">
        <f t="shared" si="42"/>
        <v/>
      </c>
      <c r="AV44" s="1573" t="str">
        <f t="shared" si="42"/>
        <v/>
      </c>
      <c r="AW44" s="1573" t="str">
        <f t="shared" si="42"/>
        <v/>
      </c>
      <c r="AX44" s="1573" t="str">
        <f t="shared" si="42"/>
        <v/>
      </c>
      <c r="AY44" s="1573" t="str">
        <f t="shared" si="42"/>
        <v/>
      </c>
      <c r="AZ44" s="1573" t="str">
        <f t="shared" si="42"/>
        <v/>
      </c>
      <c r="BA44" s="1573" t="str">
        <f t="shared" si="42"/>
        <v/>
      </c>
      <c r="BB44" s="1573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442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1"/>
      <c r="U45" s="1571"/>
      <c r="V45" s="1571"/>
      <c r="W45" s="1571"/>
      <c r="X45" s="1571"/>
      <c r="Y45" s="1571"/>
      <c r="Z45" s="1571"/>
      <c r="AA45" s="1571"/>
      <c r="AB45" s="1571"/>
      <c r="AC45" s="1571"/>
      <c r="AD45" s="1571"/>
      <c r="AE45" s="1571"/>
      <c r="AF45" s="1571"/>
      <c r="AG45" s="1571"/>
      <c r="AH45" s="1571"/>
      <c r="AI45" s="1571"/>
      <c r="AJ45" s="1571"/>
      <c r="AK45" s="1569"/>
      <c r="AL45" s="1571"/>
      <c r="AM45" s="1571"/>
      <c r="AN45" s="1571"/>
      <c r="AO45" s="1571"/>
      <c r="AP45" s="1571"/>
      <c r="AQ45" s="1571"/>
      <c r="AR45" s="1571"/>
      <c r="AS45" s="1571"/>
      <c r="AT45" s="1571"/>
      <c r="AU45" s="1571"/>
      <c r="AV45" s="1571"/>
      <c r="AW45" s="1571"/>
      <c r="AX45" s="1571"/>
      <c r="AY45" s="1571"/>
      <c r="AZ45" s="1571"/>
      <c r="BA45" s="1571"/>
      <c r="BB45" s="1571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297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1"/>
      <c r="U46" s="1571"/>
      <c r="V46" s="1571"/>
      <c r="W46" s="1571"/>
      <c r="X46" s="1571"/>
      <c r="Y46" s="1571"/>
      <c r="Z46" s="1571"/>
      <c r="AA46" s="1571"/>
      <c r="AB46" s="1571"/>
      <c r="AC46" s="1571"/>
      <c r="AD46" s="1571"/>
      <c r="AE46" s="1571"/>
      <c r="AF46" s="1571"/>
      <c r="AG46" s="1571"/>
      <c r="AH46" s="1571"/>
      <c r="AI46" s="1571"/>
      <c r="AJ46" s="1571"/>
      <c r="AK46" s="1569"/>
      <c r="AL46" s="1571"/>
      <c r="AM46" s="1571"/>
      <c r="AN46" s="1571"/>
      <c r="AO46" s="1571"/>
      <c r="AP46" s="1571"/>
      <c r="AQ46" s="1571"/>
      <c r="AR46" s="1571"/>
      <c r="AS46" s="1571"/>
      <c r="AT46" s="1571"/>
      <c r="AU46" s="1571"/>
      <c r="AV46" s="1571"/>
      <c r="AW46" s="1571"/>
      <c r="AX46" s="1571"/>
      <c r="AY46" s="1571"/>
      <c r="AZ46" s="1571"/>
      <c r="BA46" s="1571"/>
      <c r="BB46" s="1571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298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2"/>
      <c r="U47" s="1572"/>
      <c r="V47" s="1572"/>
      <c r="W47" s="1572"/>
      <c r="X47" s="1572"/>
      <c r="Y47" s="1572"/>
      <c r="Z47" s="1572"/>
      <c r="AA47" s="1572"/>
      <c r="AB47" s="1572"/>
      <c r="AC47" s="1572"/>
      <c r="AD47" s="1572"/>
      <c r="AE47" s="1572"/>
      <c r="AF47" s="1572"/>
      <c r="AG47" s="1572"/>
      <c r="AH47" s="1572"/>
      <c r="AI47" s="1572"/>
      <c r="AJ47" s="1572"/>
      <c r="AK47" s="1569"/>
      <c r="AL47" s="1572"/>
      <c r="AM47" s="1572"/>
      <c r="AN47" s="1572"/>
      <c r="AO47" s="1572"/>
      <c r="AP47" s="1572"/>
      <c r="AQ47" s="1572"/>
      <c r="AR47" s="1572"/>
      <c r="AS47" s="1572"/>
      <c r="AT47" s="1572"/>
      <c r="AU47" s="1572"/>
      <c r="AV47" s="1572"/>
      <c r="AW47" s="1572"/>
      <c r="AX47" s="1572"/>
      <c r="AY47" s="1572"/>
      <c r="AZ47" s="1572"/>
      <c r="BA47" s="1572"/>
      <c r="BB47" s="1572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283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2"/>
      <c r="U48" s="1572"/>
      <c r="V48" s="1572"/>
      <c r="W48" s="1572"/>
      <c r="X48" s="1572"/>
      <c r="Y48" s="1572"/>
      <c r="Z48" s="1572"/>
      <c r="AA48" s="1572"/>
      <c r="AB48" s="1572"/>
      <c r="AC48" s="1572"/>
      <c r="AD48" s="1572"/>
      <c r="AE48" s="1572"/>
      <c r="AF48" s="1572"/>
      <c r="AG48" s="1572"/>
      <c r="AH48" s="1572"/>
      <c r="AI48" s="1572"/>
      <c r="AJ48" s="1572"/>
      <c r="AK48" s="1569"/>
      <c r="AL48" s="1572"/>
      <c r="AM48" s="1572"/>
      <c r="AN48" s="1572"/>
      <c r="AO48" s="1572"/>
      <c r="AP48" s="1572"/>
      <c r="AQ48" s="1572"/>
      <c r="AR48" s="1572"/>
      <c r="AS48" s="1572"/>
      <c r="AT48" s="1572"/>
      <c r="AU48" s="1572"/>
      <c r="AV48" s="1572"/>
      <c r="AW48" s="1572"/>
      <c r="AX48" s="1572"/>
      <c r="AY48" s="1572"/>
      <c r="AZ48" s="1572"/>
      <c r="BA48" s="1572"/>
      <c r="BB48" s="1572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314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2"/>
      <c r="U49" s="1572"/>
      <c r="V49" s="1572"/>
      <c r="W49" s="1572"/>
      <c r="X49" s="1572"/>
      <c r="Y49" s="1572"/>
      <c r="Z49" s="1572"/>
      <c r="AA49" s="1572"/>
      <c r="AB49" s="1572"/>
      <c r="AC49" s="1572"/>
      <c r="AD49" s="1572"/>
      <c r="AE49" s="1572"/>
      <c r="AF49" s="1572"/>
      <c r="AG49" s="1572"/>
      <c r="AH49" s="1572"/>
      <c r="AI49" s="1572"/>
      <c r="AJ49" s="1572"/>
      <c r="AK49" s="1569"/>
      <c r="AL49" s="1572"/>
      <c r="AM49" s="1572"/>
      <c r="AN49" s="1572"/>
      <c r="AO49" s="1572"/>
      <c r="AP49" s="1572"/>
      <c r="AQ49" s="1572"/>
      <c r="AR49" s="1572"/>
      <c r="AS49" s="1572"/>
      <c r="AT49" s="1572"/>
      <c r="AU49" s="1572"/>
      <c r="AV49" s="1572"/>
      <c r="AW49" s="1572"/>
      <c r="AX49" s="1572"/>
      <c r="AY49" s="1572"/>
      <c r="AZ49" s="1572"/>
      <c r="BA49" s="1572"/>
      <c r="BB49" s="1572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315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3" t="str">
        <f t="shared" ref="T50:AJ50" si="49">IF(T47="","",T46*T47*T48*T49)</f>
        <v/>
      </c>
      <c r="U50" s="1573" t="str">
        <f t="shared" si="49"/>
        <v/>
      </c>
      <c r="V50" s="1573" t="str">
        <f t="shared" si="49"/>
        <v/>
      </c>
      <c r="W50" s="1573" t="str">
        <f t="shared" si="49"/>
        <v/>
      </c>
      <c r="X50" s="1573" t="str">
        <f t="shared" si="49"/>
        <v/>
      </c>
      <c r="Y50" s="1573" t="str">
        <f t="shared" si="49"/>
        <v/>
      </c>
      <c r="Z50" s="1573" t="str">
        <f t="shared" si="49"/>
        <v/>
      </c>
      <c r="AA50" s="1573" t="str">
        <f t="shared" si="49"/>
        <v/>
      </c>
      <c r="AB50" s="1573" t="str">
        <f t="shared" si="49"/>
        <v/>
      </c>
      <c r="AC50" s="1573" t="str">
        <f t="shared" si="49"/>
        <v/>
      </c>
      <c r="AD50" s="1573" t="str">
        <f t="shared" si="49"/>
        <v/>
      </c>
      <c r="AE50" s="1573" t="str">
        <f t="shared" si="49"/>
        <v/>
      </c>
      <c r="AF50" s="1573" t="str">
        <f t="shared" si="49"/>
        <v/>
      </c>
      <c r="AG50" s="1573" t="str">
        <f t="shared" si="49"/>
        <v/>
      </c>
      <c r="AH50" s="1573" t="str">
        <f t="shared" si="49"/>
        <v/>
      </c>
      <c r="AI50" s="1573" t="str">
        <f t="shared" si="49"/>
        <v/>
      </c>
      <c r="AJ50" s="1573" t="str">
        <f t="shared" si="49"/>
        <v/>
      </c>
      <c r="AK50" s="1569"/>
      <c r="AL50" s="1573" t="str">
        <f t="shared" ref="AL50:BB50" si="50">IF(AL47="","",AL46*AL47*AL48*AL49)</f>
        <v/>
      </c>
      <c r="AM50" s="1573" t="str">
        <f t="shared" si="50"/>
        <v/>
      </c>
      <c r="AN50" s="1573" t="str">
        <f t="shared" si="50"/>
        <v/>
      </c>
      <c r="AO50" s="1573" t="str">
        <f t="shared" si="50"/>
        <v/>
      </c>
      <c r="AP50" s="1573" t="str">
        <f t="shared" si="50"/>
        <v/>
      </c>
      <c r="AQ50" s="1573" t="str">
        <f t="shared" si="50"/>
        <v/>
      </c>
      <c r="AR50" s="1573" t="str">
        <f t="shared" si="50"/>
        <v/>
      </c>
      <c r="AS50" s="1573" t="str">
        <f t="shared" si="50"/>
        <v/>
      </c>
      <c r="AT50" s="1573" t="str">
        <f t="shared" si="50"/>
        <v/>
      </c>
      <c r="AU50" s="1573" t="str">
        <f t="shared" si="50"/>
        <v/>
      </c>
      <c r="AV50" s="1573" t="str">
        <f t="shared" si="50"/>
        <v/>
      </c>
      <c r="AW50" s="1573" t="str">
        <f t="shared" si="50"/>
        <v/>
      </c>
      <c r="AX50" s="1573" t="str">
        <f t="shared" si="50"/>
        <v/>
      </c>
      <c r="AY50" s="1573" t="str">
        <f t="shared" si="50"/>
        <v/>
      </c>
      <c r="AZ50" s="1573" t="str">
        <f t="shared" si="50"/>
        <v/>
      </c>
      <c r="BA50" s="1573" t="str">
        <f t="shared" si="50"/>
        <v/>
      </c>
      <c r="BB50" s="1573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443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1"/>
      <c r="U51" s="1571"/>
      <c r="V51" s="1571"/>
      <c r="W51" s="1571"/>
      <c r="X51" s="1571"/>
      <c r="Y51" s="1571"/>
      <c r="Z51" s="1571"/>
      <c r="AA51" s="1571"/>
      <c r="AB51" s="1571"/>
      <c r="AC51" s="1571"/>
      <c r="AD51" s="1571"/>
      <c r="AE51" s="1571"/>
      <c r="AF51" s="1571"/>
      <c r="AG51" s="1571"/>
      <c r="AH51" s="1571"/>
      <c r="AI51" s="1571"/>
      <c r="AJ51" s="1571"/>
      <c r="AK51" s="1569"/>
      <c r="AL51" s="1571"/>
      <c r="AM51" s="1571"/>
      <c r="AN51" s="1571"/>
      <c r="AO51" s="1571"/>
      <c r="AP51" s="1571"/>
      <c r="AQ51" s="1571"/>
      <c r="AR51" s="1571"/>
      <c r="AS51" s="1571"/>
      <c r="AT51" s="1571"/>
      <c r="AU51" s="1571"/>
      <c r="AV51" s="1571"/>
      <c r="AW51" s="1571"/>
      <c r="AX51" s="1571"/>
      <c r="AY51" s="1571"/>
      <c r="AZ51" s="1571"/>
      <c r="BA51" s="1571"/>
      <c r="BB51" s="1571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297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1"/>
      <c r="U52" s="1571"/>
      <c r="V52" s="1571"/>
      <c r="W52" s="1571"/>
      <c r="X52" s="1571"/>
      <c r="Y52" s="1571"/>
      <c r="Z52" s="1571"/>
      <c r="AA52" s="1571"/>
      <c r="AB52" s="1571"/>
      <c r="AC52" s="1571"/>
      <c r="AD52" s="1571"/>
      <c r="AE52" s="1571"/>
      <c r="AF52" s="1571"/>
      <c r="AG52" s="1571"/>
      <c r="AH52" s="1571"/>
      <c r="AI52" s="1571"/>
      <c r="AJ52" s="1571"/>
      <c r="AK52" s="1569"/>
      <c r="AL52" s="1571"/>
      <c r="AM52" s="1571"/>
      <c r="AN52" s="1571"/>
      <c r="AO52" s="1571"/>
      <c r="AP52" s="1571"/>
      <c r="AQ52" s="1571"/>
      <c r="AR52" s="1571"/>
      <c r="AS52" s="1571"/>
      <c r="AT52" s="1571"/>
      <c r="AU52" s="1571"/>
      <c r="AV52" s="1571"/>
      <c r="AW52" s="1571"/>
      <c r="AX52" s="1571"/>
      <c r="AY52" s="1571"/>
      <c r="AZ52" s="1571"/>
      <c r="BA52" s="1571"/>
      <c r="BB52" s="1571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298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2"/>
      <c r="U53" s="1572"/>
      <c r="V53" s="1572"/>
      <c r="W53" s="1572"/>
      <c r="X53" s="1572"/>
      <c r="Y53" s="1572"/>
      <c r="Z53" s="1572"/>
      <c r="AA53" s="1572"/>
      <c r="AB53" s="1572"/>
      <c r="AC53" s="1572"/>
      <c r="AD53" s="1572"/>
      <c r="AE53" s="1572"/>
      <c r="AF53" s="1572"/>
      <c r="AG53" s="1572"/>
      <c r="AH53" s="1572"/>
      <c r="AI53" s="1572"/>
      <c r="AJ53" s="1572"/>
      <c r="AK53" s="1569"/>
      <c r="AL53" s="1572"/>
      <c r="AM53" s="1572"/>
      <c r="AN53" s="1572"/>
      <c r="AO53" s="1572"/>
      <c r="AP53" s="1572"/>
      <c r="AQ53" s="1572"/>
      <c r="AR53" s="1572"/>
      <c r="AS53" s="1572"/>
      <c r="AT53" s="1572"/>
      <c r="AU53" s="1572"/>
      <c r="AV53" s="1572"/>
      <c r="AW53" s="1572"/>
      <c r="AX53" s="1572"/>
      <c r="AY53" s="1572"/>
      <c r="AZ53" s="1572"/>
      <c r="BA53" s="1572"/>
      <c r="BB53" s="1572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2"/>
      <c r="U54" s="1572"/>
      <c r="V54" s="1572"/>
      <c r="W54" s="1572"/>
      <c r="X54" s="1572"/>
      <c r="Y54" s="1572"/>
      <c r="Z54" s="1572"/>
      <c r="AA54" s="1572"/>
      <c r="AB54" s="1572"/>
      <c r="AC54" s="1572"/>
      <c r="AD54" s="1572"/>
      <c r="AE54" s="1572"/>
      <c r="AF54" s="1572"/>
      <c r="AG54" s="1572"/>
      <c r="AH54" s="1572"/>
      <c r="AI54" s="1572"/>
      <c r="AJ54" s="1572"/>
      <c r="AK54" s="1569"/>
      <c r="AL54" s="1572"/>
      <c r="AM54" s="1572"/>
      <c r="AN54" s="1572"/>
      <c r="AO54" s="1572"/>
      <c r="AP54" s="1572"/>
      <c r="AQ54" s="1572"/>
      <c r="AR54" s="1572"/>
      <c r="AS54" s="1572"/>
      <c r="AT54" s="1572"/>
      <c r="AU54" s="1572"/>
      <c r="AV54" s="1572"/>
      <c r="AW54" s="1572"/>
      <c r="AX54" s="1572"/>
      <c r="AY54" s="1572"/>
      <c r="AZ54" s="1572"/>
      <c r="BA54" s="1572"/>
      <c r="BB54" s="1572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314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2"/>
      <c r="U55" s="1572"/>
      <c r="V55" s="1572"/>
      <c r="W55" s="1572"/>
      <c r="X55" s="1572"/>
      <c r="Y55" s="1572"/>
      <c r="Z55" s="1572"/>
      <c r="AA55" s="1572"/>
      <c r="AB55" s="1572"/>
      <c r="AC55" s="1572"/>
      <c r="AD55" s="1572"/>
      <c r="AE55" s="1572"/>
      <c r="AF55" s="1572"/>
      <c r="AG55" s="1572"/>
      <c r="AH55" s="1572"/>
      <c r="AI55" s="1572"/>
      <c r="AJ55" s="1572"/>
      <c r="AK55" s="1569"/>
      <c r="AL55" s="1572"/>
      <c r="AM55" s="1572"/>
      <c r="AN55" s="1572"/>
      <c r="AO55" s="1572"/>
      <c r="AP55" s="1572"/>
      <c r="AQ55" s="1572"/>
      <c r="AR55" s="1572"/>
      <c r="AS55" s="1572"/>
      <c r="AT55" s="1572"/>
      <c r="AU55" s="1572"/>
      <c r="AV55" s="1572"/>
      <c r="AW55" s="1572"/>
      <c r="AX55" s="1572"/>
      <c r="AY55" s="1572"/>
      <c r="AZ55" s="1572"/>
      <c r="BA55" s="1572"/>
      <c r="BB55" s="1572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315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3" t="str">
        <f t="shared" ref="T56:AJ56" si="57">IF(T53="","",T52*T53*T54*T55)</f>
        <v/>
      </c>
      <c r="U56" s="1573" t="str">
        <f t="shared" si="57"/>
        <v/>
      </c>
      <c r="V56" s="1573" t="str">
        <f t="shared" si="57"/>
        <v/>
      </c>
      <c r="W56" s="1573" t="str">
        <f t="shared" si="57"/>
        <v/>
      </c>
      <c r="X56" s="1573" t="str">
        <f t="shared" si="57"/>
        <v/>
      </c>
      <c r="Y56" s="1573" t="str">
        <f t="shared" si="57"/>
        <v/>
      </c>
      <c r="Z56" s="1573" t="str">
        <f t="shared" si="57"/>
        <v/>
      </c>
      <c r="AA56" s="1573" t="str">
        <f t="shared" si="57"/>
        <v/>
      </c>
      <c r="AB56" s="1573" t="str">
        <f t="shared" si="57"/>
        <v/>
      </c>
      <c r="AC56" s="1573" t="str">
        <f t="shared" si="57"/>
        <v/>
      </c>
      <c r="AD56" s="1573" t="str">
        <f t="shared" si="57"/>
        <v/>
      </c>
      <c r="AE56" s="1573" t="str">
        <f t="shared" si="57"/>
        <v/>
      </c>
      <c r="AF56" s="1573" t="str">
        <f t="shared" si="57"/>
        <v/>
      </c>
      <c r="AG56" s="1573" t="str">
        <f t="shared" si="57"/>
        <v/>
      </c>
      <c r="AH56" s="1573" t="str">
        <f t="shared" si="57"/>
        <v/>
      </c>
      <c r="AI56" s="1573" t="str">
        <f t="shared" si="57"/>
        <v/>
      </c>
      <c r="AJ56" s="1573" t="str">
        <f t="shared" si="57"/>
        <v/>
      </c>
      <c r="AK56" s="1569"/>
      <c r="AL56" s="1573" t="str">
        <f t="shared" ref="AL56:BB56" si="58">IF(AL53="","",AL52*AL53*AL54*AL55)</f>
        <v/>
      </c>
      <c r="AM56" s="1573" t="str">
        <f t="shared" si="58"/>
        <v/>
      </c>
      <c r="AN56" s="1573" t="str">
        <f t="shared" si="58"/>
        <v/>
      </c>
      <c r="AO56" s="1573" t="str">
        <f t="shared" si="58"/>
        <v/>
      </c>
      <c r="AP56" s="1573" t="str">
        <f t="shared" si="58"/>
        <v/>
      </c>
      <c r="AQ56" s="1573" t="str">
        <f t="shared" si="58"/>
        <v/>
      </c>
      <c r="AR56" s="1573" t="str">
        <f t="shared" si="58"/>
        <v/>
      </c>
      <c r="AS56" s="1573" t="str">
        <f t="shared" si="58"/>
        <v/>
      </c>
      <c r="AT56" s="1573" t="str">
        <f t="shared" si="58"/>
        <v/>
      </c>
      <c r="AU56" s="1573" t="str">
        <f t="shared" si="58"/>
        <v/>
      </c>
      <c r="AV56" s="1573" t="str">
        <f t="shared" si="58"/>
        <v/>
      </c>
      <c r="AW56" s="1573" t="str">
        <f t="shared" si="58"/>
        <v/>
      </c>
      <c r="AX56" s="1573" t="str">
        <f t="shared" si="58"/>
        <v/>
      </c>
      <c r="AY56" s="1573" t="str">
        <f t="shared" si="58"/>
        <v/>
      </c>
      <c r="AZ56" s="1573" t="str">
        <f t="shared" si="58"/>
        <v/>
      </c>
      <c r="BA56" s="1573" t="str">
        <f t="shared" si="58"/>
        <v/>
      </c>
      <c r="BB56" s="1573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444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1"/>
      <c r="U57" s="1571"/>
      <c r="V57" s="1571"/>
      <c r="W57" s="1571"/>
      <c r="X57" s="1571"/>
      <c r="Y57" s="1571"/>
      <c r="Z57" s="1571"/>
      <c r="AA57" s="1571"/>
      <c r="AB57" s="1571"/>
      <c r="AC57" s="1571"/>
      <c r="AD57" s="1571"/>
      <c r="AE57" s="1571"/>
      <c r="AF57" s="1571"/>
      <c r="AG57" s="1571"/>
      <c r="AH57" s="1571"/>
      <c r="AI57" s="1571"/>
      <c r="AJ57" s="1571"/>
      <c r="AK57" s="1569"/>
      <c r="AL57" s="1571"/>
      <c r="AM57" s="1571"/>
      <c r="AN57" s="1571"/>
      <c r="AO57" s="1571"/>
      <c r="AP57" s="1571"/>
      <c r="AQ57" s="1571"/>
      <c r="AR57" s="1571"/>
      <c r="AS57" s="1571"/>
      <c r="AT57" s="1571"/>
      <c r="AU57" s="1571"/>
      <c r="AV57" s="1571"/>
      <c r="AW57" s="1571"/>
      <c r="AX57" s="1571"/>
      <c r="AY57" s="1571"/>
      <c r="AZ57" s="1571"/>
      <c r="BA57" s="1571"/>
      <c r="BB57" s="1571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297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1"/>
      <c r="U58" s="1571"/>
      <c r="V58" s="1571"/>
      <c r="W58" s="1571"/>
      <c r="X58" s="1571"/>
      <c r="Y58" s="1571"/>
      <c r="Z58" s="1571"/>
      <c r="AA58" s="1571"/>
      <c r="AB58" s="1571"/>
      <c r="AC58" s="1571"/>
      <c r="AD58" s="1571"/>
      <c r="AE58" s="1571"/>
      <c r="AF58" s="1571"/>
      <c r="AG58" s="1571"/>
      <c r="AH58" s="1571"/>
      <c r="AI58" s="1571"/>
      <c r="AJ58" s="1571"/>
      <c r="AK58" s="1569"/>
      <c r="AL58" s="1571"/>
      <c r="AM58" s="1571"/>
      <c r="AN58" s="1571"/>
      <c r="AO58" s="1571"/>
      <c r="AP58" s="1571"/>
      <c r="AQ58" s="1571"/>
      <c r="AR58" s="1571"/>
      <c r="AS58" s="1571"/>
      <c r="AT58" s="1571"/>
      <c r="AU58" s="1571"/>
      <c r="AV58" s="1571"/>
      <c r="AW58" s="1571"/>
      <c r="AX58" s="1571"/>
      <c r="AY58" s="1571"/>
      <c r="AZ58" s="1571"/>
      <c r="BA58" s="1571"/>
      <c r="BB58" s="1571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298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2"/>
      <c r="U59" s="1572"/>
      <c r="V59" s="1572"/>
      <c r="W59" s="1572"/>
      <c r="X59" s="1572"/>
      <c r="Y59" s="1572"/>
      <c r="Z59" s="1572"/>
      <c r="AA59" s="1572"/>
      <c r="AB59" s="1572"/>
      <c r="AC59" s="1572"/>
      <c r="AD59" s="1572"/>
      <c r="AE59" s="1572"/>
      <c r="AF59" s="1572"/>
      <c r="AG59" s="1572"/>
      <c r="AH59" s="1572"/>
      <c r="AI59" s="1572"/>
      <c r="AJ59" s="1572"/>
      <c r="AK59" s="1569"/>
      <c r="AL59" s="1572"/>
      <c r="AM59" s="1572"/>
      <c r="AN59" s="1572"/>
      <c r="AO59" s="1572"/>
      <c r="AP59" s="1572"/>
      <c r="AQ59" s="1572"/>
      <c r="AR59" s="1572"/>
      <c r="AS59" s="1572"/>
      <c r="AT59" s="1572"/>
      <c r="AU59" s="1572"/>
      <c r="AV59" s="1572"/>
      <c r="AW59" s="1572"/>
      <c r="AX59" s="1572"/>
      <c r="AY59" s="1572"/>
      <c r="AZ59" s="1572"/>
      <c r="BA59" s="1572"/>
      <c r="BB59" s="1572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283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2"/>
      <c r="U60" s="1572"/>
      <c r="V60" s="1572"/>
      <c r="W60" s="1572"/>
      <c r="X60" s="1572"/>
      <c r="Y60" s="1572"/>
      <c r="Z60" s="1572"/>
      <c r="AA60" s="1572"/>
      <c r="AB60" s="1572"/>
      <c r="AC60" s="1572"/>
      <c r="AD60" s="1572"/>
      <c r="AE60" s="1572"/>
      <c r="AF60" s="1572"/>
      <c r="AG60" s="1572"/>
      <c r="AH60" s="1572"/>
      <c r="AI60" s="1572"/>
      <c r="AJ60" s="1572"/>
      <c r="AK60" s="1569"/>
      <c r="AL60" s="1572"/>
      <c r="AM60" s="1572"/>
      <c r="AN60" s="1572"/>
      <c r="AO60" s="1572"/>
      <c r="AP60" s="1572"/>
      <c r="AQ60" s="1572"/>
      <c r="AR60" s="1572"/>
      <c r="AS60" s="1572"/>
      <c r="AT60" s="1572"/>
      <c r="AU60" s="1572"/>
      <c r="AV60" s="1572"/>
      <c r="AW60" s="1572"/>
      <c r="AX60" s="1572"/>
      <c r="AY60" s="1572"/>
      <c r="AZ60" s="1572"/>
      <c r="BA60" s="1572"/>
      <c r="BB60" s="1572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314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2"/>
      <c r="U61" s="1572"/>
      <c r="V61" s="1572"/>
      <c r="W61" s="1572"/>
      <c r="X61" s="1572"/>
      <c r="Y61" s="1572"/>
      <c r="Z61" s="1572"/>
      <c r="AA61" s="1572"/>
      <c r="AB61" s="1572"/>
      <c r="AC61" s="1572"/>
      <c r="AD61" s="1572"/>
      <c r="AE61" s="1572"/>
      <c r="AF61" s="1572"/>
      <c r="AG61" s="1572"/>
      <c r="AH61" s="1572"/>
      <c r="AI61" s="1572"/>
      <c r="AJ61" s="1572"/>
      <c r="AK61" s="1569"/>
      <c r="AL61" s="1572"/>
      <c r="AM61" s="1572"/>
      <c r="AN61" s="1572"/>
      <c r="AO61" s="1572"/>
      <c r="AP61" s="1572"/>
      <c r="AQ61" s="1572"/>
      <c r="AR61" s="1572"/>
      <c r="AS61" s="1572"/>
      <c r="AT61" s="1572"/>
      <c r="AU61" s="1572"/>
      <c r="AV61" s="1572"/>
      <c r="AW61" s="1572"/>
      <c r="AX61" s="1572"/>
      <c r="AY61" s="1572"/>
      <c r="AZ61" s="1572"/>
      <c r="BA61" s="1572"/>
      <c r="BB61" s="1572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315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3" t="str">
        <f t="shared" ref="T62:AJ62" si="88">IF(T59="","",T58*T59*T60*T61)</f>
        <v/>
      </c>
      <c r="U62" s="1573" t="str">
        <f t="shared" si="88"/>
        <v/>
      </c>
      <c r="V62" s="1573" t="str">
        <f t="shared" si="88"/>
        <v/>
      </c>
      <c r="W62" s="1573" t="str">
        <f t="shared" si="88"/>
        <v/>
      </c>
      <c r="X62" s="1573" t="str">
        <f t="shared" si="88"/>
        <v/>
      </c>
      <c r="Y62" s="1573" t="str">
        <f t="shared" si="88"/>
        <v/>
      </c>
      <c r="Z62" s="1573" t="str">
        <f t="shared" si="88"/>
        <v/>
      </c>
      <c r="AA62" s="1573" t="str">
        <f t="shared" si="88"/>
        <v/>
      </c>
      <c r="AB62" s="1573" t="str">
        <f t="shared" si="88"/>
        <v/>
      </c>
      <c r="AC62" s="1573" t="str">
        <f t="shared" si="88"/>
        <v/>
      </c>
      <c r="AD62" s="1573" t="str">
        <f t="shared" si="88"/>
        <v/>
      </c>
      <c r="AE62" s="1573" t="str">
        <f t="shared" si="88"/>
        <v/>
      </c>
      <c r="AF62" s="1573" t="str">
        <f t="shared" si="88"/>
        <v/>
      </c>
      <c r="AG62" s="1573" t="str">
        <f t="shared" si="88"/>
        <v/>
      </c>
      <c r="AH62" s="1573" t="str">
        <f t="shared" si="88"/>
        <v/>
      </c>
      <c r="AI62" s="1573" t="str">
        <f t="shared" si="88"/>
        <v/>
      </c>
      <c r="AJ62" s="1573" t="str">
        <f t="shared" si="88"/>
        <v/>
      </c>
      <c r="AK62" s="1569"/>
      <c r="AL62" s="1573" t="str">
        <f t="shared" ref="AL62:BB62" si="89">IF(AL59="","",AL58*AL59*AL60*AL61)</f>
        <v/>
      </c>
      <c r="AM62" s="1573" t="str">
        <f t="shared" si="89"/>
        <v/>
      </c>
      <c r="AN62" s="1573" t="str">
        <f t="shared" si="89"/>
        <v/>
      </c>
      <c r="AO62" s="1573" t="str">
        <f t="shared" si="89"/>
        <v/>
      </c>
      <c r="AP62" s="1573" t="str">
        <f t="shared" si="89"/>
        <v/>
      </c>
      <c r="AQ62" s="1573" t="str">
        <f t="shared" si="89"/>
        <v/>
      </c>
      <c r="AR62" s="1573" t="str">
        <f t="shared" si="89"/>
        <v/>
      </c>
      <c r="AS62" s="1573" t="str">
        <f t="shared" si="89"/>
        <v/>
      </c>
      <c r="AT62" s="1573" t="str">
        <f t="shared" si="89"/>
        <v/>
      </c>
      <c r="AU62" s="1573" t="str">
        <f t="shared" si="89"/>
        <v/>
      </c>
      <c r="AV62" s="1573" t="str">
        <f t="shared" si="89"/>
        <v/>
      </c>
      <c r="AW62" s="1573" t="str">
        <f t="shared" si="89"/>
        <v/>
      </c>
      <c r="AX62" s="1573" t="str">
        <f t="shared" si="89"/>
        <v/>
      </c>
      <c r="AY62" s="1573" t="str">
        <f t="shared" si="89"/>
        <v/>
      </c>
      <c r="AZ62" s="1573" t="str">
        <f t="shared" si="89"/>
        <v/>
      </c>
      <c r="BA62" s="1573" t="str">
        <f t="shared" si="89"/>
        <v/>
      </c>
      <c r="BB62" s="1573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445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74">
        <f t="shared" ref="T63:AJ63" si="92">SUM(T14,T20,T26,T32,T38,T44,T50,T56,T62)</f>
        <v>0</v>
      </c>
      <c r="U63" s="1574">
        <f t="shared" si="92"/>
        <v>2700</v>
      </c>
      <c r="V63" s="1574">
        <f t="shared" si="92"/>
        <v>720</v>
      </c>
      <c r="W63" s="1574">
        <f t="shared" si="92"/>
        <v>0</v>
      </c>
      <c r="X63" s="1574">
        <f t="shared" si="92"/>
        <v>0</v>
      </c>
      <c r="Y63" s="1574">
        <f t="shared" si="92"/>
        <v>0</v>
      </c>
      <c r="Z63" s="1574">
        <f t="shared" si="92"/>
        <v>0</v>
      </c>
      <c r="AA63" s="1574">
        <f t="shared" si="92"/>
        <v>3050.4</v>
      </c>
      <c r="AB63" s="1574">
        <f t="shared" si="92"/>
        <v>2400</v>
      </c>
      <c r="AC63" s="1574">
        <f t="shared" si="92"/>
        <v>4557</v>
      </c>
      <c r="AD63" s="1574">
        <f t="shared" si="92"/>
        <v>0</v>
      </c>
      <c r="AE63" s="1574">
        <f t="shared" si="92"/>
        <v>0</v>
      </c>
      <c r="AF63" s="1574">
        <f t="shared" si="92"/>
        <v>0</v>
      </c>
      <c r="AG63" s="1574">
        <f t="shared" si="92"/>
        <v>0</v>
      </c>
      <c r="AH63" s="1574">
        <f t="shared" si="92"/>
        <v>0</v>
      </c>
      <c r="AI63" s="1574">
        <f t="shared" si="92"/>
        <v>0</v>
      </c>
      <c r="AJ63" s="1574">
        <f t="shared" si="92"/>
        <v>0</v>
      </c>
      <c r="AK63" s="1575"/>
      <c r="AL63" s="1574">
        <f t="shared" ref="AL63:BB63" si="93">SUM(AL14,AL20,AL26,AL32,AL38,AL44,AL50,AL56,AL62)</f>
        <v>0</v>
      </c>
      <c r="AM63" s="1574">
        <f t="shared" si="93"/>
        <v>0</v>
      </c>
      <c r="AN63" s="1574">
        <f t="shared" si="93"/>
        <v>5000</v>
      </c>
      <c r="AO63" s="1574">
        <f t="shared" si="93"/>
        <v>1000</v>
      </c>
      <c r="AP63" s="1574">
        <f t="shared" si="93"/>
        <v>336</v>
      </c>
      <c r="AQ63" s="1574">
        <f t="shared" si="93"/>
        <v>0</v>
      </c>
      <c r="AR63" s="1574">
        <f t="shared" si="93"/>
        <v>4500</v>
      </c>
      <c r="AS63" s="1574">
        <f t="shared" si="93"/>
        <v>180</v>
      </c>
      <c r="AT63" s="1574">
        <f t="shared" si="93"/>
        <v>0</v>
      </c>
      <c r="AU63" s="1574">
        <f t="shared" si="93"/>
        <v>0</v>
      </c>
      <c r="AV63" s="1574">
        <f t="shared" si="93"/>
        <v>0</v>
      </c>
      <c r="AW63" s="1574">
        <f t="shared" si="93"/>
        <v>0</v>
      </c>
      <c r="AX63" s="1574">
        <f t="shared" si="93"/>
        <v>0</v>
      </c>
      <c r="AY63" s="1574">
        <f t="shared" si="93"/>
        <v>0</v>
      </c>
      <c r="AZ63" s="1574">
        <f t="shared" si="93"/>
        <v>0</v>
      </c>
      <c r="BA63" s="1574">
        <f t="shared" si="93"/>
        <v>0</v>
      </c>
      <c r="BB63" s="1574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68"/>
      <c r="U64" s="1568"/>
      <c r="V64" s="1568"/>
      <c r="W64" s="1568"/>
      <c r="X64" s="1568"/>
      <c r="Y64" s="1568"/>
      <c r="Z64" s="1568"/>
      <c r="AA64" s="1568"/>
      <c r="AB64" s="1568"/>
      <c r="AC64" s="1568"/>
      <c r="AD64" s="1568"/>
      <c r="AE64" s="1568"/>
      <c r="AF64" s="1568"/>
      <c r="AG64" s="1568"/>
      <c r="AH64" s="1568"/>
      <c r="AI64" s="1568"/>
      <c r="AJ64" s="1568"/>
      <c r="AK64" s="1569"/>
      <c r="AL64" s="1568"/>
      <c r="AM64" s="1568"/>
      <c r="AN64" s="1568"/>
      <c r="AO64" s="1568"/>
      <c r="AP64" s="1568"/>
      <c r="AQ64" s="1568"/>
      <c r="AR64" s="1568"/>
      <c r="AS64" s="1568"/>
      <c r="AT64" s="1568"/>
      <c r="AU64" s="1568"/>
      <c r="AV64" s="1568"/>
      <c r="AW64" s="1568"/>
      <c r="AX64" s="1568"/>
      <c r="AY64" s="1568"/>
      <c r="AZ64" s="1568"/>
      <c r="BA64" s="1568"/>
      <c r="BB64" s="1568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446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0"/>
      <c r="U65" s="1570"/>
      <c r="V65" s="1570"/>
      <c r="W65" s="1570"/>
      <c r="X65" s="1570"/>
      <c r="Y65" s="1570"/>
      <c r="Z65" s="1570"/>
      <c r="AA65" s="1570"/>
      <c r="AB65" s="1570"/>
      <c r="AC65" s="1570"/>
      <c r="AD65" s="1570"/>
      <c r="AE65" s="1570"/>
      <c r="AF65" s="1570"/>
      <c r="AG65" s="1570"/>
      <c r="AH65" s="1570"/>
      <c r="AI65" s="1570"/>
      <c r="AJ65" s="1570"/>
      <c r="AK65" s="1569"/>
      <c r="AL65" s="1570"/>
      <c r="AM65" s="1570"/>
      <c r="AN65" s="1570"/>
      <c r="AO65" s="1570"/>
      <c r="AP65" s="1570"/>
      <c r="AQ65" s="1570"/>
      <c r="AR65" s="1570"/>
      <c r="AS65" s="1570"/>
      <c r="AT65" s="1570"/>
      <c r="AU65" s="1570"/>
      <c r="AV65" s="1570"/>
      <c r="AW65" s="1570"/>
      <c r="AX65" s="1570"/>
      <c r="AY65" s="1570"/>
      <c r="AZ65" s="1570"/>
      <c r="BA65" s="1570"/>
      <c r="BB65" s="15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447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1"/>
      <c r="U66" s="1571"/>
      <c r="V66" s="1571"/>
      <c r="W66" s="1571"/>
      <c r="X66" s="1571"/>
      <c r="Y66" s="1571"/>
      <c r="Z66" s="1571"/>
      <c r="AA66" s="1571"/>
      <c r="AB66" s="1571"/>
      <c r="AC66" s="1571"/>
      <c r="AD66" s="1571"/>
      <c r="AE66" s="1571"/>
      <c r="AF66" s="1571"/>
      <c r="AG66" s="1571"/>
      <c r="AH66" s="1571"/>
      <c r="AI66" s="1571"/>
      <c r="AJ66" s="1571"/>
      <c r="AK66" s="1569"/>
      <c r="AL66" s="1571"/>
      <c r="AM66" s="1571"/>
      <c r="AN66" s="1571"/>
      <c r="AO66" s="1571"/>
      <c r="AP66" s="1571"/>
      <c r="AQ66" s="1571"/>
      <c r="AR66" s="1571"/>
      <c r="AS66" s="1571"/>
      <c r="AT66" s="1571"/>
      <c r="AU66" s="1571"/>
      <c r="AV66" s="1571"/>
      <c r="AW66" s="1571"/>
      <c r="AX66" s="1571"/>
      <c r="AY66" s="1571"/>
      <c r="AZ66" s="1571"/>
      <c r="BA66" s="1571"/>
      <c r="BB66" s="1571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297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1"/>
      <c r="U67" s="1571"/>
      <c r="V67" s="1571"/>
      <c r="W67" s="1571"/>
      <c r="X67" s="1571"/>
      <c r="Y67" s="1571"/>
      <c r="Z67" s="1571"/>
      <c r="AA67" s="1571"/>
      <c r="AB67" s="1571"/>
      <c r="AC67" s="1571"/>
      <c r="AD67" s="1571"/>
      <c r="AE67" s="1571"/>
      <c r="AF67" s="1571"/>
      <c r="AG67" s="1571"/>
      <c r="AH67" s="1571"/>
      <c r="AI67" s="1571"/>
      <c r="AJ67" s="1571"/>
      <c r="AK67" s="1569"/>
      <c r="AL67" s="1571"/>
      <c r="AM67" s="1571"/>
      <c r="AN67" s="1571"/>
      <c r="AO67" s="1571"/>
      <c r="AP67" s="1571"/>
      <c r="AQ67" s="1571"/>
      <c r="AR67" s="1571"/>
      <c r="AS67" s="1571"/>
      <c r="AT67" s="1571"/>
      <c r="AU67" s="1571"/>
      <c r="AV67" s="1571"/>
      <c r="AW67" s="1571"/>
      <c r="AX67" s="1571"/>
      <c r="AY67" s="1571"/>
      <c r="AZ67" s="1571"/>
      <c r="BA67" s="1571"/>
      <c r="BB67" s="1571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298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2"/>
      <c r="U68" s="1572"/>
      <c r="V68" s="1572"/>
      <c r="W68" s="1572"/>
      <c r="X68" s="1572"/>
      <c r="Y68" s="1572"/>
      <c r="Z68" s="1572"/>
      <c r="AA68" s="1572"/>
      <c r="AB68" s="1572"/>
      <c r="AC68" s="1572"/>
      <c r="AD68" s="1572"/>
      <c r="AE68" s="1572"/>
      <c r="AF68" s="1572"/>
      <c r="AG68" s="1572"/>
      <c r="AH68" s="1572"/>
      <c r="AI68" s="1571"/>
      <c r="AJ68" s="1572"/>
      <c r="AK68" s="1569"/>
      <c r="AL68" s="1572"/>
      <c r="AM68" s="1572"/>
      <c r="AN68" s="1572"/>
      <c r="AO68" s="1572"/>
      <c r="AP68" s="1572"/>
      <c r="AQ68" s="1572"/>
      <c r="AR68" s="1572"/>
      <c r="AS68" s="1572"/>
      <c r="AT68" s="1572"/>
      <c r="AU68" s="1572"/>
      <c r="AV68" s="1572"/>
      <c r="AW68" s="1572"/>
      <c r="AX68" s="1572"/>
      <c r="AY68" s="1572"/>
      <c r="AZ68" s="1571"/>
      <c r="BA68" s="1571"/>
      <c r="BB68" s="1572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283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2"/>
      <c r="U69" s="1572"/>
      <c r="V69" s="1572"/>
      <c r="W69" s="1572"/>
      <c r="X69" s="1572"/>
      <c r="Y69" s="1572"/>
      <c r="Z69" s="1572"/>
      <c r="AA69" s="1572"/>
      <c r="AB69" s="1572"/>
      <c r="AC69" s="1572"/>
      <c r="AD69" s="1572"/>
      <c r="AE69" s="1572"/>
      <c r="AF69" s="1572"/>
      <c r="AG69" s="1572"/>
      <c r="AH69" s="1572"/>
      <c r="AI69" s="1572"/>
      <c r="AJ69" s="1572"/>
      <c r="AK69" s="1569"/>
      <c r="AL69" s="1572"/>
      <c r="AM69" s="1572"/>
      <c r="AN69" s="1572"/>
      <c r="AO69" s="1572"/>
      <c r="AP69" s="1572"/>
      <c r="AQ69" s="1572"/>
      <c r="AR69" s="1572"/>
      <c r="AS69" s="1572"/>
      <c r="AT69" s="1572"/>
      <c r="AU69" s="1572"/>
      <c r="AV69" s="1572"/>
      <c r="AW69" s="1572"/>
      <c r="AX69" s="1572"/>
      <c r="AY69" s="1572"/>
      <c r="AZ69" s="1572"/>
      <c r="BA69" s="1572"/>
      <c r="BB69" s="1572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314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2"/>
      <c r="U70" s="1572"/>
      <c r="V70" s="1572"/>
      <c r="W70" s="1572"/>
      <c r="X70" s="1572"/>
      <c r="Y70" s="1572"/>
      <c r="Z70" s="1572"/>
      <c r="AA70" s="1572"/>
      <c r="AB70" s="1572"/>
      <c r="AC70" s="1572"/>
      <c r="AD70" s="1572"/>
      <c r="AE70" s="1572"/>
      <c r="AF70" s="1572"/>
      <c r="AG70" s="1572"/>
      <c r="AH70" s="1572"/>
      <c r="AI70" s="1572"/>
      <c r="AJ70" s="1572"/>
      <c r="AK70" s="1569"/>
      <c r="AL70" s="1572"/>
      <c r="AM70" s="1572"/>
      <c r="AN70" s="1572"/>
      <c r="AO70" s="1572"/>
      <c r="AP70" s="1572"/>
      <c r="AQ70" s="1572"/>
      <c r="AR70" s="1572"/>
      <c r="AS70" s="1572"/>
      <c r="AT70" s="1572"/>
      <c r="AU70" s="1572"/>
      <c r="AV70" s="1572"/>
      <c r="AW70" s="1572"/>
      <c r="AX70" s="1572"/>
      <c r="AY70" s="1572"/>
      <c r="AZ70" s="1572"/>
      <c r="BA70" s="1572"/>
      <c r="BB70" s="1572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315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3" t="str">
        <f t="shared" ref="T71:AJ71" si="101">IF(T68="","",T67*T68*T69*T70)</f>
        <v/>
      </c>
      <c r="U71" s="1573" t="str">
        <f t="shared" si="101"/>
        <v/>
      </c>
      <c r="V71" s="1573" t="str">
        <f t="shared" si="101"/>
        <v/>
      </c>
      <c r="W71" s="1573" t="str">
        <f t="shared" si="101"/>
        <v/>
      </c>
      <c r="X71" s="1573" t="str">
        <f t="shared" si="101"/>
        <v/>
      </c>
      <c r="Y71" s="1573" t="str">
        <f t="shared" si="101"/>
        <v/>
      </c>
      <c r="Z71" s="1573" t="str">
        <f t="shared" si="101"/>
        <v/>
      </c>
      <c r="AA71" s="1573" t="str">
        <f t="shared" si="101"/>
        <v/>
      </c>
      <c r="AB71" s="1573" t="str">
        <f t="shared" si="101"/>
        <v/>
      </c>
      <c r="AC71" s="1573" t="str">
        <f t="shared" si="101"/>
        <v/>
      </c>
      <c r="AD71" s="1573" t="str">
        <f t="shared" si="101"/>
        <v/>
      </c>
      <c r="AE71" s="1573" t="str">
        <f t="shared" si="101"/>
        <v/>
      </c>
      <c r="AF71" s="1573" t="str">
        <f t="shared" si="101"/>
        <v/>
      </c>
      <c r="AG71" s="1573" t="str">
        <f t="shared" si="101"/>
        <v/>
      </c>
      <c r="AH71" s="1573" t="str">
        <f t="shared" si="101"/>
        <v/>
      </c>
      <c r="AI71" s="1573" t="str">
        <f t="shared" si="101"/>
        <v/>
      </c>
      <c r="AJ71" s="1573" t="str">
        <f t="shared" si="101"/>
        <v/>
      </c>
      <c r="AK71" s="1569"/>
      <c r="AL71" s="1573" t="str">
        <f t="shared" ref="AL71:BB71" si="102">IF(AL68="","",AL67*AL68*AL69*AL70)</f>
        <v/>
      </c>
      <c r="AM71" s="1573" t="str">
        <f t="shared" si="102"/>
        <v/>
      </c>
      <c r="AN71" s="1573" t="str">
        <f t="shared" si="102"/>
        <v/>
      </c>
      <c r="AO71" s="1573" t="str">
        <f t="shared" si="102"/>
        <v/>
      </c>
      <c r="AP71" s="1573" t="str">
        <f t="shared" si="102"/>
        <v/>
      </c>
      <c r="AQ71" s="1573" t="str">
        <f t="shared" si="102"/>
        <v/>
      </c>
      <c r="AR71" s="1573" t="str">
        <f t="shared" si="102"/>
        <v/>
      </c>
      <c r="AS71" s="1573" t="str">
        <f t="shared" si="102"/>
        <v/>
      </c>
      <c r="AT71" s="1573" t="str">
        <f t="shared" si="102"/>
        <v/>
      </c>
      <c r="AU71" s="1573" t="str">
        <f t="shared" si="102"/>
        <v/>
      </c>
      <c r="AV71" s="1573" t="str">
        <f t="shared" si="102"/>
        <v/>
      </c>
      <c r="AW71" s="1573" t="str">
        <f t="shared" si="102"/>
        <v/>
      </c>
      <c r="AX71" s="1573" t="str">
        <f t="shared" si="102"/>
        <v/>
      </c>
      <c r="AY71" s="1573" t="str">
        <f t="shared" si="102"/>
        <v/>
      </c>
      <c r="AZ71" s="1573" t="str">
        <f t="shared" si="102"/>
        <v/>
      </c>
      <c r="BA71" s="1573" t="str">
        <f t="shared" si="102"/>
        <v/>
      </c>
      <c r="BB71" s="1573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448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1"/>
      <c r="U72" s="1571"/>
      <c r="V72" s="1571"/>
      <c r="W72" s="1571"/>
      <c r="X72" s="1571"/>
      <c r="Y72" s="1571"/>
      <c r="Z72" s="1571"/>
      <c r="AA72" s="1571"/>
      <c r="AB72" s="1571"/>
      <c r="AC72" s="1571"/>
      <c r="AD72" s="1571"/>
      <c r="AE72" s="1571"/>
      <c r="AF72" s="1571"/>
      <c r="AG72" s="1571"/>
      <c r="AH72" s="1571"/>
      <c r="AI72" s="1571"/>
      <c r="AJ72" s="1571"/>
      <c r="AK72" s="1569"/>
      <c r="AL72" s="1571"/>
      <c r="AM72" s="1571"/>
      <c r="AN72" s="1571"/>
      <c r="AO72" s="1571"/>
      <c r="AP72" s="1571"/>
      <c r="AQ72" s="1571"/>
      <c r="AR72" s="1571"/>
      <c r="AS72" s="1571"/>
      <c r="AT72" s="1571"/>
      <c r="AU72" s="1571"/>
      <c r="AV72" s="1571"/>
      <c r="AW72" s="1571"/>
      <c r="AX72" s="1571"/>
      <c r="AY72" s="1571"/>
      <c r="AZ72" s="1571"/>
      <c r="BA72" s="1571"/>
      <c r="BB72" s="1571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297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1"/>
      <c r="U73" s="1571"/>
      <c r="V73" s="1571"/>
      <c r="W73" s="1571"/>
      <c r="X73" s="1571"/>
      <c r="Y73" s="1571"/>
      <c r="Z73" s="1571"/>
      <c r="AA73" s="1571"/>
      <c r="AB73" s="1571"/>
      <c r="AC73" s="1571"/>
      <c r="AD73" s="1571"/>
      <c r="AE73" s="1571"/>
      <c r="AF73" s="1571"/>
      <c r="AG73" s="1571"/>
      <c r="AH73" s="1571"/>
      <c r="AI73" s="1571"/>
      <c r="AJ73" s="1571"/>
      <c r="AK73" s="1569"/>
      <c r="AL73" s="1571"/>
      <c r="AM73" s="1571"/>
      <c r="AN73" s="1571"/>
      <c r="AO73" s="1571"/>
      <c r="AP73" s="1571"/>
      <c r="AQ73" s="1571"/>
      <c r="AR73" s="1571"/>
      <c r="AS73" s="1571"/>
      <c r="AT73" s="1571"/>
      <c r="AU73" s="1571"/>
      <c r="AV73" s="1571"/>
      <c r="AW73" s="1571"/>
      <c r="AX73" s="1571"/>
      <c r="AY73" s="1571"/>
      <c r="AZ73" s="1571"/>
      <c r="BA73" s="1571"/>
      <c r="BB73" s="1571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298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2"/>
      <c r="U74" s="1572"/>
      <c r="V74" s="1572"/>
      <c r="W74" s="1572"/>
      <c r="X74" s="1572"/>
      <c r="Y74" s="1572"/>
      <c r="Z74" s="1572"/>
      <c r="AA74" s="1572"/>
      <c r="AB74" s="1572"/>
      <c r="AC74" s="1572"/>
      <c r="AD74" s="1572"/>
      <c r="AE74" s="1572"/>
      <c r="AF74" s="1572"/>
      <c r="AG74" s="1572"/>
      <c r="AH74" s="1572"/>
      <c r="AI74" s="1572"/>
      <c r="AJ74" s="1572"/>
      <c r="AK74" s="1569"/>
      <c r="AL74" s="1572"/>
      <c r="AM74" s="1572"/>
      <c r="AN74" s="1572"/>
      <c r="AO74" s="1572"/>
      <c r="AP74" s="1572"/>
      <c r="AQ74" s="1572"/>
      <c r="AR74" s="1572"/>
      <c r="AS74" s="1572"/>
      <c r="AT74" s="1572"/>
      <c r="AU74" s="1572"/>
      <c r="AV74" s="1572"/>
      <c r="AW74" s="1572"/>
      <c r="AX74" s="1572"/>
      <c r="AY74" s="1572"/>
      <c r="AZ74" s="1572"/>
      <c r="BA74" s="1572"/>
      <c r="BB74" s="1572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283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2"/>
      <c r="U75" s="1572"/>
      <c r="V75" s="1572"/>
      <c r="W75" s="1572"/>
      <c r="X75" s="1572"/>
      <c r="Y75" s="1572"/>
      <c r="Z75" s="1572"/>
      <c r="AA75" s="1572"/>
      <c r="AB75" s="1572"/>
      <c r="AC75" s="1572"/>
      <c r="AD75" s="1572"/>
      <c r="AE75" s="1572"/>
      <c r="AF75" s="1572"/>
      <c r="AG75" s="1572"/>
      <c r="AH75" s="1572"/>
      <c r="AI75" s="1572"/>
      <c r="AJ75" s="1572"/>
      <c r="AK75" s="1569"/>
      <c r="AL75" s="1572"/>
      <c r="AM75" s="1572"/>
      <c r="AN75" s="1572"/>
      <c r="AO75" s="1572"/>
      <c r="AP75" s="1572"/>
      <c r="AQ75" s="1572"/>
      <c r="AR75" s="1572"/>
      <c r="AS75" s="1572"/>
      <c r="AT75" s="1572"/>
      <c r="AU75" s="1572"/>
      <c r="AV75" s="1572"/>
      <c r="AW75" s="1572"/>
      <c r="AX75" s="1572"/>
      <c r="AY75" s="1572"/>
      <c r="AZ75" s="1572"/>
      <c r="BA75" s="1572"/>
      <c r="BB75" s="1572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2"/>
      <c r="U76" s="1572"/>
      <c r="V76" s="1572"/>
      <c r="W76" s="1572"/>
      <c r="X76" s="1572"/>
      <c r="Y76" s="1572"/>
      <c r="Z76" s="1572"/>
      <c r="AA76" s="1572"/>
      <c r="AB76" s="1572"/>
      <c r="AC76" s="1572"/>
      <c r="AD76" s="1572"/>
      <c r="AE76" s="1572"/>
      <c r="AF76" s="1572"/>
      <c r="AG76" s="1572"/>
      <c r="AH76" s="1572"/>
      <c r="AI76" s="1572"/>
      <c r="AJ76" s="1572"/>
      <c r="AK76" s="1569"/>
      <c r="AL76" s="1572"/>
      <c r="AM76" s="1572"/>
      <c r="AN76" s="1572"/>
      <c r="AO76" s="1572"/>
      <c r="AP76" s="1572"/>
      <c r="AQ76" s="1572"/>
      <c r="AR76" s="1572"/>
      <c r="AS76" s="1572"/>
      <c r="AT76" s="1572"/>
      <c r="AU76" s="1572"/>
      <c r="AV76" s="1572"/>
      <c r="AW76" s="1572"/>
      <c r="AX76" s="1572"/>
      <c r="AY76" s="1572"/>
      <c r="AZ76" s="1572"/>
      <c r="BA76" s="1572"/>
      <c r="BB76" s="1572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315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3" t="str">
        <f t="shared" ref="T77:AJ77" si="109">IF(T74="","",T73*T74*T75*T76)</f>
        <v/>
      </c>
      <c r="U77" s="1573" t="str">
        <f t="shared" si="109"/>
        <v/>
      </c>
      <c r="V77" s="1573" t="str">
        <f t="shared" si="109"/>
        <v/>
      </c>
      <c r="W77" s="1573" t="str">
        <f t="shared" si="109"/>
        <v/>
      </c>
      <c r="X77" s="1573" t="str">
        <f t="shared" si="109"/>
        <v/>
      </c>
      <c r="Y77" s="1573" t="str">
        <f t="shared" si="109"/>
        <v/>
      </c>
      <c r="Z77" s="1573" t="str">
        <f t="shared" si="109"/>
        <v/>
      </c>
      <c r="AA77" s="1573" t="str">
        <f t="shared" si="109"/>
        <v/>
      </c>
      <c r="AB77" s="1573" t="str">
        <f t="shared" si="109"/>
        <v/>
      </c>
      <c r="AC77" s="1573" t="str">
        <f t="shared" si="109"/>
        <v/>
      </c>
      <c r="AD77" s="1573" t="str">
        <f t="shared" si="109"/>
        <v/>
      </c>
      <c r="AE77" s="1573" t="str">
        <f t="shared" si="109"/>
        <v/>
      </c>
      <c r="AF77" s="1573" t="str">
        <f t="shared" si="109"/>
        <v/>
      </c>
      <c r="AG77" s="1573" t="str">
        <f t="shared" si="109"/>
        <v/>
      </c>
      <c r="AH77" s="1573" t="str">
        <f t="shared" si="109"/>
        <v/>
      </c>
      <c r="AI77" s="1573" t="str">
        <f t="shared" si="109"/>
        <v/>
      </c>
      <c r="AJ77" s="1573" t="str">
        <f t="shared" si="109"/>
        <v/>
      </c>
      <c r="AK77" s="1569"/>
      <c r="AL77" s="1573" t="str">
        <f t="shared" ref="AL77:BB77" si="110">IF(AL74="","",AL73*AL74*AL75*AL76)</f>
        <v/>
      </c>
      <c r="AM77" s="1573" t="str">
        <f t="shared" si="110"/>
        <v/>
      </c>
      <c r="AN77" s="1573" t="str">
        <f t="shared" si="110"/>
        <v/>
      </c>
      <c r="AO77" s="1573" t="str">
        <f t="shared" si="110"/>
        <v/>
      </c>
      <c r="AP77" s="1573" t="str">
        <f t="shared" si="110"/>
        <v/>
      </c>
      <c r="AQ77" s="1573" t="str">
        <f t="shared" si="110"/>
        <v/>
      </c>
      <c r="AR77" s="1573" t="str">
        <f t="shared" si="110"/>
        <v/>
      </c>
      <c r="AS77" s="1573" t="str">
        <f t="shared" si="110"/>
        <v/>
      </c>
      <c r="AT77" s="1573" t="str">
        <f t="shared" si="110"/>
        <v/>
      </c>
      <c r="AU77" s="1573" t="str">
        <f t="shared" si="110"/>
        <v/>
      </c>
      <c r="AV77" s="1573" t="str">
        <f t="shared" si="110"/>
        <v/>
      </c>
      <c r="AW77" s="1573" t="str">
        <f t="shared" si="110"/>
        <v/>
      </c>
      <c r="AX77" s="1573" t="str">
        <f t="shared" si="110"/>
        <v/>
      </c>
      <c r="AY77" s="1573" t="str">
        <f t="shared" si="110"/>
        <v/>
      </c>
      <c r="AZ77" s="1573" t="str">
        <f t="shared" si="110"/>
        <v/>
      </c>
      <c r="BA77" s="1573" t="str">
        <f t="shared" si="110"/>
        <v/>
      </c>
      <c r="BB77" s="1573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449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1"/>
      <c r="U78" s="1571"/>
      <c r="V78" s="1571"/>
      <c r="W78" s="1571"/>
      <c r="X78" s="1571"/>
      <c r="Y78" s="1571"/>
      <c r="Z78" s="1571"/>
      <c r="AA78" s="1571"/>
      <c r="AB78" s="1571"/>
      <c r="AC78" s="1571"/>
      <c r="AD78" s="1571"/>
      <c r="AE78" s="1571"/>
      <c r="AF78" s="1571"/>
      <c r="AG78" s="1571"/>
      <c r="AH78" s="1571"/>
      <c r="AI78" s="1571"/>
      <c r="AJ78" s="1571"/>
      <c r="AK78" s="1569"/>
      <c r="AL78" s="1571"/>
      <c r="AM78" s="1571"/>
      <c r="AN78" s="1571"/>
      <c r="AO78" s="1571"/>
      <c r="AP78" s="1571"/>
      <c r="AQ78" s="1571"/>
      <c r="AR78" s="1571"/>
      <c r="AS78" s="1571"/>
      <c r="AT78" s="1571"/>
      <c r="AU78" s="1571"/>
      <c r="AV78" s="1571"/>
      <c r="AW78" s="1571"/>
      <c r="AX78" s="1571"/>
      <c r="AY78" s="1571"/>
      <c r="AZ78" s="1571"/>
      <c r="BA78" s="1571"/>
      <c r="BB78" s="1571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297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1"/>
      <c r="U79" s="1571"/>
      <c r="V79" s="1571"/>
      <c r="W79" s="1571"/>
      <c r="X79" s="1571"/>
      <c r="Y79" s="1571"/>
      <c r="Z79" s="1571"/>
      <c r="AA79" s="1571"/>
      <c r="AB79" s="1571"/>
      <c r="AC79" s="1571"/>
      <c r="AD79" s="1571"/>
      <c r="AE79" s="1571"/>
      <c r="AF79" s="1571"/>
      <c r="AG79" s="1571"/>
      <c r="AH79" s="1571"/>
      <c r="AI79" s="1571"/>
      <c r="AJ79" s="1571"/>
      <c r="AK79" s="1569"/>
      <c r="AL79" s="1571"/>
      <c r="AM79" s="1571"/>
      <c r="AN79" s="1571"/>
      <c r="AO79" s="1571"/>
      <c r="AP79" s="1571">
        <v>1</v>
      </c>
      <c r="AQ79" s="1571"/>
      <c r="AR79" s="1571"/>
      <c r="AS79" s="1571"/>
      <c r="AT79" s="1571"/>
      <c r="AU79" s="1571"/>
      <c r="AV79" s="1571"/>
      <c r="AW79" s="1571"/>
      <c r="AX79" s="1571"/>
      <c r="AY79" s="1571"/>
      <c r="AZ79" s="1571"/>
      <c r="BA79" s="1571"/>
      <c r="BB79" s="1571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298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2"/>
      <c r="U80" s="1572"/>
      <c r="V80" s="1572"/>
      <c r="W80" s="1572"/>
      <c r="X80" s="1572"/>
      <c r="Y80" s="1572"/>
      <c r="Z80" s="1572"/>
      <c r="AA80" s="1572"/>
      <c r="AB80" s="1572"/>
      <c r="AC80" s="1572"/>
      <c r="AD80" s="1572"/>
      <c r="AE80" s="1572"/>
      <c r="AF80" s="1572"/>
      <c r="AG80" s="1572"/>
      <c r="AH80" s="1572"/>
      <c r="AI80" s="1572"/>
      <c r="AJ80" s="1572"/>
      <c r="AK80" s="1569"/>
      <c r="AL80" s="1572"/>
      <c r="AM80" s="1572"/>
      <c r="AN80" s="1572"/>
      <c r="AO80" s="1572"/>
      <c r="AP80" s="1572">
        <v>3</v>
      </c>
      <c r="AQ80" s="1572"/>
      <c r="AR80" s="1572"/>
      <c r="AS80" s="1572"/>
      <c r="AT80" s="1572"/>
      <c r="AU80" s="1572"/>
      <c r="AV80" s="1572"/>
      <c r="AW80" s="1572"/>
      <c r="AX80" s="1572"/>
      <c r="AY80" s="1572"/>
      <c r="AZ80" s="1572"/>
      <c r="BA80" s="1572"/>
      <c r="BB80" s="1572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283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2"/>
      <c r="U81" s="1572"/>
      <c r="V81" s="1572"/>
      <c r="W81" s="1572"/>
      <c r="X81" s="1572"/>
      <c r="Y81" s="1572"/>
      <c r="Z81" s="1572"/>
      <c r="AA81" s="1572"/>
      <c r="AB81" s="1572"/>
      <c r="AC81" s="1572"/>
      <c r="AD81" s="1572"/>
      <c r="AE81" s="1572"/>
      <c r="AF81" s="1572"/>
      <c r="AG81" s="1572"/>
      <c r="AH81" s="1572"/>
      <c r="AI81" s="1572"/>
      <c r="AJ81" s="1572"/>
      <c r="AK81" s="1569"/>
      <c r="AL81" s="1572"/>
      <c r="AM81" s="1572"/>
      <c r="AN81" s="1572"/>
      <c r="AO81" s="1572"/>
      <c r="AP81" s="1572">
        <v>1</v>
      </c>
      <c r="AQ81" s="1572"/>
      <c r="AR81" s="1572"/>
      <c r="AS81" s="1572"/>
      <c r="AT81" s="1572"/>
      <c r="AU81" s="1572"/>
      <c r="AV81" s="1572"/>
      <c r="AW81" s="1572"/>
      <c r="AX81" s="1572"/>
      <c r="AY81" s="1572"/>
      <c r="AZ81" s="1572"/>
      <c r="BA81" s="1572"/>
      <c r="BB81" s="1572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314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2"/>
      <c r="U82" s="1572"/>
      <c r="V82" s="1572"/>
      <c r="W82" s="1572"/>
      <c r="X82" s="1572"/>
      <c r="Y82" s="1572"/>
      <c r="Z82" s="1572"/>
      <c r="AA82" s="1572"/>
      <c r="AB82" s="1572"/>
      <c r="AC82" s="1572"/>
      <c r="AD82" s="1572"/>
      <c r="AE82" s="1572"/>
      <c r="AF82" s="1572"/>
      <c r="AG82" s="1572"/>
      <c r="AH82" s="1572"/>
      <c r="AI82" s="1572"/>
      <c r="AJ82" s="1572"/>
      <c r="AK82" s="1569"/>
      <c r="AL82" s="1572"/>
      <c r="AM82" s="1572"/>
      <c r="AN82" s="1572"/>
      <c r="AO82" s="1572"/>
      <c r="AP82" s="1572">
        <v>220</v>
      </c>
      <c r="AQ82" s="1572"/>
      <c r="AR82" s="1572"/>
      <c r="AS82" s="1572"/>
      <c r="AT82" s="1572"/>
      <c r="AU82" s="1572"/>
      <c r="AV82" s="1572"/>
      <c r="AW82" s="1572"/>
      <c r="AX82" s="1572"/>
      <c r="AY82" s="1572"/>
      <c r="AZ82" s="1572"/>
      <c r="BA82" s="1572"/>
      <c r="BB82" s="1572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315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3" t="str">
        <f t="shared" ref="T83:AJ83" si="117">IF(T80="","",T79*T80*T81*T82)</f>
        <v/>
      </c>
      <c r="U83" s="1573" t="str">
        <f t="shared" si="117"/>
        <v/>
      </c>
      <c r="V83" s="1573" t="str">
        <f t="shared" si="117"/>
        <v/>
      </c>
      <c r="W83" s="1573" t="str">
        <f t="shared" si="117"/>
        <v/>
      </c>
      <c r="X83" s="1573" t="str">
        <f t="shared" si="117"/>
        <v/>
      </c>
      <c r="Y83" s="1573" t="str">
        <f t="shared" si="117"/>
        <v/>
      </c>
      <c r="Z83" s="1573" t="str">
        <f t="shared" si="117"/>
        <v/>
      </c>
      <c r="AA83" s="1573" t="str">
        <f t="shared" si="117"/>
        <v/>
      </c>
      <c r="AB83" s="1573" t="str">
        <f t="shared" si="117"/>
        <v/>
      </c>
      <c r="AC83" s="1573" t="str">
        <f t="shared" si="117"/>
        <v/>
      </c>
      <c r="AD83" s="1573" t="str">
        <f t="shared" si="117"/>
        <v/>
      </c>
      <c r="AE83" s="1573" t="str">
        <f t="shared" si="117"/>
        <v/>
      </c>
      <c r="AF83" s="1573" t="str">
        <f t="shared" si="117"/>
        <v/>
      </c>
      <c r="AG83" s="1573" t="str">
        <f t="shared" si="117"/>
        <v/>
      </c>
      <c r="AH83" s="1573" t="str">
        <f t="shared" si="117"/>
        <v/>
      </c>
      <c r="AI83" s="1573" t="str">
        <f t="shared" si="117"/>
        <v/>
      </c>
      <c r="AJ83" s="1573" t="str">
        <f t="shared" si="117"/>
        <v/>
      </c>
      <c r="AK83" s="1569"/>
      <c r="AL83" s="1573" t="str">
        <f t="shared" ref="AL83:BB83" si="118">IF(AL80="","",AL79*AL80*AL81*AL82)</f>
        <v/>
      </c>
      <c r="AM83" s="1573" t="str">
        <f t="shared" si="118"/>
        <v/>
      </c>
      <c r="AN83" s="1573" t="str">
        <f t="shared" si="118"/>
        <v/>
      </c>
      <c r="AO83" s="1573" t="str">
        <f t="shared" si="118"/>
        <v/>
      </c>
      <c r="AP83" s="1573">
        <f t="shared" si="118"/>
        <v>660</v>
      </c>
      <c r="AQ83" s="1573" t="str">
        <f t="shared" si="118"/>
        <v/>
      </c>
      <c r="AR83" s="1573" t="str">
        <f t="shared" si="118"/>
        <v/>
      </c>
      <c r="AS83" s="1573" t="str">
        <f t="shared" si="118"/>
        <v/>
      </c>
      <c r="AT83" s="1573" t="str">
        <f t="shared" si="118"/>
        <v/>
      </c>
      <c r="AU83" s="1573" t="str">
        <f t="shared" si="118"/>
        <v/>
      </c>
      <c r="AV83" s="1573" t="str">
        <f t="shared" si="118"/>
        <v/>
      </c>
      <c r="AW83" s="1573" t="str">
        <f t="shared" si="118"/>
        <v/>
      </c>
      <c r="AX83" s="1573" t="str">
        <f t="shared" si="118"/>
        <v/>
      </c>
      <c r="AY83" s="1573" t="str">
        <f t="shared" si="118"/>
        <v/>
      </c>
      <c r="AZ83" s="1573" t="str">
        <f t="shared" si="118"/>
        <v/>
      </c>
      <c r="BA83" s="1573" t="str">
        <f t="shared" si="118"/>
        <v/>
      </c>
      <c r="BB83" s="1573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450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1"/>
      <c r="U84" s="1571"/>
      <c r="V84" s="1571"/>
      <c r="W84" s="1571"/>
      <c r="X84" s="1571"/>
      <c r="Y84" s="1571"/>
      <c r="Z84" s="1571"/>
      <c r="AA84" s="1571"/>
      <c r="AB84" s="1571"/>
      <c r="AC84" s="1571"/>
      <c r="AD84" s="1571"/>
      <c r="AE84" s="1571"/>
      <c r="AF84" s="1571"/>
      <c r="AG84" s="1571"/>
      <c r="AH84" s="1571"/>
      <c r="AI84" s="1571"/>
      <c r="AJ84" s="1571"/>
      <c r="AK84" s="1569"/>
      <c r="AL84" s="1571"/>
      <c r="AM84" s="1571"/>
      <c r="AN84" s="1571"/>
      <c r="AO84" s="1571"/>
      <c r="AP84" s="1571"/>
      <c r="AQ84" s="1571"/>
      <c r="AR84" s="1571"/>
      <c r="AS84" s="1571"/>
      <c r="AT84" s="1571"/>
      <c r="AU84" s="1571"/>
      <c r="AV84" s="1571"/>
      <c r="AW84" s="1571"/>
      <c r="AX84" s="1571"/>
      <c r="AY84" s="1571"/>
      <c r="AZ84" s="1571"/>
      <c r="BA84" s="1571"/>
      <c r="BB84" s="1571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297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1"/>
      <c r="U85" s="1571"/>
      <c r="V85" s="1571"/>
      <c r="W85" s="1571"/>
      <c r="X85" s="1571"/>
      <c r="Y85" s="1571"/>
      <c r="Z85" s="1571"/>
      <c r="AA85" s="1571"/>
      <c r="AB85" s="1571"/>
      <c r="AC85" s="1571"/>
      <c r="AD85" s="1571"/>
      <c r="AE85" s="1571"/>
      <c r="AF85" s="1571"/>
      <c r="AG85" s="1571"/>
      <c r="AH85" s="1571"/>
      <c r="AI85" s="1571"/>
      <c r="AJ85" s="1571"/>
      <c r="AK85" s="1569"/>
      <c r="AL85" s="1571"/>
      <c r="AM85" s="1571"/>
      <c r="AN85" s="1571"/>
      <c r="AO85" s="1571"/>
      <c r="AP85" s="1571"/>
      <c r="AQ85" s="1571"/>
      <c r="AR85" s="1571"/>
      <c r="AS85" s="1571"/>
      <c r="AT85" s="1571"/>
      <c r="AU85" s="1571"/>
      <c r="AV85" s="1571"/>
      <c r="AW85" s="1571"/>
      <c r="AX85" s="1571"/>
      <c r="AY85" s="1571"/>
      <c r="AZ85" s="1571"/>
      <c r="BA85" s="1571"/>
      <c r="BB85" s="1571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298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2"/>
      <c r="U86" s="1572"/>
      <c r="V86" s="1572"/>
      <c r="W86" s="1572"/>
      <c r="X86" s="1572"/>
      <c r="Y86" s="1572"/>
      <c r="Z86" s="1572"/>
      <c r="AA86" s="1572"/>
      <c r="AB86" s="1572"/>
      <c r="AC86" s="1572"/>
      <c r="AD86" s="1572"/>
      <c r="AE86" s="1572"/>
      <c r="AF86" s="1572"/>
      <c r="AG86" s="1572"/>
      <c r="AH86" s="1572"/>
      <c r="AI86" s="1572"/>
      <c r="AJ86" s="1572"/>
      <c r="AK86" s="1569"/>
      <c r="AL86" s="1572"/>
      <c r="AM86" s="1572"/>
      <c r="AN86" s="1572"/>
      <c r="AO86" s="1572"/>
      <c r="AP86" s="1572"/>
      <c r="AQ86" s="1572"/>
      <c r="AR86" s="1572"/>
      <c r="AS86" s="1572"/>
      <c r="AT86" s="1572"/>
      <c r="AU86" s="1572"/>
      <c r="AV86" s="1572"/>
      <c r="AW86" s="1572"/>
      <c r="AX86" s="1572"/>
      <c r="AY86" s="1572"/>
      <c r="AZ86" s="1572"/>
      <c r="BA86" s="1572"/>
      <c r="BB86" s="1572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283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2"/>
      <c r="U87" s="1572"/>
      <c r="V87" s="1572"/>
      <c r="W87" s="1572"/>
      <c r="X87" s="1572"/>
      <c r="Y87" s="1572"/>
      <c r="Z87" s="1572"/>
      <c r="AA87" s="1572"/>
      <c r="AB87" s="1572"/>
      <c r="AC87" s="1572"/>
      <c r="AD87" s="1572"/>
      <c r="AE87" s="1572"/>
      <c r="AF87" s="1572"/>
      <c r="AG87" s="1572"/>
      <c r="AH87" s="1572"/>
      <c r="AI87" s="1572"/>
      <c r="AJ87" s="1572"/>
      <c r="AK87" s="1569"/>
      <c r="AL87" s="1572"/>
      <c r="AM87" s="1572"/>
      <c r="AN87" s="1572"/>
      <c r="AO87" s="1572"/>
      <c r="AP87" s="1572"/>
      <c r="AQ87" s="1572"/>
      <c r="AR87" s="1572"/>
      <c r="AS87" s="1572"/>
      <c r="AT87" s="1572"/>
      <c r="AU87" s="1572"/>
      <c r="AV87" s="1572"/>
      <c r="AW87" s="1572"/>
      <c r="AX87" s="1572"/>
      <c r="AY87" s="1572"/>
      <c r="AZ87" s="1572"/>
      <c r="BA87" s="1572"/>
      <c r="BB87" s="1572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314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2"/>
      <c r="U88" s="1572"/>
      <c r="V88" s="1572"/>
      <c r="W88" s="1572"/>
      <c r="X88" s="1572"/>
      <c r="Y88" s="1572"/>
      <c r="Z88" s="1572"/>
      <c r="AA88" s="1572"/>
      <c r="AB88" s="1572"/>
      <c r="AC88" s="1572"/>
      <c r="AD88" s="1572"/>
      <c r="AE88" s="1572"/>
      <c r="AF88" s="1572"/>
      <c r="AG88" s="1572"/>
      <c r="AH88" s="1572"/>
      <c r="AI88" s="1572"/>
      <c r="AJ88" s="1572"/>
      <c r="AK88" s="1569"/>
      <c r="AL88" s="1572"/>
      <c r="AM88" s="1572"/>
      <c r="AN88" s="1572"/>
      <c r="AO88" s="1572"/>
      <c r="AP88" s="1572"/>
      <c r="AQ88" s="1572"/>
      <c r="AR88" s="1572"/>
      <c r="AS88" s="1572"/>
      <c r="AT88" s="1572"/>
      <c r="AU88" s="1572"/>
      <c r="AV88" s="1572"/>
      <c r="AW88" s="1572"/>
      <c r="AX88" s="1572"/>
      <c r="AY88" s="1572"/>
      <c r="AZ88" s="1572"/>
      <c r="BA88" s="1572"/>
      <c r="BB88" s="1572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315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3" t="str">
        <f t="shared" ref="T89:AJ89" si="125">IF(T86="","",T85*T86*T87*T88)</f>
        <v/>
      </c>
      <c r="U89" s="1573" t="str">
        <f t="shared" si="125"/>
        <v/>
      </c>
      <c r="V89" s="1573" t="str">
        <f t="shared" si="125"/>
        <v/>
      </c>
      <c r="W89" s="1573" t="str">
        <f t="shared" si="125"/>
        <v/>
      </c>
      <c r="X89" s="1573" t="str">
        <f t="shared" si="125"/>
        <v/>
      </c>
      <c r="Y89" s="1573" t="str">
        <f t="shared" si="125"/>
        <v/>
      </c>
      <c r="Z89" s="1573" t="str">
        <f t="shared" si="125"/>
        <v/>
      </c>
      <c r="AA89" s="1573" t="str">
        <f t="shared" si="125"/>
        <v/>
      </c>
      <c r="AB89" s="1573" t="str">
        <f t="shared" si="125"/>
        <v/>
      </c>
      <c r="AC89" s="1573" t="str">
        <f t="shared" si="125"/>
        <v/>
      </c>
      <c r="AD89" s="1573" t="str">
        <f t="shared" si="125"/>
        <v/>
      </c>
      <c r="AE89" s="1573" t="str">
        <f t="shared" si="125"/>
        <v/>
      </c>
      <c r="AF89" s="1573" t="str">
        <f t="shared" si="125"/>
        <v/>
      </c>
      <c r="AG89" s="1573" t="str">
        <f t="shared" si="125"/>
        <v/>
      </c>
      <c r="AH89" s="1573" t="str">
        <f t="shared" si="125"/>
        <v/>
      </c>
      <c r="AI89" s="1573" t="str">
        <f t="shared" si="125"/>
        <v/>
      </c>
      <c r="AJ89" s="1573" t="str">
        <f t="shared" si="125"/>
        <v/>
      </c>
      <c r="AK89" s="1569"/>
      <c r="AL89" s="1573" t="str">
        <f t="shared" ref="AL89:BB89" si="126">IF(AL86="","",AL85*AL86*AL87*AL88)</f>
        <v/>
      </c>
      <c r="AM89" s="1573" t="str">
        <f t="shared" si="126"/>
        <v/>
      </c>
      <c r="AN89" s="1573" t="str">
        <f t="shared" si="126"/>
        <v/>
      </c>
      <c r="AO89" s="1573" t="str">
        <f t="shared" si="126"/>
        <v/>
      </c>
      <c r="AP89" s="1573" t="str">
        <f t="shared" si="126"/>
        <v/>
      </c>
      <c r="AQ89" s="1573" t="str">
        <f t="shared" si="126"/>
        <v/>
      </c>
      <c r="AR89" s="1573" t="str">
        <f t="shared" si="126"/>
        <v/>
      </c>
      <c r="AS89" s="1573" t="str">
        <f t="shared" si="126"/>
        <v/>
      </c>
      <c r="AT89" s="1573" t="str">
        <f t="shared" si="126"/>
        <v/>
      </c>
      <c r="AU89" s="1573" t="str">
        <f t="shared" si="126"/>
        <v/>
      </c>
      <c r="AV89" s="1573" t="str">
        <f t="shared" si="126"/>
        <v/>
      </c>
      <c r="AW89" s="1573" t="str">
        <f t="shared" si="126"/>
        <v/>
      </c>
      <c r="AX89" s="1573" t="str">
        <f t="shared" si="126"/>
        <v/>
      </c>
      <c r="AY89" s="1573" t="str">
        <f t="shared" si="126"/>
        <v/>
      </c>
      <c r="AZ89" s="1573" t="str">
        <f t="shared" si="126"/>
        <v/>
      </c>
      <c r="BA89" s="1573" t="str">
        <f t="shared" si="126"/>
        <v/>
      </c>
      <c r="BB89" s="1573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451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1"/>
      <c r="U90" s="1571"/>
      <c r="V90" s="1571"/>
      <c r="W90" s="1571"/>
      <c r="X90" s="1571"/>
      <c r="Y90" s="1571"/>
      <c r="Z90" s="1571"/>
      <c r="AA90" s="1571"/>
      <c r="AB90" s="1571"/>
      <c r="AC90" s="1571"/>
      <c r="AD90" s="1571"/>
      <c r="AE90" s="1571"/>
      <c r="AF90" s="1571"/>
      <c r="AG90" s="1571"/>
      <c r="AH90" s="1571"/>
      <c r="AI90" s="1571"/>
      <c r="AJ90" s="1571"/>
      <c r="AK90" s="1569"/>
      <c r="AL90" s="1571"/>
      <c r="AM90" s="1571"/>
      <c r="AN90" s="1571"/>
      <c r="AO90" s="1571"/>
      <c r="AP90" s="1571"/>
      <c r="AQ90" s="1571"/>
      <c r="AR90" s="1571"/>
      <c r="AS90" s="1571"/>
      <c r="AT90" s="1571"/>
      <c r="AU90" s="1571"/>
      <c r="AV90" s="1571"/>
      <c r="AW90" s="1571"/>
      <c r="AX90" s="1571"/>
      <c r="AY90" s="1571"/>
      <c r="AZ90" s="1571"/>
      <c r="BA90" s="1571"/>
      <c r="BB90" s="1571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297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1"/>
      <c r="U91" s="1571"/>
      <c r="V91" s="1571"/>
      <c r="W91" s="1571"/>
      <c r="X91" s="1571"/>
      <c r="Y91" s="1571"/>
      <c r="Z91" s="1571"/>
      <c r="AA91" s="1571"/>
      <c r="AB91" s="1571"/>
      <c r="AC91" s="1571"/>
      <c r="AD91" s="1571"/>
      <c r="AE91" s="1571"/>
      <c r="AF91" s="1571"/>
      <c r="AG91" s="1571"/>
      <c r="AH91" s="1571"/>
      <c r="AI91" s="1571"/>
      <c r="AJ91" s="1571"/>
      <c r="AK91" s="1569"/>
      <c r="AL91" s="1571"/>
      <c r="AM91" s="1571"/>
      <c r="AN91" s="1571"/>
      <c r="AO91" s="1571"/>
      <c r="AP91" s="1571"/>
      <c r="AQ91" s="1571"/>
      <c r="AR91" s="1571"/>
      <c r="AS91" s="1571"/>
      <c r="AT91" s="1571"/>
      <c r="AU91" s="1571"/>
      <c r="AV91" s="1571"/>
      <c r="AW91" s="1571"/>
      <c r="AX91" s="1571"/>
      <c r="AY91" s="1571"/>
      <c r="AZ91" s="1571"/>
      <c r="BA91" s="1571"/>
      <c r="BB91" s="1571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298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2"/>
      <c r="U92" s="1572"/>
      <c r="V92" s="1572"/>
      <c r="W92" s="1572"/>
      <c r="X92" s="1572"/>
      <c r="Y92" s="1572"/>
      <c r="Z92" s="1572"/>
      <c r="AA92" s="1572"/>
      <c r="AB92" s="1572"/>
      <c r="AC92" s="1572"/>
      <c r="AD92" s="1572"/>
      <c r="AE92" s="1572"/>
      <c r="AF92" s="1572"/>
      <c r="AG92" s="1572"/>
      <c r="AH92" s="1572"/>
      <c r="AI92" s="1572"/>
      <c r="AJ92" s="1572"/>
      <c r="AK92" s="1569"/>
      <c r="AL92" s="1572"/>
      <c r="AM92" s="1572"/>
      <c r="AN92" s="1572"/>
      <c r="AO92" s="1572"/>
      <c r="AP92" s="1572"/>
      <c r="AQ92" s="1572"/>
      <c r="AR92" s="1572"/>
      <c r="AS92" s="1572"/>
      <c r="AT92" s="1572"/>
      <c r="AU92" s="1572"/>
      <c r="AV92" s="1572"/>
      <c r="AW92" s="1572"/>
      <c r="AX92" s="1572"/>
      <c r="AY92" s="1572"/>
      <c r="AZ92" s="1572"/>
      <c r="BA92" s="1572"/>
      <c r="BB92" s="1572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283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2"/>
      <c r="U93" s="1572"/>
      <c r="V93" s="1572"/>
      <c r="W93" s="1572"/>
      <c r="X93" s="1572"/>
      <c r="Y93" s="1572"/>
      <c r="Z93" s="1572"/>
      <c r="AA93" s="1572"/>
      <c r="AB93" s="1572"/>
      <c r="AC93" s="1572"/>
      <c r="AD93" s="1572"/>
      <c r="AE93" s="1572"/>
      <c r="AF93" s="1572"/>
      <c r="AG93" s="1572"/>
      <c r="AH93" s="1572"/>
      <c r="AI93" s="1572"/>
      <c r="AJ93" s="1572"/>
      <c r="AK93" s="1569"/>
      <c r="AL93" s="1572"/>
      <c r="AM93" s="1572"/>
      <c r="AN93" s="1572"/>
      <c r="AO93" s="1572"/>
      <c r="AP93" s="1572"/>
      <c r="AQ93" s="1572"/>
      <c r="AR93" s="1572"/>
      <c r="AS93" s="1572"/>
      <c r="AT93" s="1572"/>
      <c r="AU93" s="1572"/>
      <c r="AV93" s="1572"/>
      <c r="AW93" s="1572"/>
      <c r="AX93" s="1572"/>
      <c r="AY93" s="1572"/>
      <c r="AZ93" s="1572"/>
      <c r="BA93" s="1572"/>
      <c r="BB93" s="1572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314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2"/>
      <c r="U94" s="1572"/>
      <c r="V94" s="1572"/>
      <c r="W94" s="1572"/>
      <c r="X94" s="1572"/>
      <c r="Y94" s="1572"/>
      <c r="Z94" s="1572"/>
      <c r="AA94" s="1572"/>
      <c r="AB94" s="1572"/>
      <c r="AC94" s="1572"/>
      <c r="AD94" s="1572"/>
      <c r="AE94" s="1572"/>
      <c r="AF94" s="1572"/>
      <c r="AG94" s="1572"/>
      <c r="AH94" s="1572"/>
      <c r="AI94" s="1572"/>
      <c r="AJ94" s="1572"/>
      <c r="AK94" s="1569"/>
      <c r="AL94" s="1572"/>
      <c r="AM94" s="1572"/>
      <c r="AN94" s="1572"/>
      <c r="AO94" s="1572"/>
      <c r="AP94" s="1572"/>
      <c r="AQ94" s="1572"/>
      <c r="AR94" s="1572"/>
      <c r="AS94" s="1572"/>
      <c r="AT94" s="1572"/>
      <c r="AU94" s="1572"/>
      <c r="AV94" s="1572"/>
      <c r="AW94" s="1572"/>
      <c r="AX94" s="1572"/>
      <c r="AY94" s="1572"/>
      <c r="AZ94" s="1572"/>
      <c r="BA94" s="1572"/>
      <c r="BB94" s="1572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315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3" t="str">
        <f t="shared" ref="T95:AJ95" si="133">IF(T92="","",T91*T92*T93*T94)</f>
        <v/>
      </c>
      <c r="U95" s="1573" t="str">
        <f t="shared" si="133"/>
        <v/>
      </c>
      <c r="V95" s="1573" t="str">
        <f t="shared" si="133"/>
        <v/>
      </c>
      <c r="W95" s="1573" t="str">
        <f t="shared" si="133"/>
        <v/>
      </c>
      <c r="X95" s="1573" t="str">
        <f t="shared" si="133"/>
        <v/>
      </c>
      <c r="Y95" s="1573" t="str">
        <f t="shared" si="133"/>
        <v/>
      </c>
      <c r="Z95" s="1573" t="str">
        <f t="shared" si="133"/>
        <v/>
      </c>
      <c r="AA95" s="1573" t="str">
        <f t="shared" si="133"/>
        <v/>
      </c>
      <c r="AB95" s="1573" t="str">
        <f t="shared" si="133"/>
        <v/>
      </c>
      <c r="AC95" s="1573" t="str">
        <f t="shared" si="133"/>
        <v/>
      </c>
      <c r="AD95" s="1573" t="str">
        <f t="shared" si="133"/>
        <v/>
      </c>
      <c r="AE95" s="1573" t="str">
        <f t="shared" si="133"/>
        <v/>
      </c>
      <c r="AF95" s="1573" t="str">
        <f t="shared" si="133"/>
        <v/>
      </c>
      <c r="AG95" s="1573" t="str">
        <f t="shared" si="133"/>
        <v/>
      </c>
      <c r="AH95" s="1573" t="str">
        <f t="shared" si="133"/>
        <v/>
      </c>
      <c r="AI95" s="1573" t="str">
        <f t="shared" si="133"/>
        <v/>
      </c>
      <c r="AJ95" s="1573" t="str">
        <f t="shared" si="133"/>
        <v/>
      </c>
      <c r="AK95" s="1569"/>
      <c r="AL95" s="1573" t="str">
        <f t="shared" ref="AL95:BB95" si="134">IF(AL92="","",AL91*AL92*AL93*AL94)</f>
        <v/>
      </c>
      <c r="AM95" s="1573" t="str">
        <f t="shared" si="134"/>
        <v/>
      </c>
      <c r="AN95" s="1573" t="str">
        <f t="shared" si="134"/>
        <v/>
      </c>
      <c r="AO95" s="1573" t="str">
        <f t="shared" si="134"/>
        <v/>
      </c>
      <c r="AP95" s="1573" t="str">
        <f t="shared" si="134"/>
        <v/>
      </c>
      <c r="AQ95" s="1573" t="str">
        <f t="shared" si="134"/>
        <v/>
      </c>
      <c r="AR95" s="1573" t="str">
        <f t="shared" si="134"/>
        <v/>
      </c>
      <c r="AS95" s="1573" t="str">
        <f t="shared" si="134"/>
        <v/>
      </c>
      <c r="AT95" s="1573" t="str">
        <f t="shared" si="134"/>
        <v/>
      </c>
      <c r="AU95" s="1573" t="str">
        <f t="shared" si="134"/>
        <v/>
      </c>
      <c r="AV95" s="1573" t="str">
        <f t="shared" si="134"/>
        <v/>
      </c>
      <c r="AW95" s="1573" t="str">
        <f t="shared" si="134"/>
        <v/>
      </c>
      <c r="AX95" s="1573" t="str">
        <f t="shared" si="134"/>
        <v/>
      </c>
      <c r="AY95" s="1573" t="str">
        <f t="shared" si="134"/>
        <v/>
      </c>
      <c r="AZ95" s="1573" t="str">
        <f t="shared" si="134"/>
        <v/>
      </c>
      <c r="BA95" s="1573" t="str">
        <f t="shared" si="134"/>
        <v/>
      </c>
      <c r="BB95" s="1573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452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1"/>
      <c r="U96" s="1571"/>
      <c r="V96" s="1571"/>
      <c r="W96" s="1571"/>
      <c r="X96" s="1571"/>
      <c r="Y96" s="1571"/>
      <c r="Z96" s="1571"/>
      <c r="AA96" s="1571"/>
      <c r="AB96" s="1571"/>
      <c r="AC96" s="1571"/>
      <c r="AD96" s="1571"/>
      <c r="AE96" s="1571"/>
      <c r="AF96" s="1571"/>
      <c r="AG96" s="1571"/>
      <c r="AH96" s="1571"/>
      <c r="AI96" s="1571"/>
      <c r="AJ96" s="1571"/>
      <c r="AK96" s="1569"/>
      <c r="AL96" s="1571"/>
      <c r="AM96" s="1571"/>
      <c r="AN96" s="1571"/>
      <c r="AO96" s="1571"/>
      <c r="AP96" s="1571"/>
      <c r="AQ96" s="1571"/>
      <c r="AR96" s="1571"/>
      <c r="AS96" s="1571"/>
      <c r="AT96" s="1571"/>
      <c r="AU96" s="1571"/>
      <c r="AV96" s="1571"/>
      <c r="AW96" s="1571"/>
      <c r="AX96" s="1571"/>
      <c r="AY96" s="1571"/>
      <c r="AZ96" s="1571"/>
      <c r="BA96" s="1571"/>
      <c r="BB96" s="1571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297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1"/>
      <c r="U97" s="1571"/>
      <c r="V97" s="1571"/>
      <c r="W97" s="1571"/>
      <c r="X97" s="1571"/>
      <c r="Y97" s="1571"/>
      <c r="Z97" s="1571"/>
      <c r="AA97" s="1571"/>
      <c r="AB97" s="1571"/>
      <c r="AC97" s="1571"/>
      <c r="AD97" s="1571"/>
      <c r="AE97" s="1571"/>
      <c r="AF97" s="1571"/>
      <c r="AG97" s="1571"/>
      <c r="AH97" s="1571"/>
      <c r="AI97" s="1571"/>
      <c r="AJ97" s="1571"/>
      <c r="AK97" s="1569"/>
      <c r="AL97" s="1571"/>
      <c r="AM97" s="1571"/>
      <c r="AN97" s="1571"/>
      <c r="AO97" s="1571"/>
      <c r="AP97" s="1571"/>
      <c r="AQ97" s="1571"/>
      <c r="AR97" s="1571"/>
      <c r="AS97" s="1571"/>
      <c r="AT97" s="1571"/>
      <c r="AU97" s="1571"/>
      <c r="AV97" s="1571"/>
      <c r="AW97" s="1571"/>
      <c r="AX97" s="1571"/>
      <c r="AY97" s="1571"/>
      <c r="AZ97" s="1571"/>
      <c r="BA97" s="1571"/>
      <c r="BB97" s="1571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298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2"/>
      <c r="U98" s="1572"/>
      <c r="V98" s="1572"/>
      <c r="W98" s="1572"/>
      <c r="X98" s="1572"/>
      <c r="Y98" s="1572"/>
      <c r="Z98" s="1572"/>
      <c r="AA98" s="1572"/>
      <c r="AB98" s="1572"/>
      <c r="AC98" s="1572"/>
      <c r="AD98" s="1572"/>
      <c r="AE98" s="1572"/>
      <c r="AF98" s="1572"/>
      <c r="AG98" s="1572"/>
      <c r="AH98" s="1572"/>
      <c r="AI98" s="1572"/>
      <c r="AJ98" s="1572"/>
      <c r="AK98" s="1569"/>
      <c r="AL98" s="1572"/>
      <c r="AM98" s="1572"/>
      <c r="AN98" s="1572"/>
      <c r="AO98" s="1572"/>
      <c r="AP98" s="1572"/>
      <c r="AQ98" s="1572"/>
      <c r="AR98" s="1572"/>
      <c r="AS98" s="1572"/>
      <c r="AT98" s="1572"/>
      <c r="AU98" s="1572"/>
      <c r="AV98" s="1572"/>
      <c r="AW98" s="1572"/>
      <c r="AX98" s="1572"/>
      <c r="AY98" s="1572"/>
      <c r="AZ98" s="1572"/>
      <c r="BA98" s="1572"/>
      <c r="BB98" s="1572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283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2"/>
      <c r="U99" s="1572"/>
      <c r="V99" s="1572"/>
      <c r="W99" s="1572"/>
      <c r="X99" s="1572"/>
      <c r="Y99" s="1572"/>
      <c r="Z99" s="1572"/>
      <c r="AA99" s="1572"/>
      <c r="AB99" s="1572"/>
      <c r="AC99" s="1572"/>
      <c r="AD99" s="1572"/>
      <c r="AE99" s="1572"/>
      <c r="AF99" s="1572"/>
      <c r="AG99" s="1572"/>
      <c r="AH99" s="1572"/>
      <c r="AI99" s="1572"/>
      <c r="AJ99" s="1572"/>
      <c r="AK99" s="1569"/>
      <c r="AL99" s="1572"/>
      <c r="AM99" s="1572"/>
      <c r="AN99" s="1572"/>
      <c r="AO99" s="1572"/>
      <c r="AP99" s="1572"/>
      <c r="AQ99" s="1572"/>
      <c r="AR99" s="1572"/>
      <c r="AS99" s="1572"/>
      <c r="AT99" s="1572"/>
      <c r="AU99" s="1572"/>
      <c r="AV99" s="1572"/>
      <c r="AW99" s="1572"/>
      <c r="AX99" s="1572"/>
      <c r="AY99" s="1572"/>
      <c r="AZ99" s="1572"/>
      <c r="BA99" s="1572"/>
      <c r="BB99" s="1572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314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2"/>
      <c r="U100" s="1572"/>
      <c r="V100" s="1572"/>
      <c r="W100" s="1572"/>
      <c r="X100" s="1572"/>
      <c r="Y100" s="1572"/>
      <c r="Z100" s="1572"/>
      <c r="AA100" s="1572"/>
      <c r="AB100" s="1572"/>
      <c r="AC100" s="1572"/>
      <c r="AD100" s="1572"/>
      <c r="AE100" s="1572"/>
      <c r="AF100" s="1572"/>
      <c r="AG100" s="1572"/>
      <c r="AH100" s="1572"/>
      <c r="AI100" s="1572"/>
      <c r="AJ100" s="1572"/>
      <c r="AK100" s="1569"/>
      <c r="AL100" s="1572"/>
      <c r="AM100" s="1572"/>
      <c r="AN100" s="1572"/>
      <c r="AO100" s="1572"/>
      <c r="AP100" s="1572"/>
      <c r="AQ100" s="1572"/>
      <c r="AR100" s="1572"/>
      <c r="AS100" s="1572"/>
      <c r="AT100" s="1572"/>
      <c r="AU100" s="1572"/>
      <c r="AV100" s="1572"/>
      <c r="AW100" s="1572"/>
      <c r="AX100" s="1572"/>
      <c r="AY100" s="1572"/>
      <c r="AZ100" s="1572"/>
      <c r="BA100" s="1572"/>
      <c r="BB100" s="1572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315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3" t="str">
        <f t="shared" ref="T101:AJ101" si="141">IF(T98="","",T97*T98*T99*T100)</f>
        <v/>
      </c>
      <c r="U101" s="1573" t="str">
        <f t="shared" si="141"/>
        <v/>
      </c>
      <c r="V101" s="1573" t="str">
        <f t="shared" si="141"/>
        <v/>
      </c>
      <c r="W101" s="1573" t="str">
        <f t="shared" si="141"/>
        <v/>
      </c>
      <c r="X101" s="1573" t="str">
        <f t="shared" si="141"/>
        <v/>
      </c>
      <c r="Y101" s="1573" t="str">
        <f t="shared" si="141"/>
        <v/>
      </c>
      <c r="Z101" s="1573" t="str">
        <f t="shared" si="141"/>
        <v/>
      </c>
      <c r="AA101" s="1573" t="str">
        <f t="shared" si="141"/>
        <v/>
      </c>
      <c r="AB101" s="1573" t="str">
        <f t="shared" si="141"/>
        <v/>
      </c>
      <c r="AC101" s="1573" t="str">
        <f t="shared" si="141"/>
        <v/>
      </c>
      <c r="AD101" s="1573" t="str">
        <f t="shared" si="141"/>
        <v/>
      </c>
      <c r="AE101" s="1573" t="str">
        <f t="shared" si="141"/>
        <v/>
      </c>
      <c r="AF101" s="1573" t="str">
        <f t="shared" si="141"/>
        <v/>
      </c>
      <c r="AG101" s="1573" t="str">
        <f t="shared" si="141"/>
        <v/>
      </c>
      <c r="AH101" s="1573" t="str">
        <f t="shared" si="141"/>
        <v/>
      </c>
      <c r="AI101" s="1573" t="str">
        <f t="shared" si="141"/>
        <v/>
      </c>
      <c r="AJ101" s="1573" t="str">
        <f t="shared" si="141"/>
        <v/>
      </c>
      <c r="AK101" s="1569"/>
      <c r="AL101" s="1573" t="str">
        <f t="shared" ref="AL101:BB101" si="142">IF(AL98="","",AL97*AL98*AL99*AL100)</f>
        <v/>
      </c>
      <c r="AM101" s="1573" t="str">
        <f t="shared" si="142"/>
        <v/>
      </c>
      <c r="AN101" s="1573" t="str">
        <f t="shared" si="142"/>
        <v/>
      </c>
      <c r="AO101" s="1573" t="str">
        <f t="shared" si="142"/>
        <v/>
      </c>
      <c r="AP101" s="1573" t="str">
        <f t="shared" si="142"/>
        <v/>
      </c>
      <c r="AQ101" s="1573" t="str">
        <f t="shared" si="142"/>
        <v/>
      </c>
      <c r="AR101" s="1573" t="str">
        <f t="shared" si="142"/>
        <v/>
      </c>
      <c r="AS101" s="1573" t="str">
        <f t="shared" si="142"/>
        <v/>
      </c>
      <c r="AT101" s="1573" t="str">
        <f t="shared" si="142"/>
        <v/>
      </c>
      <c r="AU101" s="1573" t="str">
        <f t="shared" si="142"/>
        <v/>
      </c>
      <c r="AV101" s="1573" t="str">
        <f t="shared" si="142"/>
        <v/>
      </c>
      <c r="AW101" s="1573" t="str">
        <f t="shared" si="142"/>
        <v/>
      </c>
      <c r="AX101" s="1573" t="str">
        <f t="shared" si="142"/>
        <v/>
      </c>
      <c r="AY101" s="1573" t="str">
        <f t="shared" si="142"/>
        <v/>
      </c>
      <c r="AZ101" s="1573" t="str">
        <f t="shared" si="142"/>
        <v/>
      </c>
      <c r="BA101" s="1573" t="str">
        <f t="shared" si="142"/>
        <v/>
      </c>
      <c r="BB101" s="1573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453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1"/>
      <c r="U102" s="1571"/>
      <c r="V102" s="1571"/>
      <c r="W102" s="1571"/>
      <c r="X102" s="1571"/>
      <c r="Y102" s="1571"/>
      <c r="Z102" s="1571"/>
      <c r="AA102" s="1571"/>
      <c r="AB102" s="1571"/>
      <c r="AC102" s="1571"/>
      <c r="AD102" s="1571"/>
      <c r="AE102" s="1571"/>
      <c r="AF102" s="1571"/>
      <c r="AG102" s="1571"/>
      <c r="AH102" s="1571"/>
      <c r="AI102" s="1571"/>
      <c r="AJ102" s="1571"/>
      <c r="AK102" s="1569"/>
      <c r="AL102" s="1571"/>
      <c r="AM102" s="1571"/>
      <c r="AN102" s="1571"/>
      <c r="AO102" s="1571"/>
      <c r="AP102" s="1571"/>
      <c r="AQ102" s="1571"/>
      <c r="AR102" s="1571"/>
      <c r="AS102" s="1571"/>
      <c r="AT102" s="1571"/>
      <c r="AU102" s="1571"/>
      <c r="AV102" s="1571"/>
      <c r="AW102" s="1571"/>
      <c r="AX102" s="1571"/>
      <c r="AY102" s="1571"/>
      <c r="AZ102" s="1571"/>
      <c r="BA102" s="1571"/>
      <c r="BB102" s="1571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297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1"/>
      <c r="U103" s="1571"/>
      <c r="V103" s="1571"/>
      <c r="W103" s="1571"/>
      <c r="X103" s="1571"/>
      <c r="Y103" s="1571"/>
      <c r="Z103" s="1571"/>
      <c r="AA103" s="1571"/>
      <c r="AB103" s="1571"/>
      <c r="AC103" s="1571"/>
      <c r="AD103" s="1571"/>
      <c r="AE103" s="1571"/>
      <c r="AF103" s="1571"/>
      <c r="AG103" s="1571"/>
      <c r="AH103" s="1571"/>
      <c r="AI103" s="1571"/>
      <c r="AJ103" s="1571"/>
      <c r="AK103" s="1569"/>
      <c r="AL103" s="1571"/>
      <c r="AM103" s="1571"/>
      <c r="AN103" s="1571"/>
      <c r="AO103" s="1571"/>
      <c r="AP103" s="1571"/>
      <c r="AQ103" s="1571"/>
      <c r="AR103" s="1571"/>
      <c r="AS103" s="1571"/>
      <c r="AT103" s="1571"/>
      <c r="AU103" s="1571"/>
      <c r="AV103" s="1571"/>
      <c r="AW103" s="1571"/>
      <c r="AX103" s="1571"/>
      <c r="AY103" s="1571"/>
      <c r="AZ103" s="1571"/>
      <c r="BA103" s="1571"/>
      <c r="BB103" s="1571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298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2"/>
      <c r="U104" s="1572"/>
      <c r="V104" s="1572"/>
      <c r="W104" s="1572"/>
      <c r="X104" s="1572"/>
      <c r="Y104" s="1572"/>
      <c r="Z104" s="1572"/>
      <c r="AA104" s="1572"/>
      <c r="AB104" s="1572"/>
      <c r="AC104" s="1572"/>
      <c r="AD104" s="1572"/>
      <c r="AE104" s="1572"/>
      <c r="AF104" s="1572"/>
      <c r="AG104" s="1572"/>
      <c r="AH104" s="1572"/>
      <c r="AI104" s="1572"/>
      <c r="AJ104" s="1572"/>
      <c r="AK104" s="1569"/>
      <c r="AL104" s="1572"/>
      <c r="AM104" s="1572"/>
      <c r="AN104" s="1572"/>
      <c r="AO104" s="1572"/>
      <c r="AP104" s="1572"/>
      <c r="AQ104" s="1572"/>
      <c r="AR104" s="1572"/>
      <c r="AS104" s="1572"/>
      <c r="AT104" s="1572"/>
      <c r="AU104" s="1572"/>
      <c r="AV104" s="1572"/>
      <c r="AW104" s="1572"/>
      <c r="AX104" s="1572"/>
      <c r="AY104" s="1572"/>
      <c r="AZ104" s="1572"/>
      <c r="BA104" s="1572"/>
      <c r="BB104" s="1572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283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2"/>
      <c r="U105" s="1572"/>
      <c r="V105" s="1572"/>
      <c r="W105" s="1572"/>
      <c r="X105" s="1572"/>
      <c r="Y105" s="1572"/>
      <c r="Z105" s="1572"/>
      <c r="AA105" s="1572"/>
      <c r="AB105" s="1572"/>
      <c r="AC105" s="1572"/>
      <c r="AD105" s="1572"/>
      <c r="AE105" s="1572"/>
      <c r="AF105" s="1572"/>
      <c r="AG105" s="1572"/>
      <c r="AH105" s="1572"/>
      <c r="AI105" s="1572"/>
      <c r="AJ105" s="1572"/>
      <c r="AK105" s="1569"/>
      <c r="AL105" s="1572"/>
      <c r="AM105" s="1572"/>
      <c r="AN105" s="1572"/>
      <c r="AO105" s="1572"/>
      <c r="AP105" s="1572"/>
      <c r="AQ105" s="1572"/>
      <c r="AR105" s="1572"/>
      <c r="AS105" s="1572"/>
      <c r="AT105" s="1572"/>
      <c r="AU105" s="1572"/>
      <c r="AV105" s="1572"/>
      <c r="AW105" s="1572"/>
      <c r="AX105" s="1572"/>
      <c r="AY105" s="1572"/>
      <c r="AZ105" s="1572"/>
      <c r="BA105" s="1572"/>
      <c r="BB105" s="1572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314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2"/>
      <c r="U106" s="1572"/>
      <c r="V106" s="1572"/>
      <c r="W106" s="1572"/>
      <c r="X106" s="1572"/>
      <c r="Y106" s="1572"/>
      <c r="Z106" s="1572"/>
      <c r="AA106" s="1572"/>
      <c r="AB106" s="1572"/>
      <c r="AC106" s="1572"/>
      <c r="AD106" s="1572"/>
      <c r="AE106" s="1572"/>
      <c r="AF106" s="1572"/>
      <c r="AG106" s="1572"/>
      <c r="AH106" s="1572"/>
      <c r="AI106" s="1572"/>
      <c r="AJ106" s="1572"/>
      <c r="AK106" s="1569"/>
      <c r="AL106" s="1572"/>
      <c r="AM106" s="1572"/>
      <c r="AN106" s="1572"/>
      <c r="AO106" s="1572"/>
      <c r="AP106" s="1572"/>
      <c r="AQ106" s="1572"/>
      <c r="AR106" s="1572"/>
      <c r="AS106" s="1572"/>
      <c r="AT106" s="1572"/>
      <c r="AU106" s="1572"/>
      <c r="AV106" s="1572"/>
      <c r="AW106" s="1572"/>
      <c r="AX106" s="1572"/>
      <c r="AY106" s="1572"/>
      <c r="AZ106" s="1572"/>
      <c r="BA106" s="1572"/>
      <c r="BB106" s="1572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315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3" t="str">
        <f t="shared" ref="T107:AJ107" si="149">IF(T104="","",T103*T104*T105*T106)</f>
        <v/>
      </c>
      <c r="U107" s="1573" t="str">
        <f t="shared" si="149"/>
        <v/>
      </c>
      <c r="V107" s="1573" t="str">
        <f t="shared" si="149"/>
        <v/>
      </c>
      <c r="W107" s="1573" t="str">
        <f t="shared" si="149"/>
        <v/>
      </c>
      <c r="X107" s="1573" t="str">
        <f t="shared" si="149"/>
        <v/>
      </c>
      <c r="Y107" s="1573" t="str">
        <f t="shared" si="149"/>
        <v/>
      </c>
      <c r="Z107" s="1573" t="str">
        <f t="shared" si="149"/>
        <v/>
      </c>
      <c r="AA107" s="1573" t="str">
        <f t="shared" si="149"/>
        <v/>
      </c>
      <c r="AB107" s="1573" t="str">
        <f t="shared" si="149"/>
        <v/>
      </c>
      <c r="AC107" s="1573" t="str">
        <f t="shared" si="149"/>
        <v/>
      </c>
      <c r="AD107" s="1573" t="str">
        <f t="shared" si="149"/>
        <v/>
      </c>
      <c r="AE107" s="1573" t="str">
        <f t="shared" si="149"/>
        <v/>
      </c>
      <c r="AF107" s="1573" t="str">
        <f t="shared" si="149"/>
        <v/>
      </c>
      <c r="AG107" s="1573" t="str">
        <f t="shared" si="149"/>
        <v/>
      </c>
      <c r="AH107" s="1573" t="str">
        <f t="shared" si="149"/>
        <v/>
      </c>
      <c r="AI107" s="1573" t="str">
        <f t="shared" si="149"/>
        <v/>
      </c>
      <c r="AJ107" s="1573" t="str">
        <f t="shared" si="149"/>
        <v/>
      </c>
      <c r="AK107" s="1569"/>
      <c r="AL107" s="1573" t="str">
        <f t="shared" ref="AL107:BB107" si="150">IF(AL104="","",AL103*AL104*AL105*AL106)</f>
        <v/>
      </c>
      <c r="AM107" s="1573" t="str">
        <f t="shared" si="150"/>
        <v/>
      </c>
      <c r="AN107" s="1573" t="str">
        <f t="shared" si="150"/>
        <v/>
      </c>
      <c r="AO107" s="1573" t="str">
        <f t="shared" si="150"/>
        <v/>
      </c>
      <c r="AP107" s="1573" t="str">
        <f t="shared" si="150"/>
        <v/>
      </c>
      <c r="AQ107" s="1573" t="str">
        <f t="shared" si="150"/>
        <v/>
      </c>
      <c r="AR107" s="1573" t="str">
        <f t="shared" si="150"/>
        <v/>
      </c>
      <c r="AS107" s="1573" t="str">
        <f t="shared" si="150"/>
        <v/>
      </c>
      <c r="AT107" s="1573" t="str">
        <f t="shared" si="150"/>
        <v/>
      </c>
      <c r="AU107" s="1573" t="str">
        <f t="shared" si="150"/>
        <v/>
      </c>
      <c r="AV107" s="1573" t="str">
        <f t="shared" si="150"/>
        <v/>
      </c>
      <c r="AW107" s="1573" t="str">
        <f t="shared" si="150"/>
        <v/>
      </c>
      <c r="AX107" s="1573" t="str">
        <f t="shared" si="150"/>
        <v/>
      </c>
      <c r="AY107" s="1573" t="str">
        <f t="shared" si="150"/>
        <v/>
      </c>
      <c r="AZ107" s="1573" t="str">
        <f t="shared" si="150"/>
        <v/>
      </c>
      <c r="BA107" s="1573" t="str">
        <f t="shared" si="150"/>
        <v/>
      </c>
      <c r="BB107" s="1573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454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1"/>
      <c r="U108" s="1571"/>
      <c r="V108" s="1571"/>
      <c r="W108" s="1571"/>
      <c r="X108" s="1571"/>
      <c r="Y108" s="1571"/>
      <c r="Z108" s="1571"/>
      <c r="AA108" s="1571"/>
      <c r="AB108" s="1571"/>
      <c r="AC108" s="1571"/>
      <c r="AD108" s="1571"/>
      <c r="AE108" s="1571"/>
      <c r="AF108" s="1571"/>
      <c r="AG108" s="1571"/>
      <c r="AH108" s="1571"/>
      <c r="AI108" s="1571"/>
      <c r="AJ108" s="1571"/>
      <c r="AK108" s="1569"/>
      <c r="AL108" s="1571"/>
      <c r="AM108" s="1571"/>
      <c r="AN108" s="1571"/>
      <c r="AO108" s="1571"/>
      <c r="AP108" s="1571"/>
      <c r="AQ108" s="1571"/>
      <c r="AR108" s="1571"/>
      <c r="AS108" s="1571"/>
      <c r="AT108" s="1571"/>
      <c r="AU108" s="1571"/>
      <c r="AV108" s="1571"/>
      <c r="AW108" s="1571"/>
      <c r="AX108" s="1571"/>
      <c r="AY108" s="1571"/>
      <c r="AZ108" s="1571"/>
      <c r="BA108" s="1571"/>
      <c r="BB108" s="1571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297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1"/>
      <c r="U109" s="1571"/>
      <c r="V109" s="1571"/>
      <c r="W109" s="1571"/>
      <c r="X109" s="1571"/>
      <c r="Y109" s="1571"/>
      <c r="Z109" s="1571"/>
      <c r="AA109" s="1571"/>
      <c r="AB109" s="1571"/>
      <c r="AC109" s="1571"/>
      <c r="AD109" s="1571"/>
      <c r="AE109" s="1571"/>
      <c r="AF109" s="1571"/>
      <c r="AG109" s="1571"/>
      <c r="AH109" s="1571"/>
      <c r="AI109" s="1571"/>
      <c r="AJ109" s="1571"/>
      <c r="AK109" s="1569"/>
      <c r="AL109" s="1571"/>
      <c r="AM109" s="1571"/>
      <c r="AN109" s="1571"/>
      <c r="AO109" s="1571"/>
      <c r="AP109" s="1571"/>
      <c r="AQ109" s="1571"/>
      <c r="AR109" s="1571"/>
      <c r="AS109" s="1571"/>
      <c r="AT109" s="1571"/>
      <c r="AU109" s="1571"/>
      <c r="AV109" s="1571"/>
      <c r="AW109" s="1571"/>
      <c r="AX109" s="1571"/>
      <c r="AY109" s="1571"/>
      <c r="AZ109" s="1571"/>
      <c r="BA109" s="1571"/>
      <c r="BB109" s="1571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298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2"/>
      <c r="U110" s="1572"/>
      <c r="V110" s="1572"/>
      <c r="W110" s="1572"/>
      <c r="X110" s="1572"/>
      <c r="Y110" s="1572"/>
      <c r="Z110" s="1572"/>
      <c r="AA110" s="1572"/>
      <c r="AB110" s="1572"/>
      <c r="AC110" s="1572"/>
      <c r="AD110" s="1572"/>
      <c r="AE110" s="1572"/>
      <c r="AF110" s="1572"/>
      <c r="AG110" s="1572"/>
      <c r="AH110" s="1572"/>
      <c r="AI110" s="1572"/>
      <c r="AJ110" s="1572"/>
      <c r="AK110" s="1569"/>
      <c r="AL110" s="1572"/>
      <c r="AM110" s="1572"/>
      <c r="AN110" s="1572"/>
      <c r="AO110" s="1572"/>
      <c r="AP110" s="1572"/>
      <c r="AQ110" s="1572"/>
      <c r="AR110" s="1572"/>
      <c r="AS110" s="1572"/>
      <c r="AT110" s="1572"/>
      <c r="AU110" s="1572"/>
      <c r="AV110" s="1572"/>
      <c r="AW110" s="1572"/>
      <c r="AX110" s="1572"/>
      <c r="AY110" s="1572"/>
      <c r="AZ110" s="1572"/>
      <c r="BA110" s="1572"/>
      <c r="BB110" s="1572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283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2"/>
      <c r="U111" s="1572"/>
      <c r="V111" s="1572"/>
      <c r="W111" s="1572"/>
      <c r="X111" s="1572"/>
      <c r="Y111" s="1572"/>
      <c r="Z111" s="1572"/>
      <c r="AA111" s="1572"/>
      <c r="AB111" s="1572"/>
      <c r="AC111" s="1572"/>
      <c r="AD111" s="1572"/>
      <c r="AE111" s="1572"/>
      <c r="AF111" s="1572"/>
      <c r="AG111" s="1572"/>
      <c r="AH111" s="1572"/>
      <c r="AI111" s="1572"/>
      <c r="AJ111" s="1572"/>
      <c r="AK111" s="1569"/>
      <c r="AL111" s="1572"/>
      <c r="AM111" s="1572"/>
      <c r="AN111" s="1572"/>
      <c r="AO111" s="1572"/>
      <c r="AP111" s="1572"/>
      <c r="AQ111" s="1572"/>
      <c r="AR111" s="1572"/>
      <c r="AS111" s="1572"/>
      <c r="AT111" s="1572"/>
      <c r="AU111" s="1572"/>
      <c r="AV111" s="1572"/>
      <c r="AW111" s="1572"/>
      <c r="AX111" s="1572"/>
      <c r="AY111" s="1572"/>
      <c r="AZ111" s="1572"/>
      <c r="BA111" s="1572"/>
      <c r="BB111" s="1572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314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2"/>
      <c r="U112" s="1572"/>
      <c r="V112" s="1572"/>
      <c r="W112" s="1572"/>
      <c r="X112" s="1572"/>
      <c r="Y112" s="1572"/>
      <c r="Z112" s="1572"/>
      <c r="AA112" s="1572"/>
      <c r="AB112" s="1572"/>
      <c r="AC112" s="1572"/>
      <c r="AD112" s="1572"/>
      <c r="AE112" s="1572"/>
      <c r="AF112" s="1572"/>
      <c r="AG112" s="1572"/>
      <c r="AH112" s="1572"/>
      <c r="AI112" s="1572"/>
      <c r="AJ112" s="1572"/>
      <c r="AK112" s="1569"/>
      <c r="AL112" s="1572"/>
      <c r="AM112" s="1572"/>
      <c r="AN112" s="1572"/>
      <c r="AO112" s="1572"/>
      <c r="AP112" s="1572"/>
      <c r="AQ112" s="1572"/>
      <c r="AR112" s="1572"/>
      <c r="AS112" s="1572"/>
      <c r="AT112" s="1572"/>
      <c r="AU112" s="1572"/>
      <c r="AV112" s="1572"/>
      <c r="AW112" s="1572"/>
      <c r="AX112" s="1572"/>
      <c r="AY112" s="1572"/>
      <c r="AZ112" s="1572"/>
      <c r="BA112" s="1572"/>
      <c r="BB112" s="1572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315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3" t="str">
        <f t="shared" ref="T113:AJ113" si="157">IF(T110="","",T109*T110*T111*T112)</f>
        <v/>
      </c>
      <c r="U113" s="1573" t="str">
        <f t="shared" si="157"/>
        <v/>
      </c>
      <c r="V113" s="1573" t="str">
        <f t="shared" si="157"/>
        <v/>
      </c>
      <c r="W113" s="1573" t="str">
        <f t="shared" si="157"/>
        <v/>
      </c>
      <c r="X113" s="1573" t="str">
        <f t="shared" si="157"/>
        <v/>
      </c>
      <c r="Y113" s="1573" t="str">
        <f t="shared" si="157"/>
        <v/>
      </c>
      <c r="Z113" s="1573" t="str">
        <f t="shared" si="157"/>
        <v/>
      </c>
      <c r="AA113" s="1573" t="str">
        <f t="shared" si="157"/>
        <v/>
      </c>
      <c r="AB113" s="1573" t="str">
        <f t="shared" si="157"/>
        <v/>
      </c>
      <c r="AC113" s="1573" t="str">
        <f t="shared" si="157"/>
        <v/>
      </c>
      <c r="AD113" s="1573" t="str">
        <f t="shared" si="157"/>
        <v/>
      </c>
      <c r="AE113" s="1573" t="str">
        <f t="shared" si="157"/>
        <v/>
      </c>
      <c r="AF113" s="1573" t="str">
        <f t="shared" si="157"/>
        <v/>
      </c>
      <c r="AG113" s="1573" t="str">
        <f t="shared" si="157"/>
        <v/>
      </c>
      <c r="AH113" s="1573" t="str">
        <f t="shared" si="157"/>
        <v/>
      </c>
      <c r="AI113" s="1573" t="str">
        <f t="shared" si="157"/>
        <v/>
      </c>
      <c r="AJ113" s="1573" t="str">
        <f t="shared" si="157"/>
        <v/>
      </c>
      <c r="AK113" s="1569"/>
      <c r="AL113" s="1573" t="str">
        <f t="shared" ref="AL113:BB113" si="158">IF(AL110="","",AL109*AL110*AL111*AL112)</f>
        <v/>
      </c>
      <c r="AM113" s="1573" t="str">
        <f t="shared" si="158"/>
        <v/>
      </c>
      <c r="AN113" s="1573" t="str">
        <f t="shared" si="158"/>
        <v/>
      </c>
      <c r="AO113" s="1573" t="str">
        <f t="shared" si="158"/>
        <v/>
      </c>
      <c r="AP113" s="1573" t="str">
        <f t="shared" si="158"/>
        <v/>
      </c>
      <c r="AQ113" s="1573" t="str">
        <f t="shared" si="158"/>
        <v/>
      </c>
      <c r="AR113" s="1573" t="str">
        <f t="shared" si="158"/>
        <v/>
      </c>
      <c r="AS113" s="1573" t="str">
        <f t="shared" si="158"/>
        <v/>
      </c>
      <c r="AT113" s="1573" t="str">
        <f t="shared" si="158"/>
        <v/>
      </c>
      <c r="AU113" s="1573" t="str">
        <f t="shared" si="158"/>
        <v/>
      </c>
      <c r="AV113" s="1573" t="str">
        <f t="shared" si="158"/>
        <v/>
      </c>
      <c r="AW113" s="1573" t="str">
        <f t="shared" si="158"/>
        <v/>
      </c>
      <c r="AX113" s="1573" t="str">
        <f t="shared" si="158"/>
        <v/>
      </c>
      <c r="AY113" s="1573" t="str">
        <f t="shared" si="158"/>
        <v/>
      </c>
      <c r="AZ113" s="1573" t="str">
        <f t="shared" si="158"/>
        <v/>
      </c>
      <c r="BA113" s="1573" t="str">
        <f t="shared" si="158"/>
        <v/>
      </c>
      <c r="BB113" s="1573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444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1"/>
      <c r="U114" s="1571"/>
      <c r="V114" s="1571"/>
      <c r="W114" s="1571"/>
      <c r="X114" s="1571"/>
      <c r="Y114" s="1571"/>
      <c r="Z114" s="1571"/>
      <c r="AA114" s="1571"/>
      <c r="AB114" s="1571"/>
      <c r="AC114" s="1571"/>
      <c r="AD114" s="1571"/>
      <c r="AE114" s="1571"/>
      <c r="AF114" s="1571"/>
      <c r="AG114" s="1571"/>
      <c r="AH114" s="1571"/>
      <c r="AI114" s="1571"/>
      <c r="AJ114" s="1571"/>
      <c r="AK114" s="1569"/>
      <c r="AL114" s="1571"/>
      <c r="AM114" s="1571"/>
      <c r="AN114" s="1571"/>
      <c r="AO114" s="1571"/>
      <c r="AP114" s="1571"/>
      <c r="AQ114" s="1571"/>
      <c r="AR114" s="1571"/>
      <c r="AS114" s="1571"/>
      <c r="AT114" s="1571"/>
      <c r="AU114" s="1571"/>
      <c r="AV114" s="1571"/>
      <c r="AW114" s="1571"/>
      <c r="AX114" s="1571"/>
      <c r="AY114" s="1571"/>
      <c r="AZ114" s="1571"/>
      <c r="BA114" s="1571"/>
      <c r="BB114" s="1571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297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1"/>
      <c r="U115" s="1571"/>
      <c r="V115" s="1571"/>
      <c r="W115" s="1571"/>
      <c r="X115" s="1571"/>
      <c r="Y115" s="1571"/>
      <c r="Z115" s="1571"/>
      <c r="AA115" s="1571"/>
      <c r="AB115" s="1571"/>
      <c r="AC115" s="1571"/>
      <c r="AD115" s="1571"/>
      <c r="AE115" s="1571"/>
      <c r="AF115" s="1571"/>
      <c r="AG115" s="1571"/>
      <c r="AH115" s="1571"/>
      <c r="AI115" s="1571"/>
      <c r="AJ115" s="1571"/>
      <c r="AK115" s="1569"/>
      <c r="AL115" s="1571"/>
      <c r="AM115" s="1571"/>
      <c r="AN115" s="1571"/>
      <c r="AO115" s="1571"/>
      <c r="AP115" s="1571"/>
      <c r="AQ115" s="1571"/>
      <c r="AR115" s="1571"/>
      <c r="AS115" s="1571"/>
      <c r="AT115" s="1571"/>
      <c r="AU115" s="1571"/>
      <c r="AV115" s="1571"/>
      <c r="AW115" s="1571"/>
      <c r="AX115" s="1571"/>
      <c r="AY115" s="1571"/>
      <c r="AZ115" s="1571"/>
      <c r="BA115" s="1571"/>
      <c r="BB115" s="1571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298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2"/>
      <c r="U116" s="1572"/>
      <c r="V116" s="1572"/>
      <c r="W116" s="1572"/>
      <c r="X116" s="1572"/>
      <c r="Y116" s="1572"/>
      <c r="Z116" s="1572"/>
      <c r="AA116" s="1572"/>
      <c r="AB116" s="1572"/>
      <c r="AC116" s="1572"/>
      <c r="AD116" s="1572"/>
      <c r="AE116" s="1572"/>
      <c r="AF116" s="1572"/>
      <c r="AG116" s="1572"/>
      <c r="AH116" s="1572"/>
      <c r="AI116" s="1572"/>
      <c r="AJ116" s="1572"/>
      <c r="AK116" s="1569"/>
      <c r="AL116" s="1572"/>
      <c r="AM116" s="1572"/>
      <c r="AN116" s="1572"/>
      <c r="AO116" s="1572"/>
      <c r="AP116" s="1572"/>
      <c r="AQ116" s="1572"/>
      <c r="AR116" s="1572"/>
      <c r="AS116" s="1572"/>
      <c r="AT116" s="1572"/>
      <c r="AU116" s="1572"/>
      <c r="AV116" s="1572"/>
      <c r="AW116" s="1572"/>
      <c r="AX116" s="1572"/>
      <c r="AY116" s="1572"/>
      <c r="AZ116" s="1572"/>
      <c r="BA116" s="1572"/>
      <c r="BB116" s="1572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283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2"/>
      <c r="U117" s="1572"/>
      <c r="V117" s="1572"/>
      <c r="W117" s="1572"/>
      <c r="X117" s="1572"/>
      <c r="Y117" s="1572"/>
      <c r="Z117" s="1572"/>
      <c r="AA117" s="1572"/>
      <c r="AB117" s="1572"/>
      <c r="AC117" s="1572"/>
      <c r="AD117" s="1572"/>
      <c r="AE117" s="1572"/>
      <c r="AF117" s="1572"/>
      <c r="AG117" s="1572"/>
      <c r="AH117" s="1572"/>
      <c r="AI117" s="1572"/>
      <c r="AJ117" s="1572"/>
      <c r="AK117" s="1569"/>
      <c r="AL117" s="1572"/>
      <c r="AM117" s="1572"/>
      <c r="AN117" s="1572"/>
      <c r="AO117" s="1572"/>
      <c r="AP117" s="1572"/>
      <c r="AQ117" s="1572"/>
      <c r="AR117" s="1572"/>
      <c r="AS117" s="1572"/>
      <c r="AT117" s="1572"/>
      <c r="AU117" s="1572"/>
      <c r="AV117" s="1572"/>
      <c r="AW117" s="1572"/>
      <c r="AX117" s="1572"/>
      <c r="AY117" s="1572"/>
      <c r="AZ117" s="1572"/>
      <c r="BA117" s="1572"/>
      <c r="BB117" s="1572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314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2"/>
      <c r="U118" s="1572"/>
      <c r="V118" s="1572"/>
      <c r="W118" s="1572"/>
      <c r="X118" s="1572"/>
      <c r="Y118" s="1572"/>
      <c r="Z118" s="1572"/>
      <c r="AA118" s="1572"/>
      <c r="AB118" s="1572"/>
      <c r="AC118" s="1572"/>
      <c r="AD118" s="1572"/>
      <c r="AE118" s="1572"/>
      <c r="AF118" s="1572"/>
      <c r="AG118" s="1572"/>
      <c r="AH118" s="1572"/>
      <c r="AI118" s="1572"/>
      <c r="AJ118" s="1572"/>
      <c r="AK118" s="1569"/>
      <c r="AL118" s="1572"/>
      <c r="AM118" s="1572"/>
      <c r="AN118" s="1572"/>
      <c r="AO118" s="1572"/>
      <c r="AP118" s="1572"/>
      <c r="AQ118" s="1572"/>
      <c r="AR118" s="1572"/>
      <c r="AS118" s="1572"/>
      <c r="AT118" s="1572"/>
      <c r="AU118" s="1572"/>
      <c r="AV118" s="1572"/>
      <c r="AW118" s="1572"/>
      <c r="AX118" s="1572"/>
      <c r="AY118" s="1572"/>
      <c r="AZ118" s="1572"/>
      <c r="BA118" s="1572"/>
      <c r="BB118" s="1572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315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3" t="str">
        <f t="shared" ref="T119:AJ119" si="188">IF(T116="","",T115*T116*T117*T118)</f>
        <v/>
      </c>
      <c r="U119" s="1573" t="str">
        <f t="shared" si="188"/>
        <v/>
      </c>
      <c r="V119" s="1573" t="str">
        <f t="shared" si="188"/>
        <v/>
      </c>
      <c r="W119" s="1573" t="str">
        <f t="shared" si="188"/>
        <v/>
      </c>
      <c r="X119" s="1573" t="str">
        <f t="shared" si="188"/>
        <v/>
      </c>
      <c r="Y119" s="1573" t="str">
        <f t="shared" si="188"/>
        <v/>
      </c>
      <c r="Z119" s="1573" t="str">
        <f t="shared" si="188"/>
        <v/>
      </c>
      <c r="AA119" s="1573" t="str">
        <f t="shared" si="188"/>
        <v/>
      </c>
      <c r="AB119" s="1573" t="str">
        <f t="shared" si="188"/>
        <v/>
      </c>
      <c r="AC119" s="1573" t="str">
        <f t="shared" si="188"/>
        <v/>
      </c>
      <c r="AD119" s="1573" t="str">
        <f t="shared" si="188"/>
        <v/>
      </c>
      <c r="AE119" s="1573" t="str">
        <f t="shared" si="188"/>
        <v/>
      </c>
      <c r="AF119" s="1573" t="str">
        <f t="shared" si="188"/>
        <v/>
      </c>
      <c r="AG119" s="1573" t="str">
        <f t="shared" si="188"/>
        <v/>
      </c>
      <c r="AH119" s="1573" t="str">
        <f t="shared" si="188"/>
        <v/>
      </c>
      <c r="AI119" s="1573" t="str">
        <f t="shared" si="188"/>
        <v/>
      </c>
      <c r="AJ119" s="1573" t="str">
        <f t="shared" si="188"/>
        <v/>
      </c>
      <c r="AK119" s="1569"/>
      <c r="AL119" s="1573" t="str">
        <f t="shared" ref="AL119:BB119" si="189">IF(AL116="","",AL115*AL116*AL117*AL118)</f>
        <v/>
      </c>
      <c r="AM119" s="1573" t="str">
        <f t="shared" si="189"/>
        <v/>
      </c>
      <c r="AN119" s="1573" t="str">
        <f t="shared" si="189"/>
        <v/>
      </c>
      <c r="AO119" s="1573" t="str">
        <f t="shared" si="189"/>
        <v/>
      </c>
      <c r="AP119" s="1573" t="str">
        <f t="shared" si="189"/>
        <v/>
      </c>
      <c r="AQ119" s="1573" t="str">
        <f t="shared" si="189"/>
        <v/>
      </c>
      <c r="AR119" s="1573" t="str">
        <f t="shared" si="189"/>
        <v/>
      </c>
      <c r="AS119" s="1573" t="str">
        <f t="shared" si="189"/>
        <v/>
      </c>
      <c r="AT119" s="1573" t="str">
        <f t="shared" si="189"/>
        <v/>
      </c>
      <c r="AU119" s="1573" t="str">
        <f t="shared" si="189"/>
        <v/>
      </c>
      <c r="AV119" s="1573" t="str">
        <f t="shared" si="189"/>
        <v/>
      </c>
      <c r="AW119" s="1573" t="str">
        <f t="shared" si="189"/>
        <v/>
      </c>
      <c r="AX119" s="1573" t="str">
        <f t="shared" si="189"/>
        <v/>
      </c>
      <c r="AY119" s="1573" t="str">
        <f t="shared" si="189"/>
        <v/>
      </c>
      <c r="AZ119" s="1573" t="str">
        <f t="shared" si="189"/>
        <v/>
      </c>
      <c r="BA119" s="1573" t="str">
        <f t="shared" si="189"/>
        <v/>
      </c>
      <c r="BB119" s="1573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455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74">
        <f t="shared" ref="T120:AJ120" si="192">SUM(T71,T77,T83,T89,T95,T101,T107,T113,T119)</f>
        <v>0</v>
      </c>
      <c r="U120" s="1574">
        <f t="shared" si="192"/>
        <v>0</v>
      </c>
      <c r="V120" s="1574">
        <f t="shared" si="192"/>
        <v>0</v>
      </c>
      <c r="W120" s="1574">
        <f t="shared" si="192"/>
        <v>0</v>
      </c>
      <c r="X120" s="1574">
        <f t="shared" si="192"/>
        <v>0</v>
      </c>
      <c r="Y120" s="1574">
        <f t="shared" si="192"/>
        <v>0</v>
      </c>
      <c r="Z120" s="1574">
        <f t="shared" si="192"/>
        <v>0</v>
      </c>
      <c r="AA120" s="1574">
        <f t="shared" si="192"/>
        <v>0</v>
      </c>
      <c r="AB120" s="1574">
        <f t="shared" si="192"/>
        <v>0</v>
      </c>
      <c r="AC120" s="1574">
        <f t="shared" si="192"/>
        <v>0</v>
      </c>
      <c r="AD120" s="1574">
        <f t="shared" si="192"/>
        <v>0</v>
      </c>
      <c r="AE120" s="1574">
        <f t="shared" si="192"/>
        <v>0</v>
      </c>
      <c r="AF120" s="1574">
        <f t="shared" si="192"/>
        <v>0</v>
      </c>
      <c r="AG120" s="1574">
        <f t="shared" si="192"/>
        <v>0</v>
      </c>
      <c r="AH120" s="1574">
        <f t="shared" si="192"/>
        <v>0</v>
      </c>
      <c r="AI120" s="1574">
        <f t="shared" si="192"/>
        <v>0</v>
      </c>
      <c r="AJ120" s="1574">
        <f t="shared" si="192"/>
        <v>0</v>
      </c>
      <c r="AK120" s="1575"/>
      <c r="AL120" s="1574">
        <f t="shared" ref="AL120:BB120" si="193">SUM(AL71,AL77,AL83,AL89,AL95,AL101,AL107,AL113,AL119)</f>
        <v>0</v>
      </c>
      <c r="AM120" s="1574">
        <f t="shared" si="193"/>
        <v>0</v>
      </c>
      <c r="AN120" s="1574">
        <f t="shared" si="193"/>
        <v>0</v>
      </c>
      <c r="AO120" s="1574">
        <f t="shared" si="193"/>
        <v>0</v>
      </c>
      <c r="AP120" s="1574">
        <f t="shared" si="193"/>
        <v>660</v>
      </c>
      <c r="AQ120" s="1574">
        <f t="shared" si="193"/>
        <v>0</v>
      </c>
      <c r="AR120" s="1574">
        <f t="shared" si="193"/>
        <v>0</v>
      </c>
      <c r="AS120" s="1574">
        <f t="shared" si="193"/>
        <v>0</v>
      </c>
      <c r="AT120" s="1574">
        <f t="shared" si="193"/>
        <v>0</v>
      </c>
      <c r="AU120" s="1574">
        <f t="shared" si="193"/>
        <v>0</v>
      </c>
      <c r="AV120" s="1574">
        <f t="shared" si="193"/>
        <v>0</v>
      </c>
      <c r="AW120" s="1574">
        <f t="shared" si="193"/>
        <v>0</v>
      </c>
      <c r="AX120" s="1574">
        <f t="shared" si="193"/>
        <v>0</v>
      </c>
      <c r="AY120" s="1574">
        <f t="shared" si="193"/>
        <v>0</v>
      </c>
      <c r="AZ120" s="1574">
        <f t="shared" si="193"/>
        <v>0</v>
      </c>
      <c r="BA120" s="1574">
        <f t="shared" si="193"/>
        <v>0</v>
      </c>
      <c r="BB120" s="1574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68"/>
      <c r="U121" s="1568"/>
      <c r="V121" s="1568"/>
      <c r="W121" s="1568"/>
      <c r="X121" s="1568"/>
      <c r="Y121" s="1568"/>
      <c r="Z121" s="1568"/>
      <c r="AA121" s="1568"/>
      <c r="AB121" s="1568"/>
      <c r="AC121" s="1568"/>
      <c r="AD121" s="1568"/>
      <c r="AE121" s="1568"/>
      <c r="AF121" s="1576" t="s">
        <v>287</v>
      </c>
      <c r="AG121" s="1568"/>
      <c r="AH121" s="1568"/>
      <c r="AI121" s="1568"/>
      <c r="AJ121" s="1568"/>
      <c r="AK121" s="1569"/>
      <c r="AL121" s="1568"/>
      <c r="AM121" s="1568"/>
      <c r="AN121" s="1568"/>
      <c r="AO121" s="1568"/>
      <c r="AP121" s="1568"/>
      <c r="AQ121" s="1568"/>
      <c r="AR121" s="1568"/>
      <c r="AS121" s="1568"/>
      <c r="AT121" s="1568"/>
      <c r="AU121" s="1568"/>
      <c r="AV121" s="1568"/>
      <c r="AW121" s="1568"/>
      <c r="AX121" s="1568"/>
      <c r="AY121" s="1568"/>
      <c r="AZ121" s="1568"/>
      <c r="BA121" s="1568"/>
      <c r="BB121" s="1568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456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0"/>
      <c r="U122" s="1570"/>
      <c r="V122" s="1570"/>
      <c r="W122" s="1570"/>
      <c r="X122" s="1570"/>
      <c r="Y122" s="1570"/>
      <c r="Z122" s="1570"/>
      <c r="AA122" s="1570"/>
      <c r="AB122" s="1570"/>
      <c r="AC122" s="1570"/>
      <c r="AD122" s="1570"/>
      <c r="AE122" s="1570"/>
      <c r="AF122" s="1570"/>
      <c r="AG122" s="1570"/>
      <c r="AH122" s="1570"/>
      <c r="AI122" s="1570"/>
      <c r="AJ122" s="1570"/>
      <c r="AK122" s="1569"/>
      <c r="AL122" s="1570"/>
      <c r="AM122" s="1570"/>
      <c r="AN122" s="1570"/>
      <c r="AO122" s="1570"/>
      <c r="AP122" s="1570"/>
      <c r="AQ122" s="1570"/>
      <c r="AR122" s="1570"/>
      <c r="AS122" s="1570"/>
      <c r="AT122" s="1570"/>
      <c r="AU122" s="1570"/>
      <c r="AV122" s="1570"/>
      <c r="AW122" s="1570"/>
      <c r="AX122" s="1570"/>
      <c r="AY122" s="1570"/>
      <c r="AZ122" s="1570"/>
      <c r="BA122" s="1570"/>
      <c r="BB122" s="15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457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1"/>
      <c r="U123" s="1571"/>
      <c r="V123" s="1571"/>
      <c r="W123" s="1571"/>
      <c r="X123" s="1571"/>
      <c r="Y123" s="1571"/>
      <c r="Z123" s="1571"/>
      <c r="AA123" s="1571"/>
      <c r="AB123" s="1571"/>
      <c r="AC123" s="1571"/>
      <c r="AD123" s="1571"/>
      <c r="AE123" s="1571"/>
      <c r="AF123" s="1571"/>
      <c r="AG123" s="1571"/>
      <c r="AH123" s="1571"/>
      <c r="AI123" s="1571"/>
      <c r="AJ123" s="1571"/>
      <c r="AK123" s="1569"/>
      <c r="AL123" s="1571"/>
      <c r="AM123" s="1571"/>
      <c r="AN123" s="1571"/>
      <c r="AO123" s="1571"/>
      <c r="AP123" s="1571"/>
      <c r="AQ123" s="1571"/>
      <c r="AR123" s="1571"/>
      <c r="AS123" s="1571"/>
      <c r="AT123" s="1571"/>
      <c r="AU123" s="1571"/>
      <c r="AV123" s="1571"/>
      <c r="AW123" s="1571"/>
      <c r="AX123" s="1571"/>
      <c r="AY123" s="1571"/>
      <c r="AZ123" s="1571"/>
      <c r="BA123" s="1571"/>
      <c r="BB123" s="1571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297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1"/>
      <c r="U124" s="1571"/>
      <c r="V124" s="1571"/>
      <c r="W124" s="1571"/>
      <c r="X124" s="1571"/>
      <c r="Y124" s="1571"/>
      <c r="Z124" s="1571"/>
      <c r="AA124" s="1571"/>
      <c r="AB124" s="1571"/>
      <c r="AC124" s="1571"/>
      <c r="AD124" s="1571"/>
      <c r="AE124" s="1571"/>
      <c r="AF124" s="1571"/>
      <c r="AG124" s="1571"/>
      <c r="AH124" s="1571"/>
      <c r="AI124" s="1571"/>
      <c r="AJ124" s="1571"/>
      <c r="AK124" s="1569"/>
      <c r="AL124" s="1571"/>
      <c r="AM124" s="1571">
        <v>1</v>
      </c>
      <c r="AN124" s="1571"/>
      <c r="AO124" s="1571"/>
      <c r="AP124" s="1571"/>
      <c r="AQ124" s="1571"/>
      <c r="AR124" s="1571"/>
      <c r="AS124" s="1571"/>
      <c r="AT124" s="1571"/>
      <c r="AU124" s="1571"/>
      <c r="AV124" s="1571"/>
      <c r="AW124" s="1571"/>
      <c r="AX124" s="1571"/>
      <c r="AY124" s="1571"/>
      <c r="AZ124" s="1571"/>
      <c r="BA124" s="1571"/>
      <c r="BB124" s="1571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298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2"/>
      <c r="U125" s="1572"/>
      <c r="V125" s="1572"/>
      <c r="W125" s="1572"/>
      <c r="X125" s="1572"/>
      <c r="Y125" s="1572"/>
      <c r="Z125" s="1572"/>
      <c r="AA125" s="1572"/>
      <c r="AB125" s="1572"/>
      <c r="AC125" s="1572"/>
      <c r="AD125" s="1572"/>
      <c r="AE125" s="1572"/>
      <c r="AF125" s="1572"/>
      <c r="AG125" s="1572"/>
      <c r="AH125" s="1572"/>
      <c r="AI125" s="1572"/>
      <c r="AJ125" s="1572"/>
      <c r="AK125" s="1569"/>
      <c r="AL125" s="1572"/>
      <c r="AM125" s="1572">
        <v>8</v>
      </c>
      <c r="AN125" s="1572"/>
      <c r="AO125" s="1572"/>
      <c r="AP125" s="1572"/>
      <c r="AQ125" s="1572"/>
      <c r="AR125" s="1572"/>
      <c r="AS125" s="1572"/>
      <c r="AT125" s="1572"/>
      <c r="AU125" s="1572"/>
      <c r="AV125" s="1572"/>
      <c r="AW125" s="1572"/>
      <c r="AX125" s="1572"/>
      <c r="AY125" s="1572"/>
      <c r="AZ125" s="1572"/>
      <c r="BA125" s="1572"/>
      <c r="BB125" s="1572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283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2"/>
      <c r="U126" s="1572"/>
      <c r="V126" s="1572"/>
      <c r="W126" s="1572"/>
      <c r="X126" s="1572"/>
      <c r="Y126" s="1572"/>
      <c r="Z126" s="1572"/>
      <c r="AA126" s="1572"/>
      <c r="AB126" s="1572"/>
      <c r="AC126" s="1572"/>
      <c r="AD126" s="1572"/>
      <c r="AE126" s="1572"/>
      <c r="AF126" s="1572"/>
      <c r="AG126" s="1572"/>
      <c r="AH126" s="1572"/>
      <c r="AI126" s="1572"/>
      <c r="AJ126" s="1572"/>
      <c r="AK126" s="1569"/>
      <c r="AL126" s="1572"/>
      <c r="AM126" s="1572">
        <v>12</v>
      </c>
      <c r="AN126" s="1572"/>
      <c r="AO126" s="1572"/>
      <c r="AP126" s="1572"/>
      <c r="AQ126" s="1572"/>
      <c r="AR126" s="1572"/>
      <c r="AS126" s="1572"/>
      <c r="AT126" s="1572"/>
      <c r="AU126" s="1572"/>
      <c r="AV126" s="1572"/>
      <c r="AW126" s="1572"/>
      <c r="AX126" s="1572"/>
      <c r="AY126" s="1572"/>
      <c r="AZ126" s="1572"/>
      <c r="BA126" s="1572"/>
      <c r="BB126" s="1572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314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2"/>
      <c r="U127" s="1572"/>
      <c r="V127" s="1572"/>
      <c r="W127" s="1572"/>
      <c r="X127" s="1572"/>
      <c r="Y127" s="1572"/>
      <c r="Z127" s="1572"/>
      <c r="AA127" s="1572"/>
      <c r="AB127" s="1572"/>
      <c r="AC127" s="1572"/>
      <c r="AD127" s="1572"/>
      <c r="AE127" s="1572"/>
      <c r="AF127" s="1572"/>
      <c r="AG127" s="1572"/>
      <c r="AH127" s="1572"/>
      <c r="AI127" s="1572"/>
      <c r="AJ127" s="1572"/>
      <c r="AK127" s="1569"/>
      <c r="AL127" s="1572"/>
      <c r="AM127" s="1572">
        <v>62.5</v>
      </c>
      <c r="AN127" s="1572"/>
      <c r="AO127" s="1572"/>
      <c r="AP127" s="1572"/>
      <c r="AQ127" s="1572"/>
      <c r="AR127" s="1572"/>
      <c r="AS127" s="1572"/>
      <c r="AT127" s="1572"/>
      <c r="AU127" s="1572"/>
      <c r="AV127" s="1572"/>
      <c r="AW127" s="1572"/>
      <c r="AX127" s="1572"/>
      <c r="AY127" s="1572"/>
      <c r="AZ127" s="1572"/>
      <c r="BA127" s="1572"/>
      <c r="BB127" s="1572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315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3" t="str">
        <f t="shared" ref="T128:AJ128" si="200">IF(T125="","",T124*T125*T126*T127)</f>
        <v/>
      </c>
      <c r="U128" s="1573" t="str">
        <f t="shared" si="200"/>
        <v/>
      </c>
      <c r="V128" s="1573" t="str">
        <f t="shared" si="200"/>
        <v/>
      </c>
      <c r="W128" s="1573" t="str">
        <f t="shared" si="200"/>
        <v/>
      </c>
      <c r="X128" s="1573" t="str">
        <f t="shared" si="200"/>
        <v/>
      </c>
      <c r="Y128" s="1573" t="str">
        <f t="shared" si="200"/>
        <v/>
      </c>
      <c r="Z128" s="1573" t="str">
        <f t="shared" si="200"/>
        <v/>
      </c>
      <c r="AA128" s="1573" t="str">
        <f t="shared" si="200"/>
        <v/>
      </c>
      <c r="AB128" s="1573" t="str">
        <f t="shared" si="200"/>
        <v/>
      </c>
      <c r="AC128" s="1573" t="str">
        <f t="shared" si="200"/>
        <v/>
      </c>
      <c r="AD128" s="1573" t="str">
        <f t="shared" si="200"/>
        <v/>
      </c>
      <c r="AE128" s="1573" t="str">
        <f t="shared" si="200"/>
        <v/>
      </c>
      <c r="AF128" s="1573" t="str">
        <f t="shared" si="200"/>
        <v/>
      </c>
      <c r="AG128" s="1573" t="str">
        <f t="shared" si="200"/>
        <v/>
      </c>
      <c r="AH128" s="1573" t="str">
        <f t="shared" si="200"/>
        <v/>
      </c>
      <c r="AI128" s="1573" t="str">
        <f t="shared" si="200"/>
        <v/>
      </c>
      <c r="AJ128" s="1573" t="str">
        <f t="shared" si="200"/>
        <v/>
      </c>
      <c r="AK128" s="1569"/>
      <c r="AL128" s="1573" t="str">
        <f t="shared" ref="AL128:BB128" si="201">IF(AL125="","",AL124*AL125*AL126*AL127)</f>
        <v/>
      </c>
      <c r="AM128" s="1573">
        <f t="shared" si="201"/>
        <v>6000</v>
      </c>
      <c r="AN128" s="1573" t="str">
        <f t="shared" si="201"/>
        <v/>
      </c>
      <c r="AO128" s="1573" t="str">
        <f t="shared" si="201"/>
        <v/>
      </c>
      <c r="AP128" s="1573" t="str">
        <f t="shared" si="201"/>
        <v/>
      </c>
      <c r="AQ128" s="1573" t="str">
        <f t="shared" si="201"/>
        <v/>
      </c>
      <c r="AR128" s="1573" t="str">
        <f t="shared" si="201"/>
        <v/>
      </c>
      <c r="AS128" s="1573" t="str">
        <f t="shared" si="201"/>
        <v/>
      </c>
      <c r="AT128" s="1573" t="str">
        <f t="shared" si="201"/>
        <v/>
      </c>
      <c r="AU128" s="1573" t="str">
        <f t="shared" si="201"/>
        <v/>
      </c>
      <c r="AV128" s="1573" t="str">
        <f t="shared" si="201"/>
        <v/>
      </c>
      <c r="AW128" s="1573" t="str">
        <f t="shared" si="201"/>
        <v/>
      </c>
      <c r="AX128" s="1573" t="str">
        <f t="shared" si="201"/>
        <v/>
      </c>
      <c r="AY128" s="1573" t="str">
        <f t="shared" si="201"/>
        <v/>
      </c>
      <c r="AZ128" s="1573" t="str">
        <f t="shared" si="201"/>
        <v/>
      </c>
      <c r="BA128" s="1573" t="str">
        <f t="shared" si="201"/>
        <v/>
      </c>
      <c r="BB128" s="1573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458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1"/>
      <c r="U129" s="1571"/>
      <c r="V129" s="1571"/>
      <c r="W129" s="1571"/>
      <c r="X129" s="1571"/>
      <c r="Y129" s="1571"/>
      <c r="Z129" s="1571"/>
      <c r="AA129" s="1571"/>
      <c r="AB129" s="1571"/>
      <c r="AC129" s="1571"/>
      <c r="AD129" s="1571"/>
      <c r="AE129" s="1571"/>
      <c r="AF129" s="1571"/>
      <c r="AG129" s="1571"/>
      <c r="AH129" s="1571"/>
      <c r="AI129" s="1571"/>
      <c r="AJ129" s="1571"/>
      <c r="AK129" s="1569"/>
      <c r="AL129" s="1571"/>
      <c r="AM129" s="1571"/>
      <c r="AN129" s="1571"/>
      <c r="AO129" s="1571"/>
      <c r="AP129" s="1571"/>
      <c r="AQ129" s="1571"/>
      <c r="AR129" s="1571"/>
      <c r="AS129" s="1571"/>
      <c r="AT129" s="1571"/>
      <c r="AU129" s="1571"/>
      <c r="AV129" s="1571"/>
      <c r="AW129" s="1571"/>
      <c r="AX129" s="1571"/>
      <c r="AY129" s="1571"/>
      <c r="AZ129" s="1571"/>
      <c r="BA129" s="1571"/>
      <c r="BB129" s="1571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297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1"/>
      <c r="U130" s="1571"/>
      <c r="V130" s="1571"/>
      <c r="W130" s="1571"/>
      <c r="X130" s="1571"/>
      <c r="Y130" s="1571"/>
      <c r="Z130" s="1571"/>
      <c r="AA130" s="1571"/>
      <c r="AB130" s="1571"/>
      <c r="AC130" s="1571"/>
      <c r="AD130" s="1571"/>
      <c r="AE130" s="1571"/>
      <c r="AF130" s="1571"/>
      <c r="AG130" s="1571"/>
      <c r="AH130" s="1571"/>
      <c r="AI130" s="1571"/>
      <c r="AJ130" s="1571"/>
      <c r="AK130" s="1569"/>
      <c r="AL130" s="1571"/>
      <c r="AM130" s="1571"/>
      <c r="AN130" s="1571"/>
      <c r="AO130" s="1571"/>
      <c r="AP130" s="1571"/>
      <c r="AQ130" s="1571"/>
      <c r="AR130" s="1571"/>
      <c r="AS130" s="1571"/>
      <c r="AT130" s="1571"/>
      <c r="AU130" s="1571"/>
      <c r="AV130" s="1571"/>
      <c r="AW130" s="1571"/>
      <c r="AX130" s="1571"/>
      <c r="AY130" s="1571"/>
      <c r="AZ130" s="1571"/>
      <c r="BA130" s="1571"/>
      <c r="BB130" s="1571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298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2"/>
      <c r="U131" s="1572"/>
      <c r="V131" s="1572"/>
      <c r="W131" s="1572"/>
      <c r="X131" s="1572"/>
      <c r="Y131" s="1572"/>
      <c r="Z131" s="1572"/>
      <c r="AA131" s="1572"/>
      <c r="AB131" s="1572"/>
      <c r="AC131" s="1572"/>
      <c r="AD131" s="1572"/>
      <c r="AE131" s="1572"/>
      <c r="AF131" s="1572"/>
      <c r="AG131" s="1572"/>
      <c r="AH131" s="1572"/>
      <c r="AI131" s="1572"/>
      <c r="AJ131" s="1572"/>
      <c r="AK131" s="1569"/>
      <c r="AL131" s="1572"/>
      <c r="AM131" s="1572"/>
      <c r="AN131" s="1572"/>
      <c r="AO131" s="1572"/>
      <c r="AP131" s="1572"/>
      <c r="AQ131" s="1572"/>
      <c r="AR131" s="1572"/>
      <c r="AS131" s="1572"/>
      <c r="AT131" s="1572"/>
      <c r="AU131" s="1572"/>
      <c r="AV131" s="1572"/>
      <c r="AW131" s="1572"/>
      <c r="AX131" s="1572"/>
      <c r="AY131" s="1572"/>
      <c r="AZ131" s="1572"/>
      <c r="BA131" s="1572"/>
      <c r="BB131" s="1572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283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2"/>
      <c r="U132" s="1572"/>
      <c r="V132" s="1572"/>
      <c r="W132" s="1572"/>
      <c r="X132" s="1572"/>
      <c r="Y132" s="1572"/>
      <c r="Z132" s="1572"/>
      <c r="AA132" s="1572"/>
      <c r="AB132" s="1572"/>
      <c r="AC132" s="1572"/>
      <c r="AD132" s="1572"/>
      <c r="AE132" s="1572"/>
      <c r="AF132" s="1572"/>
      <c r="AG132" s="1572"/>
      <c r="AH132" s="1572"/>
      <c r="AI132" s="1572"/>
      <c r="AJ132" s="1572"/>
      <c r="AK132" s="1569"/>
      <c r="AL132" s="1572"/>
      <c r="AM132" s="1572"/>
      <c r="AN132" s="1572"/>
      <c r="AO132" s="1572"/>
      <c r="AP132" s="1572"/>
      <c r="AQ132" s="1572"/>
      <c r="AR132" s="1572"/>
      <c r="AS132" s="1572"/>
      <c r="AT132" s="1572"/>
      <c r="AU132" s="1572"/>
      <c r="AV132" s="1572"/>
      <c r="AW132" s="1572"/>
      <c r="AX132" s="1572"/>
      <c r="AY132" s="1572"/>
      <c r="AZ132" s="1572"/>
      <c r="BA132" s="1572"/>
      <c r="BB132" s="1572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314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2"/>
      <c r="U133" s="1572"/>
      <c r="V133" s="1572"/>
      <c r="W133" s="1572"/>
      <c r="X133" s="1572"/>
      <c r="Y133" s="1572"/>
      <c r="Z133" s="1572"/>
      <c r="AA133" s="1572"/>
      <c r="AB133" s="1572"/>
      <c r="AC133" s="1572"/>
      <c r="AD133" s="1572"/>
      <c r="AE133" s="1572"/>
      <c r="AF133" s="1572"/>
      <c r="AG133" s="1572"/>
      <c r="AH133" s="1572"/>
      <c r="AI133" s="1572"/>
      <c r="AJ133" s="1572"/>
      <c r="AK133" s="1569"/>
      <c r="AL133" s="1572"/>
      <c r="AM133" s="1572"/>
      <c r="AN133" s="1572"/>
      <c r="AO133" s="1572"/>
      <c r="AP133" s="1572"/>
      <c r="AQ133" s="1572"/>
      <c r="AR133" s="1572"/>
      <c r="AS133" s="1572"/>
      <c r="AT133" s="1572"/>
      <c r="AU133" s="1572"/>
      <c r="AV133" s="1572"/>
      <c r="AW133" s="1572"/>
      <c r="AX133" s="1572"/>
      <c r="AY133" s="1572"/>
      <c r="AZ133" s="1572"/>
      <c r="BA133" s="1572"/>
      <c r="BB133" s="1572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315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3" t="str">
        <f t="shared" ref="T134:AJ134" si="208">IF(T131="","",T130*T131*T132*T133)</f>
        <v/>
      </c>
      <c r="U134" s="1573" t="str">
        <f t="shared" si="208"/>
        <v/>
      </c>
      <c r="V134" s="1573" t="str">
        <f t="shared" si="208"/>
        <v/>
      </c>
      <c r="W134" s="1573" t="str">
        <f t="shared" si="208"/>
        <v/>
      </c>
      <c r="X134" s="1573" t="str">
        <f t="shared" si="208"/>
        <v/>
      </c>
      <c r="Y134" s="1573" t="str">
        <f t="shared" si="208"/>
        <v/>
      </c>
      <c r="Z134" s="1573" t="str">
        <f t="shared" si="208"/>
        <v/>
      </c>
      <c r="AA134" s="1573" t="str">
        <f t="shared" si="208"/>
        <v/>
      </c>
      <c r="AB134" s="1573" t="str">
        <f t="shared" si="208"/>
        <v/>
      </c>
      <c r="AC134" s="1573" t="str">
        <f t="shared" si="208"/>
        <v/>
      </c>
      <c r="AD134" s="1573" t="str">
        <f t="shared" si="208"/>
        <v/>
      </c>
      <c r="AE134" s="1573" t="str">
        <f t="shared" si="208"/>
        <v/>
      </c>
      <c r="AF134" s="1573" t="str">
        <f t="shared" si="208"/>
        <v/>
      </c>
      <c r="AG134" s="1573" t="str">
        <f t="shared" si="208"/>
        <v/>
      </c>
      <c r="AH134" s="1573" t="str">
        <f t="shared" si="208"/>
        <v/>
      </c>
      <c r="AI134" s="1573" t="str">
        <f t="shared" si="208"/>
        <v/>
      </c>
      <c r="AJ134" s="1573" t="str">
        <f t="shared" si="208"/>
        <v/>
      </c>
      <c r="AK134" s="1569"/>
      <c r="AL134" s="1573" t="str">
        <f t="shared" ref="AL134:BB134" si="209">IF(AL131="","",AL130*AL131*AL132*AL133)</f>
        <v/>
      </c>
      <c r="AM134" s="1573" t="str">
        <f t="shared" si="209"/>
        <v/>
      </c>
      <c r="AN134" s="1573" t="str">
        <f t="shared" si="209"/>
        <v/>
      </c>
      <c r="AO134" s="1573" t="str">
        <f t="shared" si="209"/>
        <v/>
      </c>
      <c r="AP134" s="1573" t="str">
        <f t="shared" si="209"/>
        <v/>
      </c>
      <c r="AQ134" s="1573" t="str">
        <f t="shared" si="209"/>
        <v/>
      </c>
      <c r="AR134" s="1573" t="str">
        <f t="shared" si="209"/>
        <v/>
      </c>
      <c r="AS134" s="1573" t="str">
        <f t="shared" si="209"/>
        <v/>
      </c>
      <c r="AT134" s="1573" t="str">
        <f t="shared" si="209"/>
        <v/>
      </c>
      <c r="AU134" s="1573" t="str">
        <f t="shared" si="209"/>
        <v/>
      </c>
      <c r="AV134" s="1573" t="str">
        <f t="shared" si="209"/>
        <v/>
      </c>
      <c r="AW134" s="1573" t="str">
        <f t="shared" si="209"/>
        <v/>
      </c>
      <c r="AX134" s="1573" t="str">
        <f t="shared" si="209"/>
        <v/>
      </c>
      <c r="AY134" s="1573" t="str">
        <f t="shared" si="209"/>
        <v/>
      </c>
      <c r="AZ134" s="1573" t="str">
        <f t="shared" si="209"/>
        <v/>
      </c>
      <c r="BA134" s="1573" t="str">
        <f t="shared" si="209"/>
        <v/>
      </c>
      <c r="BB134" s="1573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459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1"/>
      <c r="U135" s="1571"/>
      <c r="V135" s="1571"/>
      <c r="W135" s="1571"/>
      <c r="X135" s="1571"/>
      <c r="Y135" s="1571"/>
      <c r="Z135" s="1571"/>
      <c r="AA135" s="1571"/>
      <c r="AB135" s="1571"/>
      <c r="AC135" s="1571"/>
      <c r="AD135" s="1571"/>
      <c r="AE135" s="1571"/>
      <c r="AF135" s="1571"/>
      <c r="AG135" s="1571"/>
      <c r="AH135" s="1571"/>
      <c r="AI135" s="1571"/>
      <c r="AJ135" s="1571"/>
      <c r="AK135" s="1569"/>
      <c r="AL135" s="1571"/>
      <c r="AM135" s="1571"/>
      <c r="AN135" s="1571"/>
      <c r="AO135" s="1571"/>
      <c r="AP135" s="1571"/>
      <c r="AQ135" s="1571"/>
      <c r="AR135" s="1571"/>
      <c r="AS135" s="1571"/>
      <c r="AT135" s="1571"/>
      <c r="AU135" s="1571"/>
      <c r="AV135" s="1571"/>
      <c r="AW135" s="1571"/>
      <c r="AX135" s="1571"/>
      <c r="AY135" s="1571"/>
      <c r="AZ135" s="1571"/>
      <c r="BA135" s="1571"/>
      <c r="BB135" s="1571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297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1"/>
      <c r="U136" s="1571"/>
      <c r="V136" s="1571"/>
      <c r="W136" s="1571"/>
      <c r="X136" s="1571"/>
      <c r="Y136" s="1571"/>
      <c r="Z136" s="1571"/>
      <c r="AA136" s="1571"/>
      <c r="AB136" s="1571"/>
      <c r="AC136" s="1571"/>
      <c r="AD136" s="1571"/>
      <c r="AE136" s="1571"/>
      <c r="AF136" s="1571"/>
      <c r="AG136" s="1571"/>
      <c r="AH136" s="1571"/>
      <c r="AI136" s="1571"/>
      <c r="AJ136" s="1571"/>
      <c r="AK136" s="1569"/>
      <c r="AL136" s="1571"/>
      <c r="AM136" s="1571"/>
      <c r="AN136" s="1571"/>
      <c r="AO136" s="1571"/>
      <c r="AP136" s="1571"/>
      <c r="AQ136" s="1571"/>
      <c r="AR136" s="1571"/>
      <c r="AS136" s="1571"/>
      <c r="AT136" s="1571"/>
      <c r="AU136" s="1571"/>
      <c r="AV136" s="1571"/>
      <c r="AW136" s="1571"/>
      <c r="AX136" s="1571"/>
      <c r="AY136" s="1571"/>
      <c r="AZ136" s="1571"/>
      <c r="BA136" s="1571"/>
      <c r="BB136" s="1571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298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2"/>
      <c r="U137" s="1572"/>
      <c r="V137" s="1572"/>
      <c r="W137" s="1572"/>
      <c r="X137" s="1572"/>
      <c r="Y137" s="1572"/>
      <c r="Z137" s="1572"/>
      <c r="AA137" s="1572"/>
      <c r="AB137" s="1572"/>
      <c r="AC137" s="1572"/>
      <c r="AD137" s="1572"/>
      <c r="AE137" s="1572"/>
      <c r="AF137" s="1572"/>
      <c r="AG137" s="1572"/>
      <c r="AH137" s="1572"/>
      <c r="AI137" s="1572"/>
      <c r="AJ137" s="1572"/>
      <c r="AK137" s="1569"/>
      <c r="AL137" s="1572"/>
      <c r="AM137" s="1572"/>
      <c r="AN137" s="1572"/>
      <c r="AO137" s="1572"/>
      <c r="AP137" s="1572"/>
      <c r="AQ137" s="1572"/>
      <c r="AR137" s="1572"/>
      <c r="AS137" s="1572"/>
      <c r="AT137" s="1572"/>
      <c r="AU137" s="1572"/>
      <c r="AV137" s="1572"/>
      <c r="AW137" s="1572"/>
      <c r="AX137" s="1572"/>
      <c r="AY137" s="1572"/>
      <c r="AZ137" s="1572"/>
      <c r="BA137" s="1572"/>
      <c r="BB137" s="1572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283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2"/>
      <c r="U138" s="1572"/>
      <c r="V138" s="1572"/>
      <c r="W138" s="1572"/>
      <c r="X138" s="1572"/>
      <c r="Y138" s="1572"/>
      <c r="Z138" s="1572"/>
      <c r="AA138" s="1572"/>
      <c r="AB138" s="1572"/>
      <c r="AC138" s="1572"/>
      <c r="AD138" s="1572"/>
      <c r="AE138" s="1572"/>
      <c r="AF138" s="1572"/>
      <c r="AG138" s="1572"/>
      <c r="AH138" s="1572"/>
      <c r="AI138" s="1572"/>
      <c r="AJ138" s="1572"/>
      <c r="AK138" s="1569"/>
      <c r="AL138" s="1572"/>
      <c r="AM138" s="1572"/>
      <c r="AN138" s="1572"/>
      <c r="AO138" s="1572"/>
      <c r="AP138" s="1572"/>
      <c r="AQ138" s="1572"/>
      <c r="AR138" s="1572"/>
      <c r="AS138" s="1572"/>
      <c r="AT138" s="1572"/>
      <c r="AU138" s="1572"/>
      <c r="AV138" s="1572"/>
      <c r="AW138" s="1572"/>
      <c r="AX138" s="1572"/>
      <c r="AY138" s="1572"/>
      <c r="AZ138" s="1572"/>
      <c r="BA138" s="1572"/>
      <c r="BB138" s="1572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314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2"/>
      <c r="U139" s="1572"/>
      <c r="V139" s="1572"/>
      <c r="W139" s="1572"/>
      <c r="X139" s="1572"/>
      <c r="Y139" s="1572"/>
      <c r="Z139" s="1572"/>
      <c r="AA139" s="1572"/>
      <c r="AB139" s="1572"/>
      <c r="AC139" s="1572"/>
      <c r="AD139" s="1572"/>
      <c r="AE139" s="1572"/>
      <c r="AF139" s="1572"/>
      <c r="AG139" s="1572"/>
      <c r="AH139" s="1572"/>
      <c r="AI139" s="1572"/>
      <c r="AJ139" s="1572"/>
      <c r="AK139" s="1569"/>
      <c r="AL139" s="1572"/>
      <c r="AM139" s="1572"/>
      <c r="AN139" s="1572"/>
      <c r="AO139" s="1572"/>
      <c r="AP139" s="1572"/>
      <c r="AQ139" s="1572"/>
      <c r="AR139" s="1572"/>
      <c r="AS139" s="1572"/>
      <c r="AT139" s="1572"/>
      <c r="AU139" s="1572"/>
      <c r="AV139" s="1572"/>
      <c r="AW139" s="1572"/>
      <c r="AX139" s="1572"/>
      <c r="AY139" s="1572"/>
      <c r="AZ139" s="1572"/>
      <c r="BA139" s="1572"/>
      <c r="BB139" s="1572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315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3" t="str">
        <f t="shared" ref="T140:AJ140" si="216">IF(T137="","",T136*T137*T138*T139)</f>
        <v/>
      </c>
      <c r="U140" s="1573" t="str">
        <f t="shared" si="216"/>
        <v/>
      </c>
      <c r="V140" s="1573" t="str">
        <f t="shared" si="216"/>
        <v/>
      </c>
      <c r="W140" s="1573" t="str">
        <f t="shared" si="216"/>
        <v/>
      </c>
      <c r="X140" s="1573" t="str">
        <f t="shared" si="216"/>
        <v/>
      </c>
      <c r="Y140" s="1573" t="str">
        <f t="shared" si="216"/>
        <v/>
      </c>
      <c r="Z140" s="1573" t="str">
        <f t="shared" si="216"/>
        <v/>
      </c>
      <c r="AA140" s="1573" t="str">
        <f t="shared" si="216"/>
        <v/>
      </c>
      <c r="AB140" s="1573" t="str">
        <f t="shared" si="216"/>
        <v/>
      </c>
      <c r="AC140" s="1573" t="str">
        <f t="shared" si="216"/>
        <v/>
      </c>
      <c r="AD140" s="1573" t="str">
        <f t="shared" si="216"/>
        <v/>
      </c>
      <c r="AE140" s="1573" t="str">
        <f t="shared" si="216"/>
        <v/>
      </c>
      <c r="AF140" s="1573" t="str">
        <f t="shared" si="216"/>
        <v/>
      </c>
      <c r="AG140" s="1573" t="str">
        <f t="shared" si="216"/>
        <v/>
      </c>
      <c r="AH140" s="1573" t="str">
        <f t="shared" si="216"/>
        <v/>
      </c>
      <c r="AI140" s="1573" t="str">
        <f t="shared" si="216"/>
        <v/>
      </c>
      <c r="AJ140" s="1573" t="str">
        <f t="shared" si="216"/>
        <v/>
      </c>
      <c r="AK140" s="1569"/>
      <c r="AL140" s="1573" t="str">
        <f t="shared" ref="AL140:BB140" si="217">IF(AL137="","",AL136*AL137*AL138*AL139)</f>
        <v/>
      </c>
      <c r="AM140" s="1573" t="str">
        <f t="shared" si="217"/>
        <v/>
      </c>
      <c r="AN140" s="1573" t="str">
        <f t="shared" si="217"/>
        <v/>
      </c>
      <c r="AO140" s="1573" t="str">
        <f t="shared" si="217"/>
        <v/>
      </c>
      <c r="AP140" s="1573" t="str">
        <f t="shared" si="217"/>
        <v/>
      </c>
      <c r="AQ140" s="1573" t="str">
        <f t="shared" si="217"/>
        <v/>
      </c>
      <c r="AR140" s="1573" t="str">
        <f t="shared" si="217"/>
        <v/>
      </c>
      <c r="AS140" s="1573" t="str">
        <f t="shared" si="217"/>
        <v/>
      </c>
      <c r="AT140" s="1573" t="str">
        <f t="shared" si="217"/>
        <v/>
      </c>
      <c r="AU140" s="1573" t="str">
        <f t="shared" si="217"/>
        <v/>
      </c>
      <c r="AV140" s="1573" t="str">
        <f t="shared" si="217"/>
        <v/>
      </c>
      <c r="AW140" s="1573" t="str">
        <f t="shared" si="217"/>
        <v/>
      </c>
      <c r="AX140" s="1573" t="str">
        <f t="shared" si="217"/>
        <v/>
      </c>
      <c r="AY140" s="1573" t="str">
        <f t="shared" si="217"/>
        <v/>
      </c>
      <c r="AZ140" s="1573" t="str">
        <f t="shared" si="217"/>
        <v/>
      </c>
      <c r="BA140" s="1573" t="str">
        <f t="shared" si="217"/>
        <v/>
      </c>
      <c r="BB140" s="1573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460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1"/>
      <c r="U141" s="1571"/>
      <c r="V141" s="1571"/>
      <c r="W141" s="1571"/>
      <c r="X141" s="1571"/>
      <c r="Y141" s="1571"/>
      <c r="Z141" s="1571"/>
      <c r="AA141" s="1571"/>
      <c r="AB141" s="1571"/>
      <c r="AC141" s="1571"/>
      <c r="AD141" s="1571"/>
      <c r="AE141" s="1571"/>
      <c r="AF141" s="1571"/>
      <c r="AG141" s="1571"/>
      <c r="AH141" s="1571"/>
      <c r="AI141" s="1571"/>
      <c r="AJ141" s="1571"/>
      <c r="AK141" s="1569"/>
      <c r="AL141" s="1571"/>
      <c r="AM141" s="1571"/>
      <c r="AN141" s="1571"/>
      <c r="AO141" s="1571"/>
      <c r="AP141" s="1571"/>
      <c r="AQ141" s="1571"/>
      <c r="AR141" s="1571"/>
      <c r="AS141" s="1571"/>
      <c r="AT141" s="1571"/>
      <c r="AU141" s="1571"/>
      <c r="AV141" s="1571"/>
      <c r="AW141" s="1571"/>
      <c r="AX141" s="1571"/>
      <c r="AY141" s="1571"/>
      <c r="AZ141" s="1571"/>
      <c r="BA141" s="1571"/>
      <c r="BB141" s="1571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297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1"/>
      <c r="U142" s="1571"/>
      <c r="V142" s="1571"/>
      <c r="W142" s="1571"/>
      <c r="X142" s="1571"/>
      <c r="Y142" s="1571"/>
      <c r="Z142" s="1571"/>
      <c r="AA142" s="1571"/>
      <c r="AB142" s="1571"/>
      <c r="AC142" s="1571"/>
      <c r="AD142" s="1571"/>
      <c r="AE142" s="1571"/>
      <c r="AF142" s="1571"/>
      <c r="AG142" s="1571"/>
      <c r="AH142" s="1571"/>
      <c r="AI142" s="1571"/>
      <c r="AJ142" s="1571"/>
      <c r="AK142" s="1569"/>
      <c r="AL142" s="1571"/>
      <c r="AM142" s="1571"/>
      <c r="AN142" s="1571"/>
      <c r="AO142" s="1571"/>
      <c r="AP142" s="1571"/>
      <c r="AQ142" s="1571"/>
      <c r="AR142" s="1571"/>
      <c r="AS142" s="1571"/>
      <c r="AT142" s="1571"/>
      <c r="AU142" s="1571"/>
      <c r="AV142" s="1571"/>
      <c r="AW142" s="1571"/>
      <c r="AX142" s="1571"/>
      <c r="AY142" s="1571"/>
      <c r="AZ142" s="1571"/>
      <c r="BA142" s="1571"/>
      <c r="BB142" s="1571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298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2"/>
      <c r="U143" s="1572"/>
      <c r="V143" s="1572"/>
      <c r="W143" s="1572"/>
      <c r="X143" s="1572"/>
      <c r="Y143" s="1572"/>
      <c r="Z143" s="1572"/>
      <c r="AA143" s="1572"/>
      <c r="AB143" s="1572"/>
      <c r="AC143" s="1572"/>
      <c r="AD143" s="1572"/>
      <c r="AE143" s="1572"/>
      <c r="AF143" s="1572"/>
      <c r="AG143" s="1572"/>
      <c r="AH143" s="1572"/>
      <c r="AI143" s="1572"/>
      <c r="AJ143" s="1572"/>
      <c r="AK143" s="1569"/>
      <c r="AL143" s="1572"/>
      <c r="AM143" s="1572"/>
      <c r="AN143" s="1572"/>
      <c r="AO143" s="1572"/>
      <c r="AP143" s="1572"/>
      <c r="AQ143" s="1572"/>
      <c r="AR143" s="1572"/>
      <c r="AS143" s="1572"/>
      <c r="AT143" s="1572"/>
      <c r="AU143" s="1572"/>
      <c r="AV143" s="1572"/>
      <c r="AW143" s="1572"/>
      <c r="AX143" s="1572"/>
      <c r="AY143" s="1572"/>
      <c r="AZ143" s="1572"/>
      <c r="BA143" s="1572"/>
      <c r="BB143" s="1572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283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2"/>
      <c r="U144" s="1572"/>
      <c r="V144" s="1572"/>
      <c r="W144" s="1572"/>
      <c r="X144" s="1572"/>
      <c r="Y144" s="1572"/>
      <c r="Z144" s="1572"/>
      <c r="AA144" s="1572"/>
      <c r="AB144" s="1572"/>
      <c r="AC144" s="1572"/>
      <c r="AD144" s="1572"/>
      <c r="AE144" s="1572"/>
      <c r="AF144" s="1572"/>
      <c r="AG144" s="1572"/>
      <c r="AH144" s="1572"/>
      <c r="AI144" s="1572"/>
      <c r="AJ144" s="1572"/>
      <c r="AK144" s="1569"/>
      <c r="AL144" s="1572"/>
      <c r="AM144" s="1572"/>
      <c r="AN144" s="1572"/>
      <c r="AO144" s="1572"/>
      <c r="AP144" s="1572"/>
      <c r="AQ144" s="1572"/>
      <c r="AR144" s="1572"/>
      <c r="AS144" s="1572"/>
      <c r="AT144" s="1572"/>
      <c r="AU144" s="1572"/>
      <c r="AV144" s="1572"/>
      <c r="AW144" s="1572"/>
      <c r="AX144" s="1572"/>
      <c r="AY144" s="1572"/>
      <c r="AZ144" s="1572"/>
      <c r="BA144" s="1572"/>
      <c r="BB144" s="1572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314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2"/>
      <c r="U145" s="1572"/>
      <c r="V145" s="1572"/>
      <c r="W145" s="1572"/>
      <c r="X145" s="1572"/>
      <c r="Y145" s="1572"/>
      <c r="Z145" s="1572"/>
      <c r="AA145" s="1572"/>
      <c r="AB145" s="1572"/>
      <c r="AC145" s="1572"/>
      <c r="AD145" s="1572"/>
      <c r="AE145" s="1572"/>
      <c r="AF145" s="1572"/>
      <c r="AG145" s="1572"/>
      <c r="AH145" s="1572"/>
      <c r="AI145" s="1572"/>
      <c r="AJ145" s="1572"/>
      <c r="AK145" s="1569"/>
      <c r="AL145" s="1572"/>
      <c r="AM145" s="1572"/>
      <c r="AN145" s="1572"/>
      <c r="AO145" s="1572"/>
      <c r="AP145" s="1572"/>
      <c r="AQ145" s="1572"/>
      <c r="AR145" s="1572"/>
      <c r="AS145" s="1572"/>
      <c r="AT145" s="1572"/>
      <c r="AU145" s="1572"/>
      <c r="AV145" s="1572"/>
      <c r="AW145" s="1572"/>
      <c r="AX145" s="1572"/>
      <c r="AY145" s="1572"/>
      <c r="AZ145" s="1572"/>
      <c r="BA145" s="1572"/>
      <c r="BB145" s="1572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315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3" t="str">
        <f t="shared" ref="T146:AJ146" si="224">IF(T143="","",T142*T143*T144*T145)</f>
        <v/>
      </c>
      <c r="U146" s="1573" t="str">
        <f t="shared" si="224"/>
        <v/>
      </c>
      <c r="V146" s="1573" t="str">
        <f t="shared" si="224"/>
        <v/>
      </c>
      <c r="W146" s="1573" t="str">
        <f t="shared" si="224"/>
        <v/>
      </c>
      <c r="X146" s="1573" t="str">
        <f t="shared" si="224"/>
        <v/>
      </c>
      <c r="Y146" s="1573" t="str">
        <f t="shared" si="224"/>
        <v/>
      </c>
      <c r="Z146" s="1573" t="str">
        <f t="shared" si="224"/>
        <v/>
      </c>
      <c r="AA146" s="1573" t="str">
        <f t="shared" si="224"/>
        <v/>
      </c>
      <c r="AB146" s="1573" t="str">
        <f t="shared" si="224"/>
        <v/>
      </c>
      <c r="AC146" s="1573" t="str">
        <f t="shared" si="224"/>
        <v/>
      </c>
      <c r="AD146" s="1573" t="str">
        <f t="shared" si="224"/>
        <v/>
      </c>
      <c r="AE146" s="1573" t="str">
        <f t="shared" si="224"/>
        <v/>
      </c>
      <c r="AF146" s="1573" t="str">
        <f t="shared" si="224"/>
        <v/>
      </c>
      <c r="AG146" s="1573" t="str">
        <f t="shared" si="224"/>
        <v/>
      </c>
      <c r="AH146" s="1573" t="str">
        <f t="shared" si="224"/>
        <v/>
      </c>
      <c r="AI146" s="1573" t="str">
        <f t="shared" si="224"/>
        <v/>
      </c>
      <c r="AJ146" s="1573" t="str">
        <f t="shared" si="224"/>
        <v/>
      </c>
      <c r="AK146" s="1569"/>
      <c r="AL146" s="1573" t="str">
        <f t="shared" ref="AL146:BB146" si="225">IF(AL143="","",AL142*AL143*AL144*AL145)</f>
        <v/>
      </c>
      <c r="AM146" s="1573" t="str">
        <f t="shared" si="225"/>
        <v/>
      </c>
      <c r="AN146" s="1573" t="str">
        <f t="shared" si="225"/>
        <v/>
      </c>
      <c r="AO146" s="1573" t="str">
        <f t="shared" si="225"/>
        <v/>
      </c>
      <c r="AP146" s="1573" t="str">
        <f t="shared" si="225"/>
        <v/>
      </c>
      <c r="AQ146" s="1573" t="str">
        <f t="shared" si="225"/>
        <v/>
      </c>
      <c r="AR146" s="1573" t="str">
        <f t="shared" si="225"/>
        <v/>
      </c>
      <c r="AS146" s="1573" t="str">
        <f t="shared" si="225"/>
        <v/>
      </c>
      <c r="AT146" s="1573" t="str">
        <f t="shared" si="225"/>
        <v/>
      </c>
      <c r="AU146" s="1573" t="str">
        <f t="shared" si="225"/>
        <v/>
      </c>
      <c r="AV146" s="1573" t="str">
        <f t="shared" si="225"/>
        <v/>
      </c>
      <c r="AW146" s="1573" t="str">
        <f t="shared" si="225"/>
        <v/>
      </c>
      <c r="AX146" s="1573" t="str">
        <f t="shared" si="225"/>
        <v/>
      </c>
      <c r="AY146" s="1573" t="str">
        <f t="shared" si="225"/>
        <v/>
      </c>
      <c r="AZ146" s="1573" t="str">
        <f t="shared" si="225"/>
        <v/>
      </c>
      <c r="BA146" s="1573" t="str">
        <f t="shared" si="225"/>
        <v/>
      </c>
      <c r="BB146" s="1573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1"/>
      <c r="U147" s="1571"/>
      <c r="V147" s="1571"/>
      <c r="W147" s="1571"/>
      <c r="X147" s="1571"/>
      <c r="Y147" s="1571"/>
      <c r="Z147" s="1571"/>
      <c r="AA147" s="1571"/>
      <c r="AB147" s="1571"/>
      <c r="AC147" s="1571"/>
      <c r="AD147" s="1571"/>
      <c r="AE147" s="1571"/>
      <c r="AF147" s="1571"/>
      <c r="AG147" s="1571"/>
      <c r="AH147" s="1571"/>
      <c r="AI147" s="1571"/>
      <c r="AJ147" s="1571"/>
      <c r="AK147" s="1569"/>
      <c r="AL147" s="1571"/>
      <c r="AM147" s="1571"/>
      <c r="AN147" s="1571"/>
      <c r="AO147" s="1571"/>
      <c r="AP147" s="1571"/>
      <c r="AQ147" s="1571"/>
      <c r="AR147" s="1571"/>
      <c r="AS147" s="1571"/>
      <c r="AT147" s="1571"/>
      <c r="AU147" s="1571"/>
      <c r="AV147" s="1571"/>
      <c r="AW147" s="1571"/>
      <c r="AX147" s="1571"/>
      <c r="AY147" s="1571"/>
      <c r="AZ147" s="1571"/>
      <c r="BA147" s="1571"/>
      <c r="BB147" s="1571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297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1"/>
      <c r="U148" s="1571"/>
      <c r="V148" s="1571"/>
      <c r="W148" s="1571"/>
      <c r="X148" s="1571"/>
      <c r="Y148" s="1571"/>
      <c r="Z148" s="1571"/>
      <c r="AA148" s="1571"/>
      <c r="AB148" s="1571"/>
      <c r="AC148" s="1571"/>
      <c r="AD148" s="1571"/>
      <c r="AE148" s="1571"/>
      <c r="AF148" s="1571"/>
      <c r="AG148" s="1571"/>
      <c r="AH148" s="1571"/>
      <c r="AI148" s="1571"/>
      <c r="AJ148" s="1571"/>
      <c r="AK148" s="1569"/>
      <c r="AL148" s="1571"/>
      <c r="AM148" s="1571"/>
      <c r="AN148" s="1571"/>
      <c r="AO148" s="1571"/>
      <c r="AP148" s="1571"/>
      <c r="AQ148" s="1571"/>
      <c r="AR148" s="1571"/>
      <c r="AS148" s="1571"/>
      <c r="AT148" s="1571"/>
      <c r="AU148" s="1571"/>
      <c r="AV148" s="1571"/>
      <c r="AW148" s="1571"/>
      <c r="AX148" s="1571"/>
      <c r="AY148" s="1571"/>
      <c r="AZ148" s="1571"/>
      <c r="BA148" s="1571"/>
      <c r="BB148" s="1571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298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2"/>
      <c r="U149" s="1572"/>
      <c r="V149" s="1572"/>
      <c r="W149" s="1572"/>
      <c r="X149" s="1572"/>
      <c r="Y149" s="1572"/>
      <c r="Z149" s="1572"/>
      <c r="AA149" s="1572"/>
      <c r="AB149" s="1572"/>
      <c r="AC149" s="1572"/>
      <c r="AD149" s="1572"/>
      <c r="AE149" s="1572"/>
      <c r="AF149" s="1572"/>
      <c r="AG149" s="1572"/>
      <c r="AH149" s="1572"/>
      <c r="AI149" s="1572"/>
      <c r="AJ149" s="1572"/>
      <c r="AK149" s="1569"/>
      <c r="AL149" s="1572"/>
      <c r="AM149" s="1572"/>
      <c r="AN149" s="1572"/>
      <c r="AO149" s="1572"/>
      <c r="AP149" s="1572"/>
      <c r="AQ149" s="1572"/>
      <c r="AR149" s="1572"/>
      <c r="AS149" s="1572"/>
      <c r="AT149" s="1572"/>
      <c r="AU149" s="1572"/>
      <c r="AV149" s="1572"/>
      <c r="AW149" s="1572"/>
      <c r="AX149" s="1572"/>
      <c r="AY149" s="1572"/>
      <c r="AZ149" s="1572"/>
      <c r="BA149" s="1572"/>
      <c r="BB149" s="1572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283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2"/>
      <c r="U150" s="1572"/>
      <c r="V150" s="1572"/>
      <c r="W150" s="1572"/>
      <c r="X150" s="1572"/>
      <c r="Y150" s="1572"/>
      <c r="Z150" s="1572"/>
      <c r="AA150" s="1572"/>
      <c r="AB150" s="1572"/>
      <c r="AC150" s="1572"/>
      <c r="AD150" s="1572"/>
      <c r="AE150" s="1572"/>
      <c r="AF150" s="1572"/>
      <c r="AG150" s="1572"/>
      <c r="AH150" s="1572"/>
      <c r="AI150" s="1572"/>
      <c r="AJ150" s="1572"/>
      <c r="AK150" s="1569"/>
      <c r="AL150" s="1572"/>
      <c r="AM150" s="1572"/>
      <c r="AN150" s="1572"/>
      <c r="AO150" s="1572"/>
      <c r="AP150" s="1572"/>
      <c r="AQ150" s="1572"/>
      <c r="AR150" s="1572"/>
      <c r="AS150" s="1572"/>
      <c r="AT150" s="1572"/>
      <c r="AU150" s="1572"/>
      <c r="AV150" s="1572"/>
      <c r="AW150" s="1572"/>
      <c r="AX150" s="1572"/>
      <c r="AY150" s="1572"/>
      <c r="AZ150" s="1572"/>
      <c r="BA150" s="1572"/>
      <c r="BB150" s="1572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314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2"/>
      <c r="U151" s="1572"/>
      <c r="V151" s="1572"/>
      <c r="W151" s="1572"/>
      <c r="X151" s="1572"/>
      <c r="Y151" s="1572"/>
      <c r="Z151" s="1572"/>
      <c r="AA151" s="1572"/>
      <c r="AB151" s="1572"/>
      <c r="AC151" s="1572"/>
      <c r="AD151" s="1572"/>
      <c r="AE151" s="1572"/>
      <c r="AF151" s="1572"/>
      <c r="AG151" s="1572"/>
      <c r="AH151" s="1572"/>
      <c r="AI151" s="1572"/>
      <c r="AJ151" s="1572"/>
      <c r="AK151" s="1569"/>
      <c r="AL151" s="1572"/>
      <c r="AM151" s="1572"/>
      <c r="AN151" s="1572"/>
      <c r="AO151" s="1572"/>
      <c r="AP151" s="1572"/>
      <c r="AQ151" s="1572"/>
      <c r="AR151" s="1572"/>
      <c r="AS151" s="1572"/>
      <c r="AT151" s="1572"/>
      <c r="AU151" s="1572"/>
      <c r="AV151" s="1572"/>
      <c r="AW151" s="1572"/>
      <c r="AX151" s="1572"/>
      <c r="AY151" s="1572"/>
      <c r="AZ151" s="1572"/>
      <c r="BA151" s="1572"/>
      <c r="BB151" s="1572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315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3" t="str">
        <f t="shared" ref="T152:AJ152" si="255">IF(T149="","",T148*T149*T150*T151)</f>
        <v/>
      </c>
      <c r="U152" s="1573" t="str">
        <f t="shared" si="255"/>
        <v/>
      </c>
      <c r="V152" s="1573" t="str">
        <f t="shared" si="255"/>
        <v/>
      </c>
      <c r="W152" s="1573" t="str">
        <f t="shared" si="255"/>
        <v/>
      </c>
      <c r="X152" s="1573" t="str">
        <f t="shared" si="255"/>
        <v/>
      </c>
      <c r="Y152" s="1573" t="str">
        <f t="shared" si="255"/>
        <v/>
      </c>
      <c r="Z152" s="1573" t="str">
        <f t="shared" si="255"/>
        <v/>
      </c>
      <c r="AA152" s="1573" t="str">
        <f t="shared" si="255"/>
        <v/>
      </c>
      <c r="AB152" s="1573" t="str">
        <f t="shared" si="255"/>
        <v/>
      </c>
      <c r="AC152" s="1573" t="str">
        <f t="shared" si="255"/>
        <v/>
      </c>
      <c r="AD152" s="1573" t="str">
        <f t="shared" si="255"/>
        <v/>
      </c>
      <c r="AE152" s="1573" t="str">
        <f t="shared" si="255"/>
        <v/>
      </c>
      <c r="AF152" s="1573" t="str">
        <f t="shared" si="255"/>
        <v/>
      </c>
      <c r="AG152" s="1573" t="str">
        <f t="shared" si="255"/>
        <v/>
      </c>
      <c r="AH152" s="1573" t="str">
        <f t="shared" si="255"/>
        <v/>
      </c>
      <c r="AI152" s="1573" t="str">
        <f t="shared" si="255"/>
        <v/>
      </c>
      <c r="AJ152" s="1573" t="str">
        <f t="shared" si="255"/>
        <v/>
      </c>
      <c r="AK152" s="1569"/>
      <c r="AL152" s="1573" t="str">
        <f t="shared" ref="AL152:BB152" si="256">IF(AL149="","",AL148*AL149*AL150*AL151)</f>
        <v/>
      </c>
      <c r="AM152" s="1573" t="str">
        <f t="shared" si="256"/>
        <v/>
      </c>
      <c r="AN152" s="1573" t="str">
        <f t="shared" si="256"/>
        <v/>
      </c>
      <c r="AO152" s="1573" t="str">
        <f t="shared" si="256"/>
        <v/>
      </c>
      <c r="AP152" s="1573" t="str">
        <f t="shared" si="256"/>
        <v/>
      </c>
      <c r="AQ152" s="1573" t="str">
        <f t="shared" si="256"/>
        <v/>
      </c>
      <c r="AR152" s="1573" t="str">
        <f t="shared" si="256"/>
        <v/>
      </c>
      <c r="AS152" s="1573" t="str">
        <f t="shared" si="256"/>
        <v/>
      </c>
      <c r="AT152" s="1573" t="str">
        <f t="shared" si="256"/>
        <v/>
      </c>
      <c r="AU152" s="1573" t="str">
        <f t="shared" si="256"/>
        <v/>
      </c>
      <c r="AV152" s="1573" t="str">
        <f t="shared" si="256"/>
        <v/>
      </c>
      <c r="AW152" s="1573" t="str">
        <f t="shared" si="256"/>
        <v/>
      </c>
      <c r="AX152" s="1573" t="str">
        <f t="shared" si="256"/>
        <v/>
      </c>
      <c r="AY152" s="1573" t="str">
        <f t="shared" si="256"/>
        <v/>
      </c>
      <c r="AZ152" s="1573" t="str">
        <f t="shared" si="256"/>
        <v/>
      </c>
      <c r="BA152" s="1573" t="str">
        <f t="shared" si="256"/>
        <v/>
      </c>
      <c r="BB152" s="1573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461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74">
        <f t="shared" ref="T153:AJ153" si="259">SUM(T128,T134,T140,T146,T152)</f>
        <v>0</v>
      </c>
      <c r="U153" s="1574">
        <f t="shared" si="259"/>
        <v>0</v>
      </c>
      <c r="V153" s="1574">
        <f t="shared" si="259"/>
        <v>0</v>
      </c>
      <c r="W153" s="1574">
        <f t="shared" si="259"/>
        <v>0</v>
      </c>
      <c r="X153" s="1574">
        <f t="shared" si="259"/>
        <v>0</v>
      </c>
      <c r="Y153" s="1574">
        <f t="shared" si="259"/>
        <v>0</v>
      </c>
      <c r="Z153" s="1574">
        <f t="shared" si="259"/>
        <v>0</v>
      </c>
      <c r="AA153" s="1574">
        <f t="shared" si="259"/>
        <v>0</v>
      </c>
      <c r="AB153" s="1574">
        <f t="shared" si="259"/>
        <v>0</v>
      </c>
      <c r="AC153" s="1574">
        <f t="shared" si="259"/>
        <v>0</v>
      </c>
      <c r="AD153" s="1574">
        <f t="shared" si="259"/>
        <v>0</v>
      </c>
      <c r="AE153" s="1574">
        <f t="shared" si="259"/>
        <v>0</v>
      </c>
      <c r="AF153" s="1574">
        <f t="shared" si="259"/>
        <v>0</v>
      </c>
      <c r="AG153" s="1574">
        <f t="shared" si="259"/>
        <v>0</v>
      </c>
      <c r="AH153" s="1574">
        <f t="shared" si="259"/>
        <v>0</v>
      </c>
      <c r="AI153" s="1574">
        <f t="shared" si="259"/>
        <v>0</v>
      </c>
      <c r="AJ153" s="1574">
        <f t="shared" si="259"/>
        <v>0</v>
      </c>
      <c r="AK153" s="1575"/>
      <c r="AL153" s="1574">
        <f t="shared" ref="AL153:BB153" si="260">SUM(AL128,AL134,AL140,AL146,AL152)</f>
        <v>0</v>
      </c>
      <c r="AM153" s="1574">
        <f t="shared" si="260"/>
        <v>6000</v>
      </c>
      <c r="AN153" s="1574">
        <f t="shared" si="260"/>
        <v>0</v>
      </c>
      <c r="AO153" s="1574">
        <f t="shared" si="260"/>
        <v>0</v>
      </c>
      <c r="AP153" s="1574">
        <f t="shared" si="260"/>
        <v>0</v>
      </c>
      <c r="AQ153" s="1574">
        <f t="shared" si="260"/>
        <v>0</v>
      </c>
      <c r="AR153" s="1574">
        <f t="shared" si="260"/>
        <v>0</v>
      </c>
      <c r="AS153" s="1574">
        <f t="shared" si="260"/>
        <v>0</v>
      </c>
      <c r="AT153" s="1574">
        <f t="shared" si="260"/>
        <v>0</v>
      </c>
      <c r="AU153" s="1574">
        <f t="shared" si="260"/>
        <v>0</v>
      </c>
      <c r="AV153" s="1574">
        <f t="shared" si="260"/>
        <v>0</v>
      </c>
      <c r="AW153" s="1574">
        <f t="shared" si="260"/>
        <v>0</v>
      </c>
      <c r="AX153" s="1574">
        <f t="shared" si="260"/>
        <v>0</v>
      </c>
      <c r="AY153" s="1574">
        <f t="shared" si="260"/>
        <v>0</v>
      </c>
      <c r="AZ153" s="1574">
        <f t="shared" si="260"/>
        <v>0</v>
      </c>
      <c r="BA153" s="1574">
        <f t="shared" si="260"/>
        <v>0</v>
      </c>
      <c r="BB153" s="1574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68"/>
      <c r="U154" s="1568"/>
      <c r="V154" s="1568"/>
      <c r="W154" s="1568"/>
      <c r="X154" s="1568"/>
      <c r="Y154" s="1568"/>
      <c r="Z154" s="1568"/>
      <c r="AA154" s="1568"/>
      <c r="AB154" s="1568"/>
      <c r="AC154" s="1568"/>
      <c r="AD154" s="1568"/>
      <c r="AE154" s="1568"/>
      <c r="AF154" s="1568"/>
      <c r="AG154" s="1568"/>
      <c r="AH154" s="1568"/>
      <c r="AI154" s="1568"/>
      <c r="AJ154" s="1568"/>
      <c r="AK154" s="1569"/>
      <c r="AL154" s="1568"/>
      <c r="AM154" s="1568"/>
      <c r="AN154" s="1568"/>
      <c r="AO154" s="1568"/>
      <c r="AP154" s="1568"/>
      <c r="AQ154" s="1568"/>
      <c r="AR154" s="1568"/>
      <c r="AS154" s="1568"/>
      <c r="AT154" s="1568"/>
      <c r="AU154" s="1568"/>
      <c r="AV154" s="1568"/>
      <c r="AW154" s="1568"/>
      <c r="AX154" s="1568"/>
      <c r="AY154" s="1568"/>
      <c r="AZ154" s="1568"/>
      <c r="BA154" s="1568"/>
      <c r="BB154" s="1568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462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0"/>
      <c r="U155" s="1570"/>
      <c r="V155" s="1570"/>
      <c r="W155" s="1570"/>
      <c r="X155" s="1570"/>
      <c r="Y155" s="1570"/>
      <c r="Z155" s="1570"/>
      <c r="AA155" s="1570"/>
      <c r="AB155" s="1570"/>
      <c r="AC155" s="1570"/>
      <c r="AD155" s="1570"/>
      <c r="AE155" s="1570"/>
      <c r="AF155" s="1570"/>
      <c r="AG155" s="1570"/>
      <c r="AH155" s="1570"/>
      <c r="AI155" s="1570"/>
      <c r="AJ155" s="1570"/>
      <c r="AK155" s="1569"/>
      <c r="AL155" s="1570"/>
      <c r="AM155" s="1570"/>
      <c r="AN155" s="1570"/>
      <c r="AO155" s="1570"/>
      <c r="AP155" s="1570"/>
      <c r="AQ155" s="1570"/>
      <c r="AR155" s="1570"/>
      <c r="AS155" s="1570"/>
      <c r="AT155" s="1570"/>
      <c r="AU155" s="1570"/>
      <c r="AV155" s="1570"/>
      <c r="AW155" s="1570"/>
      <c r="AX155" s="1570"/>
      <c r="AY155" s="1570"/>
      <c r="AZ155" s="1570"/>
      <c r="BA155" s="1570"/>
      <c r="BB155" s="15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463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1"/>
      <c r="U156" s="1571"/>
      <c r="V156" s="1571"/>
      <c r="W156" s="1571"/>
      <c r="X156" s="1571"/>
      <c r="Y156" s="1571"/>
      <c r="Z156" s="1571"/>
      <c r="AA156" s="1571"/>
      <c r="AB156" s="1571"/>
      <c r="AC156" s="1571"/>
      <c r="AD156" s="1571"/>
      <c r="AE156" s="1571"/>
      <c r="AF156" s="1571"/>
      <c r="AG156" s="1571"/>
      <c r="AH156" s="1571"/>
      <c r="AI156" s="1571"/>
      <c r="AJ156" s="1571"/>
      <c r="AK156" s="1569"/>
      <c r="AL156" s="1571"/>
      <c r="AM156" s="1571"/>
      <c r="AN156" s="1571"/>
      <c r="AO156" s="1571"/>
      <c r="AP156" s="1571"/>
      <c r="AQ156" s="1571"/>
      <c r="AR156" s="1571"/>
      <c r="AS156" s="1571"/>
      <c r="AT156" s="1571"/>
      <c r="AU156" s="1571"/>
      <c r="AV156" s="1571"/>
      <c r="AW156" s="1571"/>
      <c r="AX156" s="1571"/>
      <c r="AY156" s="1571"/>
      <c r="AZ156" s="1571"/>
      <c r="BA156" s="1571"/>
      <c r="BB156" s="1571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297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1"/>
      <c r="U157" s="1571"/>
      <c r="V157" s="1571"/>
      <c r="W157" s="1571"/>
      <c r="X157" s="1571"/>
      <c r="Y157" s="1571"/>
      <c r="Z157" s="1571"/>
      <c r="AA157" s="1571"/>
      <c r="AB157" s="1571"/>
      <c r="AC157" s="1571"/>
      <c r="AD157" s="1571"/>
      <c r="AE157" s="1571"/>
      <c r="AF157" s="1571"/>
      <c r="AG157" s="1571"/>
      <c r="AH157" s="1571"/>
      <c r="AI157" s="1571"/>
      <c r="AJ157" s="1571"/>
      <c r="AK157" s="1569"/>
      <c r="AL157" s="1571"/>
      <c r="AM157" s="1571"/>
      <c r="AN157" s="1571"/>
      <c r="AO157" s="1571"/>
      <c r="AP157" s="1571"/>
      <c r="AQ157" s="1571"/>
      <c r="AR157" s="1571"/>
      <c r="AS157" s="1571">
        <v>1</v>
      </c>
      <c r="AT157" s="1571"/>
      <c r="AU157" s="1571"/>
      <c r="AV157" s="1571"/>
      <c r="AW157" s="1571"/>
      <c r="AX157" s="1571"/>
      <c r="AY157" s="1571"/>
      <c r="AZ157" s="1571"/>
      <c r="BA157" s="1571"/>
      <c r="BB157" s="1571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298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2"/>
      <c r="U158" s="1572"/>
      <c r="V158" s="1572"/>
      <c r="W158" s="1572"/>
      <c r="X158" s="1572"/>
      <c r="Y158" s="1572"/>
      <c r="Z158" s="1572"/>
      <c r="AA158" s="1572"/>
      <c r="AB158" s="1572"/>
      <c r="AC158" s="1572"/>
      <c r="AD158" s="1572"/>
      <c r="AE158" s="1572"/>
      <c r="AF158" s="1572"/>
      <c r="AG158" s="1572"/>
      <c r="AH158" s="1572"/>
      <c r="AI158" s="1572"/>
      <c r="AJ158" s="1572"/>
      <c r="AK158" s="1569"/>
      <c r="AL158" s="1572"/>
      <c r="AM158" s="1572"/>
      <c r="AN158" s="1572"/>
      <c r="AO158" s="1572"/>
      <c r="AP158" s="1572"/>
      <c r="AQ158" s="1572"/>
      <c r="AR158" s="1572"/>
      <c r="AS158" s="1572">
        <v>3</v>
      </c>
      <c r="AT158" s="1572"/>
      <c r="AU158" s="1572"/>
      <c r="AV158" s="1572"/>
      <c r="AW158" s="1572"/>
      <c r="AX158" s="1572"/>
      <c r="AY158" s="1572"/>
      <c r="AZ158" s="1572"/>
      <c r="BA158" s="1572"/>
      <c r="BB158" s="1572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283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2"/>
      <c r="U159" s="1572"/>
      <c r="V159" s="1572"/>
      <c r="W159" s="1572"/>
      <c r="X159" s="1572"/>
      <c r="Y159" s="1572"/>
      <c r="Z159" s="1572"/>
      <c r="AA159" s="1572"/>
      <c r="AB159" s="1572"/>
      <c r="AC159" s="1572"/>
      <c r="AD159" s="1572"/>
      <c r="AE159" s="1572"/>
      <c r="AF159" s="1572"/>
      <c r="AG159" s="1572"/>
      <c r="AH159" s="1572"/>
      <c r="AI159" s="1572"/>
      <c r="AJ159" s="1572"/>
      <c r="AK159" s="1569"/>
      <c r="AL159" s="1572"/>
      <c r="AM159" s="1572"/>
      <c r="AN159" s="1572"/>
      <c r="AO159" s="1572"/>
      <c r="AP159" s="1572"/>
      <c r="AQ159" s="1572"/>
      <c r="AR159" s="1572"/>
      <c r="AS159" s="1572">
        <v>3</v>
      </c>
      <c r="AT159" s="1572"/>
      <c r="AU159" s="1572"/>
      <c r="AV159" s="1572"/>
      <c r="AW159" s="1572"/>
      <c r="AX159" s="1572"/>
      <c r="AY159" s="1572"/>
      <c r="AZ159" s="1572"/>
      <c r="BA159" s="1572"/>
      <c r="BB159" s="1572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314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2"/>
      <c r="U160" s="1572"/>
      <c r="V160" s="1572"/>
      <c r="W160" s="1572"/>
      <c r="X160" s="1572"/>
      <c r="Y160" s="1572"/>
      <c r="Z160" s="1572"/>
      <c r="AA160" s="1572"/>
      <c r="AB160" s="1572"/>
      <c r="AC160" s="1572"/>
      <c r="AD160" s="1572"/>
      <c r="AE160" s="1572"/>
      <c r="AF160" s="1572"/>
      <c r="AG160" s="1572"/>
      <c r="AH160" s="1572"/>
      <c r="AI160" s="1572"/>
      <c r="AJ160" s="1572"/>
      <c r="AK160" s="1569"/>
      <c r="AL160" s="1572"/>
      <c r="AM160" s="1572"/>
      <c r="AN160" s="1572"/>
      <c r="AO160" s="1572"/>
      <c r="AP160" s="1572"/>
      <c r="AQ160" s="1572"/>
      <c r="AR160" s="1572"/>
      <c r="AS160" s="1572">
        <v>30</v>
      </c>
      <c r="AT160" s="1572"/>
      <c r="AU160" s="1572"/>
      <c r="AV160" s="1572"/>
      <c r="AW160" s="1572"/>
      <c r="AX160" s="1572"/>
      <c r="AY160" s="1572"/>
      <c r="AZ160" s="1572"/>
      <c r="BA160" s="1572"/>
      <c r="BB160" s="1572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315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3" t="str">
        <f t="shared" ref="T161:AJ161" si="267">IF(T158="","",T157*T158*T159*T160)</f>
        <v/>
      </c>
      <c r="U161" s="1573" t="str">
        <f t="shared" si="267"/>
        <v/>
      </c>
      <c r="V161" s="1573" t="str">
        <f t="shared" si="267"/>
        <v/>
      </c>
      <c r="W161" s="1573" t="str">
        <f t="shared" si="267"/>
        <v/>
      </c>
      <c r="X161" s="1573" t="str">
        <f t="shared" si="267"/>
        <v/>
      </c>
      <c r="Y161" s="1573" t="str">
        <f t="shared" si="267"/>
        <v/>
      </c>
      <c r="Z161" s="1573" t="str">
        <f t="shared" si="267"/>
        <v/>
      </c>
      <c r="AA161" s="1573" t="str">
        <f t="shared" si="267"/>
        <v/>
      </c>
      <c r="AB161" s="1573" t="str">
        <f t="shared" si="267"/>
        <v/>
      </c>
      <c r="AC161" s="1573" t="str">
        <f t="shared" si="267"/>
        <v/>
      </c>
      <c r="AD161" s="1573" t="str">
        <f t="shared" si="267"/>
        <v/>
      </c>
      <c r="AE161" s="1573" t="str">
        <f t="shared" si="267"/>
        <v/>
      </c>
      <c r="AF161" s="1573" t="str">
        <f t="shared" si="267"/>
        <v/>
      </c>
      <c r="AG161" s="1573" t="str">
        <f t="shared" si="267"/>
        <v/>
      </c>
      <c r="AH161" s="1573" t="str">
        <f t="shared" si="267"/>
        <v/>
      </c>
      <c r="AI161" s="1573" t="str">
        <f t="shared" si="267"/>
        <v/>
      </c>
      <c r="AJ161" s="1573" t="str">
        <f t="shared" si="267"/>
        <v/>
      </c>
      <c r="AK161" s="1569"/>
      <c r="AL161" s="1573" t="str">
        <f t="shared" ref="AL161:BB161" si="268">IF(AL158="","",AL157*AL158*AL159*AL160)</f>
        <v/>
      </c>
      <c r="AM161" s="1573" t="str">
        <f t="shared" si="268"/>
        <v/>
      </c>
      <c r="AN161" s="1573" t="str">
        <f t="shared" si="268"/>
        <v/>
      </c>
      <c r="AO161" s="1573" t="str">
        <f t="shared" si="268"/>
        <v/>
      </c>
      <c r="AP161" s="1573" t="str">
        <f t="shared" si="268"/>
        <v/>
      </c>
      <c r="AQ161" s="1573" t="str">
        <f t="shared" si="268"/>
        <v/>
      </c>
      <c r="AR161" s="1573" t="str">
        <f t="shared" si="268"/>
        <v/>
      </c>
      <c r="AS161" s="1573">
        <f t="shared" si="268"/>
        <v>270</v>
      </c>
      <c r="AT161" s="1573" t="str">
        <f t="shared" si="268"/>
        <v/>
      </c>
      <c r="AU161" s="1573" t="str">
        <f t="shared" si="268"/>
        <v/>
      </c>
      <c r="AV161" s="1573" t="str">
        <f t="shared" si="268"/>
        <v/>
      </c>
      <c r="AW161" s="1573" t="str">
        <f t="shared" si="268"/>
        <v/>
      </c>
      <c r="AX161" s="1573" t="str">
        <f t="shared" si="268"/>
        <v/>
      </c>
      <c r="AY161" s="1573" t="str">
        <f t="shared" si="268"/>
        <v/>
      </c>
      <c r="AZ161" s="1573" t="str">
        <f t="shared" si="268"/>
        <v/>
      </c>
      <c r="BA161" s="1573" t="str">
        <f t="shared" si="268"/>
        <v/>
      </c>
      <c r="BB161" s="1573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464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1"/>
      <c r="U162" s="1571"/>
      <c r="V162" s="1571"/>
      <c r="W162" s="1571"/>
      <c r="X162" s="1571"/>
      <c r="Y162" s="1571"/>
      <c r="Z162" s="1571"/>
      <c r="AA162" s="1571"/>
      <c r="AB162" s="1571"/>
      <c r="AC162" s="1571"/>
      <c r="AD162" s="1571"/>
      <c r="AE162" s="1571"/>
      <c r="AF162" s="1571"/>
      <c r="AG162" s="1571"/>
      <c r="AH162" s="1571"/>
      <c r="AI162" s="1571"/>
      <c r="AJ162" s="1571"/>
      <c r="AK162" s="1569"/>
      <c r="AL162" s="1571"/>
      <c r="AM162" s="1571"/>
      <c r="AN162" s="1571"/>
      <c r="AO162" s="1571"/>
      <c r="AP162" s="1571"/>
      <c r="AQ162" s="1571"/>
      <c r="AR162" s="1571"/>
      <c r="AS162" s="1571"/>
      <c r="AT162" s="1571"/>
      <c r="AU162" s="1571"/>
      <c r="AV162" s="1571"/>
      <c r="AW162" s="1571"/>
      <c r="AX162" s="1571"/>
      <c r="AY162" s="1571"/>
      <c r="AZ162" s="1571"/>
      <c r="BA162" s="1571"/>
      <c r="BB162" s="1571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297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1"/>
      <c r="U163" s="1571"/>
      <c r="V163" s="1571"/>
      <c r="W163" s="1571"/>
      <c r="X163" s="1571"/>
      <c r="Y163" s="1571"/>
      <c r="Z163" s="1571"/>
      <c r="AA163" s="1571"/>
      <c r="AB163" s="1571"/>
      <c r="AC163" s="1571"/>
      <c r="AD163" s="1571"/>
      <c r="AE163" s="1571"/>
      <c r="AF163" s="1571"/>
      <c r="AG163" s="1571"/>
      <c r="AH163" s="1571"/>
      <c r="AI163" s="1571"/>
      <c r="AJ163" s="1571"/>
      <c r="AK163" s="1569"/>
      <c r="AL163" s="1571"/>
      <c r="AM163" s="1571"/>
      <c r="AN163" s="1571"/>
      <c r="AO163" s="1571"/>
      <c r="AP163" s="1571"/>
      <c r="AQ163" s="1571"/>
      <c r="AR163" s="1571"/>
      <c r="AS163" s="1571"/>
      <c r="AT163" s="1571"/>
      <c r="AU163" s="1571"/>
      <c r="AV163" s="1571"/>
      <c r="AW163" s="1571"/>
      <c r="AX163" s="1571"/>
      <c r="AY163" s="1571"/>
      <c r="AZ163" s="1571"/>
      <c r="BA163" s="1571"/>
      <c r="BB163" s="1571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298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2"/>
      <c r="U164" s="1572"/>
      <c r="V164" s="1572"/>
      <c r="W164" s="1572"/>
      <c r="X164" s="1572"/>
      <c r="Y164" s="1572"/>
      <c r="Z164" s="1572"/>
      <c r="AA164" s="1572"/>
      <c r="AB164" s="1572"/>
      <c r="AC164" s="1572"/>
      <c r="AD164" s="1572"/>
      <c r="AE164" s="1572"/>
      <c r="AF164" s="1572"/>
      <c r="AG164" s="1572"/>
      <c r="AH164" s="1572"/>
      <c r="AI164" s="1572"/>
      <c r="AJ164" s="1572"/>
      <c r="AK164" s="1569"/>
      <c r="AL164" s="1572"/>
      <c r="AM164" s="1572"/>
      <c r="AN164" s="1572"/>
      <c r="AO164" s="1572"/>
      <c r="AP164" s="1572"/>
      <c r="AQ164" s="1572"/>
      <c r="AR164" s="1572"/>
      <c r="AS164" s="1572"/>
      <c r="AT164" s="1572"/>
      <c r="AU164" s="1572"/>
      <c r="AV164" s="1572"/>
      <c r="AW164" s="1572"/>
      <c r="AX164" s="1572"/>
      <c r="AY164" s="1572"/>
      <c r="AZ164" s="1572"/>
      <c r="BA164" s="1572"/>
      <c r="BB164" s="1572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283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2"/>
      <c r="U165" s="1572"/>
      <c r="V165" s="1572"/>
      <c r="W165" s="1572"/>
      <c r="X165" s="1572"/>
      <c r="Y165" s="1572"/>
      <c r="Z165" s="1572"/>
      <c r="AA165" s="1572"/>
      <c r="AB165" s="1572"/>
      <c r="AC165" s="1572"/>
      <c r="AD165" s="1572"/>
      <c r="AE165" s="1572"/>
      <c r="AF165" s="1572"/>
      <c r="AG165" s="1572"/>
      <c r="AH165" s="1572"/>
      <c r="AI165" s="1572"/>
      <c r="AJ165" s="1572"/>
      <c r="AK165" s="1569"/>
      <c r="AL165" s="1572"/>
      <c r="AM165" s="1572"/>
      <c r="AN165" s="1572"/>
      <c r="AO165" s="1572"/>
      <c r="AP165" s="1572"/>
      <c r="AQ165" s="1572"/>
      <c r="AR165" s="1572"/>
      <c r="AS165" s="1572"/>
      <c r="AT165" s="1572"/>
      <c r="AU165" s="1572"/>
      <c r="AV165" s="1572"/>
      <c r="AW165" s="1572"/>
      <c r="AX165" s="1572"/>
      <c r="AY165" s="1572"/>
      <c r="AZ165" s="1572"/>
      <c r="BA165" s="1572"/>
      <c r="BB165" s="1572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314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2"/>
      <c r="U166" s="1572"/>
      <c r="V166" s="1572"/>
      <c r="W166" s="1572"/>
      <c r="X166" s="1572"/>
      <c r="Y166" s="1572"/>
      <c r="Z166" s="1572"/>
      <c r="AA166" s="1572"/>
      <c r="AB166" s="1572"/>
      <c r="AC166" s="1572"/>
      <c r="AD166" s="1572"/>
      <c r="AE166" s="1572"/>
      <c r="AF166" s="1572"/>
      <c r="AG166" s="1572"/>
      <c r="AH166" s="1572"/>
      <c r="AI166" s="1572"/>
      <c r="AJ166" s="1572"/>
      <c r="AK166" s="1569"/>
      <c r="AL166" s="1572"/>
      <c r="AM166" s="1572"/>
      <c r="AN166" s="1572"/>
      <c r="AO166" s="1572"/>
      <c r="AP166" s="1572"/>
      <c r="AQ166" s="1572"/>
      <c r="AR166" s="1572"/>
      <c r="AS166" s="1572"/>
      <c r="AT166" s="1572"/>
      <c r="AU166" s="1572"/>
      <c r="AV166" s="1572"/>
      <c r="AW166" s="1572"/>
      <c r="AX166" s="1572"/>
      <c r="AY166" s="1572"/>
      <c r="AZ166" s="1572"/>
      <c r="BA166" s="1572"/>
      <c r="BB166" s="1572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315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3" t="str">
        <f t="shared" ref="T167:AJ167" si="275">IF(T164="","",T163*T164*T165*T166)</f>
        <v/>
      </c>
      <c r="U167" s="1573" t="str">
        <f t="shared" si="275"/>
        <v/>
      </c>
      <c r="V167" s="1573" t="str">
        <f t="shared" si="275"/>
        <v/>
      </c>
      <c r="W167" s="1573" t="str">
        <f t="shared" si="275"/>
        <v/>
      </c>
      <c r="X167" s="1573" t="str">
        <f t="shared" si="275"/>
        <v/>
      </c>
      <c r="Y167" s="1573" t="str">
        <f t="shared" si="275"/>
        <v/>
      </c>
      <c r="Z167" s="1573" t="str">
        <f t="shared" si="275"/>
        <v/>
      </c>
      <c r="AA167" s="1573" t="str">
        <f t="shared" si="275"/>
        <v/>
      </c>
      <c r="AB167" s="1573" t="str">
        <f t="shared" si="275"/>
        <v/>
      </c>
      <c r="AC167" s="1573" t="str">
        <f t="shared" si="275"/>
        <v/>
      </c>
      <c r="AD167" s="1573" t="str">
        <f t="shared" si="275"/>
        <v/>
      </c>
      <c r="AE167" s="1573" t="str">
        <f t="shared" si="275"/>
        <v/>
      </c>
      <c r="AF167" s="1573" t="str">
        <f t="shared" si="275"/>
        <v/>
      </c>
      <c r="AG167" s="1573" t="str">
        <f t="shared" si="275"/>
        <v/>
      </c>
      <c r="AH167" s="1573" t="str">
        <f t="shared" si="275"/>
        <v/>
      </c>
      <c r="AI167" s="1573" t="str">
        <f t="shared" si="275"/>
        <v/>
      </c>
      <c r="AJ167" s="1573" t="str">
        <f t="shared" si="275"/>
        <v/>
      </c>
      <c r="AK167" s="1569"/>
      <c r="AL167" s="1573" t="str">
        <f t="shared" ref="AL167:BB167" si="276">IF(AL164="","",AL163*AL164*AL165*AL166)</f>
        <v/>
      </c>
      <c r="AM167" s="1573" t="str">
        <f t="shared" si="276"/>
        <v/>
      </c>
      <c r="AN167" s="1573" t="str">
        <f t="shared" si="276"/>
        <v/>
      </c>
      <c r="AO167" s="1573" t="str">
        <f t="shared" si="276"/>
        <v/>
      </c>
      <c r="AP167" s="1573" t="str">
        <f t="shared" si="276"/>
        <v/>
      </c>
      <c r="AQ167" s="1573" t="str">
        <f t="shared" si="276"/>
        <v/>
      </c>
      <c r="AR167" s="1573" t="str">
        <f t="shared" si="276"/>
        <v/>
      </c>
      <c r="AS167" s="1573" t="str">
        <f t="shared" si="276"/>
        <v/>
      </c>
      <c r="AT167" s="1573" t="str">
        <f t="shared" si="276"/>
        <v/>
      </c>
      <c r="AU167" s="1573" t="str">
        <f t="shared" si="276"/>
        <v/>
      </c>
      <c r="AV167" s="1573" t="str">
        <f t="shared" si="276"/>
        <v/>
      </c>
      <c r="AW167" s="1573" t="str">
        <f t="shared" si="276"/>
        <v/>
      </c>
      <c r="AX167" s="1573" t="str">
        <f t="shared" si="276"/>
        <v/>
      </c>
      <c r="AY167" s="1573" t="str">
        <f t="shared" si="276"/>
        <v/>
      </c>
      <c r="AZ167" s="1573" t="str">
        <f t="shared" si="276"/>
        <v/>
      </c>
      <c r="BA167" s="1573" t="str">
        <f t="shared" si="276"/>
        <v/>
      </c>
      <c r="BB167" s="1573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465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1"/>
      <c r="U168" s="1571"/>
      <c r="V168" s="1571"/>
      <c r="W168" s="1571"/>
      <c r="X168" s="1571"/>
      <c r="Y168" s="1571"/>
      <c r="Z168" s="1571"/>
      <c r="AA168" s="1571"/>
      <c r="AB168" s="1571"/>
      <c r="AC168" s="1571"/>
      <c r="AD168" s="1571"/>
      <c r="AE168" s="1571"/>
      <c r="AF168" s="1571"/>
      <c r="AG168" s="1571"/>
      <c r="AH168" s="1571"/>
      <c r="AI168" s="1571"/>
      <c r="AJ168" s="1571"/>
      <c r="AK168" s="1569"/>
      <c r="AL168" s="1571"/>
      <c r="AM168" s="1571"/>
      <c r="AN168" s="1571"/>
      <c r="AO168" s="1571"/>
      <c r="AP168" s="1571"/>
      <c r="AQ168" s="1571"/>
      <c r="AR168" s="1571"/>
      <c r="AS168" s="1571"/>
      <c r="AT168" s="1571"/>
      <c r="AU168" s="1571"/>
      <c r="AV168" s="1571"/>
      <c r="AW168" s="1571"/>
      <c r="AX168" s="1571"/>
      <c r="AY168" s="1571"/>
      <c r="AZ168" s="1571"/>
      <c r="BA168" s="1571"/>
      <c r="BB168" s="1571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297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1"/>
      <c r="U169" s="1571"/>
      <c r="V169" s="1571"/>
      <c r="W169" s="1571"/>
      <c r="X169" s="1571"/>
      <c r="Y169" s="1571"/>
      <c r="Z169" s="1571"/>
      <c r="AA169" s="1571"/>
      <c r="AB169" s="1571"/>
      <c r="AC169" s="1571"/>
      <c r="AD169" s="1571"/>
      <c r="AE169" s="1571"/>
      <c r="AF169" s="1571"/>
      <c r="AG169" s="1571"/>
      <c r="AH169" s="1571"/>
      <c r="AI169" s="1571"/>
      <c r="AJ169" s="1571"/>
      <c r="AK169" s="1569"/>
      <c r="AL169" s="1571"/>
      <c r="AM169" s="1571"/>
      <c r="AN169" s="1571"/>
      <c r="AO169" s="1571">
        <v>1</v>
      </c>
      <c r="AP169" s="1571">
        <v>4</v>
      </c>
      <c r="AQ169" s="1571">
        <v>1</v>
      </c>
      <c r="AR169" s="1571"/>
      <c r="AS169" s="1571"/>
      <c r="AT169" s="1571"/>
      <c r="AU169" s="1571"/>
      <c r="AV169" s="1571"/>
      <c r="AW169" s="1571"/>
      <c r="AX169" s="1571"/>
      <c r="AY169" s="1571"/>
      <c r="AZ169" s="1571"/>
      <c r="BA169" s="1571"/>
      <c r="BB169" s="1571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298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2"/>
      <c r="U170" s="1572"/>
      <c r="V170" s="1572"/>
      <c r="W170" s="1572"/>
      <c r="X170" s="1572"/>
      <c r="Y170" s="1572"/>
      <c r="Z170" s="1572"/>
      <c r="AA170" s="1572"/>
      <c r="AB170" s="1572"/>
      <c r="AC170" s="1572"/>
      <c r="AD170" s="1572"/>
      <c r="AE170" s="1572"/>
      <c r="AF170" s="1572"/>
      <c r="AG170" s="1572"/>
      <c r="AH170" s="1572"/>
      <c r="AI170" s="1572"/>
      <c r="AJ170" s="1572"/>
      <c r="AK170" s="1569"/>
      <c r="AL170" s="1572"/>
      <c r="AM170" s="1572"/>
      <c r="AN170" s="1572"/>
      <c r="AO170" s="1572">
        <v>1</v>
      </c>
      <c r="AP170" s="1572">
        <v>4</v>
      </c>
      <c r="AQ170" s="1572">
        <v>3</v>
      </c>
      <c r="AR170" s="1572"/>
      <c r="AS170" s="1572"/>
      <c r="AT170" s="1572"/>
      <c r="AU170" s="1572"/>
      <c r="AV170" s="1572"/>
      <c r="AW170" s="1572"/>
      <c r="AX170" s="1572"/>
      <c r="AY170" s="1572"/>
      <c r="AZ170" s="1572"/>
      <c r="BA170" s="1572"/>
      <c r="BB170" s="1572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283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2"/>
      <c r="U171" s="1572"/>
      <c r="V171" s="1572"/>
      <c r="W171" s="1572"/>
      <c r="X171" s="1572"/>
      <c r="Y171" s="1572"/>
      <c r="Z171" s="1572"/>
      <c r="AA171" s="1572"/>
      <c r="AB171" s="1572"/>
      <c r="AC171" s="1572"/>
      <c r="AD171" s="1572"/>
      <c r="AE171" s="1572"/>
      <c r="AF171" s="1572"/>
      <c r="AG171" s="1572"/>
      <c r="AH171" s="1572"/>
      <c r="AI171" s="1572"/>
      <c r="AJ171" s="1572"/>
      <c r="AK171" s="1569"/>
      <c r="AL171" s="1572"/>
      <c r="AM171" s="1572"/>
      <c r="AN171" s="1572"/>
      <c r="AO171" s="1572">
        <v>12</v>
      </c>
      <c r="AP171" s="1572">
        <v>1</v>
      </c>
      <c r="AQ171" s="1572">
        <v>12</v>
      </c>
      <c r="AR171" s="1572"/>
      <c r="AS171" s="1572"/>
      <c r="AT171" s="1572"/>
      <c r="AU171" s="1572"/>
      <c r="AV171" s="1572"/>
      <c r="AW171" s="1572"/>
      <c r="AX171" s="1572"/>
      <c r="AY171" s="1572"/>
      <c r="AZ171" s="1572"/>
      <c r="BA171" s="1572"/>
      <c r="BB171" s="1572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314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2"/>
      <c r="U172" s="1572"/>
      <c r="V172" s="1572"/>
      <c r="W172" s="1572"/>
      <c r="X172" s="1572"/>
      <c r="Y172" s="1572"/>
      <c r="Z172" s="1572"/>
      <c r="AA172" s="1572"/>
      <c r="AB172" s="1572"/>
      <c r="AC172" s="1572"/>
      <c r="AD172" s="1572"/>
      <c r="AE172" s="1572"/>
      <c r="AF172" s="1572"/>
      <c r="AG172" s="1572"/>
      <c r="AH172" s="1572"/>
      <c r="AI172" s="1572"/>
      <c r="AJ172" s="1572"/>
      <c r="AK172" s="1569"/>
      <c r="AL172" s="1572"/>
      <c r="AM172" s="1572"/>
      <c r="AN172" s="1572"/>
      <c r="AO172" s="1572">
        <v>1000</v>
      </c>
      <c r="AP172" s="1572">
        <v>62.5</v>
      </c>
      <c r="AQ172" s="1572">
        <v>60</v>
      </c>
      <c r="AR172" s="1572"/>
      <c r="AS172" s="1572"/>
      <c r="AT172" s="1572"/>
      <c r="AU172" s="1572"/>
      <c r="AV172" s="1572"/>
      <c r="AW172" s="1572"/>
      <c r="AX172" s="1572"/>
      <c r="AY172" s="1572"/>
      <c r="AZ172" s="1572"/>
      <c r="BA172" s="1572"/>
      <c r="BB172" s="1572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315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3" t="str">
        <f t="shared" ref="T173:Z173" si="283">IF(T170="","",T169*T170*T171*T172)</f>
        <v/>
      </c>
      <c r="U173" s="1573" t="str">
        <f t="shared" si="283"/>
        <v/>
      </c>
      <c r="V173" s="1573" t="str">
        <f t="shared" si="283"/>
        <v/>
      </c>
      <c r="W173" s="1573" t="str">
        <f t="shared" si="283"/>
        <v/>
      </c>
      <c r="X173" s="1573" t="str">
        <f t="shared" si="283"/>
        <v/>
      </c>
      <c r="Y173" s="1573" t="str">
        <f t="shared" si="283"/>
        <v/>
      </c>
      <c r="Z173" s="1573" t="str">
        <f t="shared" si="283"/>
        <v/>
      </c>
      <c r="AA173" s="1573" t="str">
        <f t="shared" ref="AA173:AJ173" si="284">IF(AA170="","",AA169*AA170*AA171*AA172)</f>
        <v/>
      </c>
      <c r="AB173" s="1573" t="str">
        <f t="shared" si="284"/>
        <v/>
      </c>
      <c r="AC173" s="1573" t="str">
        <f t="shared" si="284"/>
        <v/>
      </c>
      <c r="AD173" s="1573" t="str">
        <f t="shared" si="284"/>
        <v/>
      </c>
      <c r="AE173" s="1573" t="str">
        <f t="shared" si="284"/>
        <v/>
      </c>
      <c r="AF173" s="1573" t="str">
        <f t="shared" si="284"/>
        <v/>
      </c>
      <c r="AG173" s="1573" t="str">
        <f t="shared" si="284"/>
        <v/>
      </c>
      <c r="AH173" s="1573" t="str">
        <f t="shared" si="284"/>
        <v/>
      </c>
      <c r="AI173" s="1573" t="str">
        <f t="shared" si="284"/>
        <v/>
      </c>
      <c r="AJ173" s="1573" t="str">
        <f t="shared" si="284"/>
        <v/>
      </c>
      <c r="AK173" s="1569"/>
      <c r="AL173" s="1573" t="str">
        <f t="shared" ref="AL173:BB173" si="285">IF(AL170="","",AL169*AL170*AL171*AL172)</f>
        <v/>
      </c>
      <c r="AM173" s="1573" t="str">
        <f t="shared" si="285"/>
        <v/>
      </c>
      <c r="AN173" s="1573" t="str">
        <f t="shared" si="285"/>
        <v/>
      </c>
      <c r="AO173" s="1573">
        <f t="shared" si="285"/>
        <v>12000</v>
      </c>
      <c r="AP173" s="1573">
        <f t="shared" si="285"/>
        <v>1000</v>
      </c>
      <c r="AQ173" s="1573">
        <f t="shared" si="285"/>
        <v>2160</v>
      </c>
      <c r="AR173" s="1573" t="str">
        <f t="shared" si="285"/>
        <v/>
      </c>
      <c r="AS173" s="1573" t="str">
        <f t="shared" si="285"/>
        <v/>
      </c>
      <c r="AT173" s="1573" t="str">
        <f t="shared" si="285"/>
        <v/>
      </c>
      <c r="AU173" s="1573" t="str">
        <f t="shared" si="285"/>
        <v/>
      </c>
      <c r="AV173" s="1573" t="str">
        <f t="shared" si="285"/>
        <v/>
      </c>
      <c r="AW173" s="1573" t="str">
        <f t="shared" si="285"/>
        <v/>
      </c>
      <c r="AX173" s="1573" t="str">
        <f t="shared" si="285"/>
        <v/>
      </c>
      <c r="AY173" s="1573" t="str">
        <f t="shared" si="285"/>
        <v/>
      </c>
      <c r="AZ173" s="1573" t="str">
        <f t="shared" si="285"/>
        <v/>
      </c>
      <c r="BA173" s="1573" t="str">
        <f t="shared" si="285"/>
        <v/>
      </c>
      <c r="BB173" s="1573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444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1"/>
      <c r="U174" s="1571"/>
      <c r="V174" s="1571"/>
      <c r="W174" s="1571"/>
      <c r="X174" s="1571"/>
      <c r="Y174" s="1571"/>
      <c r="Z174" s="1571"/>
      <c r="AA174" s="1571"/>
      <c r="AB174" s="1571"/>
      <c r="AC174" s="1571"/>
      <c r="AD174" s="1571"/>
      <c r="AE174" s="1571"/>
      <c r="AF174" s="1571"/>
      <c r="AG174" s="1571"/>
      <c r="AH174" s="1571"/>
      <c r="AI174" s="1571"/>
      <c r="AJ174" s="1571"/>
      <c r="AK174" s="1569"/>
      <c r="AL174" s="1571"/>
      <c r="AM174" s="1571"/>
      <c r="AN174" s="1571"/>
      <c r="AO174" s="1571"/>
      <c r="AP174" s="1571"/>
      <c r="AQ174" s="1571"/>
      <c r="AR174" s="1571"/>
      <c r="AS174" s="1571"/>
      <c r="AT174" s="1571"/>
      <c r="AU174" s="1571"/>
      <c r="AV174" s="1571"/>
      <c r="AW174" s="1571"/>
      <c r="AX174" s="1571"/>
      <c r="AY174" s="1571"/>
      <c r="AZ174" s="1571"/>
      <c r="BA174" s="1571"/>
      <c r="BB174" s="1571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297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1"/>
      <c r="U175" s="1571"/>
      <c r="V175" s="1571"/>
      <c r="W175" s="1571"/>
      <c r="X175" s="1571"/>
      <c r="Y175" s="1571"/>
      <c r="Z175" s="1571"/>
      <c r="AA175" s="1571"/>
      <c r="AB175" s="1571"/>
      <c r="AC175" s="1571"/>
      <c r="AD175" s="1571"/>
      <c r="AE175" s="1571"/>
      <c r="AF175" s="1571"/>
      <c r="AG175" s="1571"/>
      <c r="AH175" s="1571"/>
      <c r="AI175" s="1571"/>
      <c r="AJ175" s="1571"/>
      <c r="AK175" s="1569"/>
      <c r="AL175" s="1571"/>
      <c r="AM175" s="1571"/>
      <c r="AN175" s="1571"/>
      <c r="AO175" s="1571"/>
      <c r="AP175" s="1571"/>
      <c r="AQ175" s="1571"/>
      <c r="AR175" s="1571"/>
      <c r="AS175" s="1571"/>
      <c r="AT175" s="1571"/>
      <c r="AU175" s="1571"/>
      <c r="AV175" s="1571"/>
      <c r="AW175" s="1571"/>
      <c r="AX175" s="1571"/>
      <c r="AY175" s="1571"/>
      <c r="AZ175" s="1571"/>
      <c r="BA175" s="1571"/>
      <c r="BB175" s="1571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298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2"/>
      <c r="U176" s="1572"/>
      <c r="V176" s="1572"/>
      <c r="W176" s="1572"/>
      <c r="X176" s="1572"/>
      <c r="Y176" s="1572"/>
      <c r="Z176" s="1572"/>
      <c r="AA176" s="1572"/>
      <c r="AB176" s="1572"/>
      <c r="AC176" s="1572"/>
      <c r="AD176" s="1572"/>
      <c r="AE176" s="1572"/>
      <c r="AF176" s="1572"/>
      <c r="AG176" s="1572"/>
      <c r="AH176" s="1572"/>
      <c r="AI176" s="1572"/>
      <c r="AJ176" s="1572"/>
      <c r="AK176" s="1569"/>
      <c r="AL176" s="1572"/>
      <c r="AM176" s="1572"/>
      <c r="AN176" s="1572"/>
      <c r="AO176" s="1572"/>
      <c r="AP176" s="1572"/>
      <c r="AQ176" s="1572"/>
      <c r="AR176" s="1572"/>
      <c r="AS176" s="1572"/>
      <c r="AT176" s="1572"/>
      <c r="AU176" s="1572"/>
      <c r="AV176" s="1572"/>
      <c r="AW176" s="1572"/>
      <c r="AX176" s="1572"/>
      <c r="AY176" s="1572"/>
      <c r="AZ176" s="1572"/>
      <c r="BA176" s="1572"/>
      <c r="BB176" s="1572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283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2"/>
      <c r="U177" s="1572"/>
      <c r="V177" s="1572"/>
      <c r="W177" s="1572"/>
      <c r="X177" s="1572"/>
      <c r="Y177" s="1572"/>
      <c r="Z177" s="1572"/>
      <c r="AA177" s="1572"/>
      <c r="AB177" s="1572"/>
      <c r="AC177" s="1572"/>
      <c r="AD177" s="1572"/>
      <c r="AE177" s="1572"/>
      <c r="AF177" s="1572"/>
      <c r="AG177" s="1572"/>
      <c r="AH177" s="1572"/>
      <c r="AI177" s="1572"/>
      <c r="AJ177" s="1572"/>
      <c r="AK177" s="1569"/>
      <c r="AL177" s="1572"/>
      <c r="AM177" s="1572"/>
      <c r="AN177" s="1572"/>
      <c r="AO177" s="1572"/>
      <c r="AP177" s="1572"/>
      <c r="AQ177" s="1572"/>
      <c r="AR177" s="1572"/>
      <c r="AS177" s="1572"/>
      <c r="AT177" s="1572"/>
      <c r="AU177" s="1572"/>
      <c r="AV177" s="1572"/>
      <c r="AW177" s="1572"/>
      <c r="AX177" s="1572"/>
      <c r="AY177" s="1572"/>
      <c r="AZ177" s="1572"/>
      <c r="BA177" s="1572"/>
      <c r="BB177" s="1572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314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2"/>
      <c r="U178" s="1572"/>
      <c r="V178" s="1572"/>
      <c r="W178" s="1572"/>
      <c r="X178" s="1572"/>
      <c r="Y178" s="1572"/>
      <c r="Z178" s="1572"/>
      <c r="AA178" s="1572"/>
      <c r="AB178" s="1572"/>
      <c r="AC178" s="1572"/>
      <c r="AD178" s="1572"/>
      <c r="AE178" s="1572"/>
      <c r="AF178" s="1572"/>
      <c r="AG178" s="1572"/>
      <c r="AH178" s="1572"/>
      <c r="AI178" s="1572"/>
      <c r="AJ178" s="1572"/>
      <c r="AK178" s="1569"/>
      <c r="AL178" s="1572"/>
      <c r="AM178" s="1572"/>
      <c r="AN178" s="1572"/>
      <c r="AO178" s="1572"/>
      <c r="AP178" s="1572"/>
      <c r="AQ178" s="1572"/>
      <c r="AR178" s="1572"/>
      <c r="AS178" s="1572"/>
      <c r="AT178" s="1572"/>
      <c r="AU178" s="1572"/>
      <c r="AV178" s="1572"/>
      <c r="AW178" s="1572"/>
      <c r="AX178" s="1572"/>
      <c r="AY178" s="1572"/>
      <c r="AZ178" s="1572"/>
      <c r="BA178" s="1572"/>
      <c r="BB178" s="1572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315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3" t="str">
        <f t="shared" ref="T179:AJ179" si="292">IF(T176="","",T175*T176*T177*T178)</f>
        <v/>
      </c>
      <c r="U179" s="1573" t="str">
        <f t="shared" si="292"/>
        <v/>
      </c>
      <c r="V179" s="1573" t="str">
        <f t="shared" si="292"/>
        <v/>
      </c>
      <c r="W179" s="1573" t="str">
        <f t="shared" si="292"/>
        <v/>
      </c>
      <c r="X179" s="1573" t="str">
        <f t="shared" si="292"/>
        <v/>
      </c>
      <c r="Y179" s="1573" t="str">
        <f t="shared" si="292"/>
        <v/>
      </c>
      <c r="Z179" s="1573" t="str">
        <f t="shared" si="292"/>
        <v/>
      </c>
      <c r="AA179" s="1573" t="str">
        <f t="shared" si="292"/>
        <v/>
      </c>
      <c r="AB179" s="1573" t="str">
        <f t="shared" si="292"/>
        <v/>
      </c>
      <c r="AC179" s="1573" t="str">
        <f t="shared" si="292"/>
        <v/>
      </c>
      <c r="AD179" s="1573" t="str">
        <f t="shared" si="292"/>
        <v/>
      </c>
      <c r="AE179" s="1573" t="str">
        <f t="shared" si="292"/>
        <v/>
      </c>
      <c r="AF179" s="1573" t="str">
        <f t="shared" si="292"/>
        <v/>
      </c>
      <c r="AG179" s="1573" t="str">
        <f t="shared" si="292"/>
        <v/>
      </c>
      <c r="AH179" s="1573" t="str">
        <f t="shared" si="292"/>
        <v/>
      </c>
      <c r="AI179" s="1573" t="str">
        <f t="shared" si="292"/>
        <v/>
      </c>
      <c r="AJ179" s="1573" t="str">
        <f t="shared" si="292"/>
        <v/>
      </c>
      <c r="AK179" s="1569"/>
      <c r="AL179" s="1573" t="str">
        <f t="shared" ref="AL179:BB179" si="293">IF(AL176="","",AL175*AL176*AL177*AL178)</f>
        <v/>
      </c>
      <c r="AM179" s="1573" t="str">
        <f t="shared" si="293"/>
        <v/>
      </c>
      <c r="AN179" s="1573" t="str">
        <f t="shared" si="293"/>
        <v/>
      </c>
      <c r="AO179" s="1573" t="str">
        <f t="shared" si="293"/>
        <v/>
      </c>
      <c r="AP179" s="1573" t="str">
        <f t="shared" si="293"/>
        <v/>
      </c>
      <c r="AQ179" s="1573" t="str">
        <f t="shared" si="293"/>
        <v/>
      </c>
      <c r="AR179" s="1573" t="str">
        <f t="shared" si="293"/>
        <v/>
      </c>
      <c r="AS179" s="1573" t="str">
        <f t="shared" si="293"/>
        <v/>
      </c>
      <c r="AT179" s="1573" t="str">
        <f t="shared" si="293"/>
        <v/>
      </c>
      <c r="AU179" s="1573" t="str">
        <f t="shared" si="293"/>
        <v/>
      </c>
      <c r="AV179" s="1573" t="str">
        <f t="shared" si="293"/>
        <v/>
      </c>
      <c r="AW179" s="1573" t="str">
        <f t="shared" si="293"/>
        <v/>
      </c>
      <c r="AX179" s="1573" t="str">
        <f t="shared" si="293"/>
        <v/>
      </c>
      <c r="AY179" s="1573" t="str">
        <f t="shared" si="293"/>
        <v/>
      </c>
      <c r="AZ179" s="1573" t="str">
        <f t="shared" si="293"/>
        <v/>
      </c>
      <c r="BA179" s="1573" t="str">
        <f t="shared" si="293"/>
        <v/>
      </c>
      <c r="BB179" s="1573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444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1"/>
      <c r="U180" s="1571"/>
      <c r="V180" s="1571"/>
      <c r="W180" s="1571"/>
      <c r="X180" s="1571"/>
      <c r="Y180" s="1571"/>
      <c r="Z180" s="1571"/>
      <c r="AA180" s="1571"/>
      <c r="AB180" s="1571"/>
      <c r="AC180" s="1571"/>
      <c r="AD180" s="1571"/>
      <c r="AE180" s="1571"/>
      <c r="AF180" s="1571"/>
      <c r="AG180" s="1571"/>
      <c r="AH180" s="1571"/>
      <c r="AI180" s="1571"/>
      <c r="AJ180" s="1571"/>
      <c r="AK180" s="1569"/>
      <c r="AL180" s="1571"/>
      <c r="AM180" s="1571"/>
      <c r="AN180" s="1571"/>
      <c r="AO180" s="1571"/>
      <c r="AP180" s="1571"/>
      <c r="AQ180" s="1571"/>
      <c r="AR180" s="1571"/>
      <c r="AS180" s="1571"/>
      <c r="AT180" s="1571"/>
      <c r="AU180" s="1571"/>
      <c r="AV180" s="1571"/>
      <c r="AW180" s="1571"/>
      <c r="AX180" s="1571"/>
      <c r="AY180" s="1571"/>
      <c r="AZ180" s="1571"/>
      <c r="BA180" s="1571"/>
      <c r="BB180" s="1571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297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1"/>
      <c r="U181" s="1571"/>
      <c r="V181" s="1571"/>
      <c r="W181" s="1571"/>
      <c r="X181" s="1571"/>
      <c r="Y181" s="1571"/>
      <c r="Z181" s="1571"/>
      <c r="AA181" s="1571"/>
      <c r="AB181" s="1571"/>
      <c r="AC181" s="1571"/>
      <c r="AD181" s="1571"/>
      <c r="AE181" s="1571"/>
      <c r="AF181" s="1571"/>
      <c r="AG181" s="1571"/>
      <c r="AH181" s="1571"/>
      <c r="AI181" s="1571"/>
      <c r="AJ181" s="1571"/>
      <c r="AK181" s="1569"/>
      <c r="AL181" s="1571"/>
      <c r="AM181" s="1571"/>
      <c r="AN181" s="1571"/>
      <c r="AO181" s="1571"/>
      <c r="AP181" s="1571"/>
      <c r="AQ181" s="1571"/>
      <c r="AR181" s="1571"/>
      <c r="AS181" s="1571"/>
      <c r="AT181" s="1571"/>
      <c r="AU181" s="1571"/>
      <c r="AV181" s="1571"/>
      <c r="AW181" s="1571"/>
      <c r="AX181" s="1571"/>
      <c r="AY181" s="1571"/>
      <c r="AZ181" s="1571"/>
      <c r="BA181" s="1571"/>
      <c r="BB181" s="1571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298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2"/>
      <c r="U182" s="1572"/>
      <c r="V182" s="1572"/>
      <c r="W182" s="1572"/>
      <c r="X182" s="1572"/>
      <c r="Y182" s="1572"/>
      <c r="Z182" s="1572"/>
      <c r="AA182" s="1572"/>
      <c r="AB182" s="1572"/>
      <c r="AC182" s="1572"/>
      <c r="AD182" s="1572"/>
      <c r="AE182" s="1572"/>
      <c r="AF182" s="1572"/>
      <c r="AG182" s="1572"/>
      <c r="AH182" s="1572"/>
      <c r="AI182" s="1572"/>
      <c r="AJ182" s="1572"/>
      <c r="AK182" s="1569"/>
      <c r="AL182" s="1572"/>
      <c r="AM182" s="1572"/>
      <c r="AN182" s="1572"/>
      <c r="AO182" s="1572"/>
      <c r="AP182" s="1572"/>
      <c r="AQ182" s="1572"/>
      <c r="AR182" s="1572"/>
      <c r="AS182" s="1572"/>
      <c r="AT182" s="1572"/>
      <c r="AU182" s="1572"/>
      <c r="AV182" s="1572"/>
      <c r="AW182" s="1572"/>
      <c r="AX182" s="1572"/>
      <c r="AY182" s="1572"/>
      <c r="AZ182" s="1572"/>
      <c r="BA182" s="1572"/>
      <c r="BB182" s="1572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283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2"/>
      <c r="U183" s="1572"/>
      <c r="V183" s="1572"/>
      <c r="W183" s="1572"/>
      <c r="X183" s="1572"/>
      <c r="Y183" s="1572"/>
      <c r="Z183" s="1572"/>
      <c r="AA183" s="1572"/>
      <c r="AB183" s="1572"/>
      <c r="AC183" s="1572"/>
      <c r="AD183" s="1572"/>
      <c r="AE183" s="1572"/>
      <c r="AF183" s="1572"/>
      <c r="AG183" s="1572"/>
      <c r="AH183" s="1572"/>
      <c r="AI183" s="1572"/>
      <c r="AJ183" s="1572"/>
      <c r="AK183" s="1569"/>
      <c r="AL183" s="1572"/>
      <c r="AM183" s="1572"/>
      <c r="AN183" s="1572"/>
      <c r="AO183" s="1572"/>
      <c r="AP183" s="1572"/>
      <c r="AQ183" s="1572"/>
      <c r="AR183" s="1572"/>
      <c r="AS183" s="1572"/>
      <c r="AT183" s="1572"/>
      <c r="AU183" s="1572"/>
      <c r="AV183" s="1572"/>
      <c r="AW183" s="1572"/>
      <c r="AX183" s="1572"/>
      <c r="AY183" s="1572"/>
      <c r="AZ183" s="1572"/>
      <c r="BA183" s="1572"/>
      <c r="BB183" s="1572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314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2"/>
      <c r="U184" s="1572"/>
      <c r="V184" s="1572"/>
      <c r="W184" s="1572"/>
      <c r="X184" s="1572"/>
      <c r="Y184" s="1572"/>
      <c r="Z184" s="1572"/>
      <c r="AA184" s="1572"/>
      <c r="AB184" s="1572"/>
      <c r="AC184" s="1572"/>
      <c r="AD184" s="1572"/>
      <c r="AE184" s="1572"/>
      <c r="AF184" s="1572"/>
      <c r="AG184" s="1572"/>
      <c r="AH184" s="1572"/>
      <c r="AI184" s="1572"/>
      <c r="AJ184" s="1572"/>
      <c r="AK184" s="1569"/>
      <c r="AL184" s="1572"/>
      <c r="AM184" s="1572"/>
      <c r="AN184" s="1572"/>
      <c r="AO184" s="1572"/>
      <c r="AP184" s="1572"/>
      <c r="AQ184" s="1572"/>
      <c r="AR184" s="1572"/>
      <c r="AS184" s="1572"/>
      <c r="AT184" s="1572"/>
      <c r="AU184" s="1572"/>
      <c r="AV184" s="1572"/>
      <c r="AW184" s="1572"/>
      <c r="AX184" s="1572"/>
      <c r="AY184" s="1572"/>
      <c r="AZ184" s="1572"/>
      <c r="BA184" s="1572"/>
      <c r="BB184" s="1572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315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3" t="str">
        <f t="shared" ref="T185:AJ185" si="300">IF(T182="","",T181*T182*T183*T184)</f>
        <v/>
      </c>
      <c r="U185" s="1573" t="str">
        <f t="shared" si="300"/>
        <v/>
      </c>
      <c r="V185" s="1573" t="str">
        <f t="shared" si="300"/>
        <v/>
      </c>
      <c r="W185" s="1573" t="str">
        <f t="shared" si="300"/>
        <v/>
      </c>
      <c r="X185" s="1573" t="str">
        <f t="shared" si="300"/>
        <v/>
      </c>
      <c r="Y185" s="1573" t="str">
        <f t="shared" si="300"/>
        <v/>
      </c>
      <c r="Z185" s="1573" t="str">
        <f t="shared" si="300"/>
        <v/>
      </c>
      <c r="AA185" s="1573" t="str">
        <f t="shared" si="300"/>
        <v/>
      </c>
      <c r="AB185" s="1573" t="str">
        <f t="shared" si="300"/>
        <v/>
      </c>
      <c r="AC185" s="1573" t="str">
        <f t="shared" si="300"/>
        <v/>
      </c>
      <c r="AD185" s="1573" t="str">
        <f t="shared" si="300"/>
        <v/>
      </c>
      <c r="AE185" s="1573" t="str">
        <f t="shared" si="300"/>
        <v/>
      </c>
      <c r="AF185" s="1573" t="str">
        <f t="shared" si="300"/>
        <v/>
      </c>
      <c r="AG185" s="1573" t="str">
        <f t="shared" si="300"/>
        <v/>
      </c>
      <c r="AH185" s="1573" t="str">
        <f t="shared" si="300"/>
        <v/>
      </c>
      <c r="AI185" s="1573" t="str">
        <f t="shared" si="300"/>
        <v/>
      </c>
      <c r="AJ185" s="1573" t="str">
        <f t="shared" si="300"/>
        <v/>
      </c>
      <c r="AK185" s="1569"/>
      <c r="AL185" s="1573" t="str">
        <f t="shared" ref="AL185:BB185" si="301">IF(AL182="","",AL181*AL182*AL183*AL184)</f>
        <v/>
      </c>
      <c r="AM185" s="1573" t="str">
        <f t="shared" si="301"/>
        <v/>
      </c>
      <c r="AN185" s="1573" t="str">
        <f t="shared" si="301"/>
        <v/>
      </c>
      <c r="AO185" s="1573" t="str">
        <f t="shared" si="301"/>
        <v/>
      </c>
      <c r="AP185" s="1573" t="str">
        <f t="shared" si="301"/>
        <v/>
      </c>
      <c r="AQ185" s="1573" t="str">
        <f t="shared" si="301"/>
        <v/>
      </c>
      <c r="AR185" s="1573" t="str">
        <f t="shared" si="301"/>
        <v/>
      </c>
      <c r="AS185" s="1573" t="str">
        <f t="shared" si="301"/>
        <v/>
      </c>
      <c r="AT185" s="1573" t="str">
        <f t="shared" si="301"/>
        <v/>
      </c>
      <c r="AU185" s="1573" t="str">
        <f t="shared" si="301"/>
        <v/>
      </c>
      <c r="AV185" s="1573" t="str">
        <f t="shared" si="301"/>
        <v/>
      </c>
      <c r="AW185" s="1573" t="str">
        <f t="shared" si="301"/>
        <v/>
      </c>
      <c r="AX185" s="1573" t="str">
        <f t="shared" si="301"/>
        <v/>
      </c>
      <c r="AY185" s="1573" t="str">
        <f t="shared" si="301"/>
        <v/>
      </c>
      <c r="AZ185" s="1573" t="str">
        <f t="shared" si="301"/>
        <v/>
      </c>
      <c r="BA185" s="1573" t="str">
        <f t="shared" si="301"/>
        <v/>
      </c>
      <c r="BB185" s="1573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466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1"/>
      <c r="U186" s="1571"/>
      <c r="V186" s="1571"/>
      <c r="W186" s="1571"/>
      <c r="X186" s="1571"/>
      <c r="Y186" s="1571"/>
      <c r="Z186" s="1571"/>
      <c r="AA186" s="1571"/>
      <c r="AB186" s="1571"/>
      <c r="AC186" s="1571"/>
      <c r="AD186" s="1571"/>
      <c r="AE186" s="1571"/>
      <c r="AF186" s="1571"/>
      <c r="AG186" s="1571"/>
      <c r="AH186" s="1571"/>
      <c r="AI186" s="1571"/>
      <c r="AJ186" s="1571"/>
      <c r="AK186" s="1569"/>
      <c r="AL186" s="1571"/>
      <c r="AM186" s="1571"/>
      <c r="AN186" s="1571"/>
      <c r="AO186" s="1571"/>
      <c r="AP186" s="1571"/>
      <c r="AQ186" s="1571"/>
      <c r="AR186" s="1571"/>
      <c r="AS186" s="1571"/>
      <c r="AT186" s="1571"/>
      <c r="AU186" s="1571"/>
      <c r="AV186" s="1571"/>
      <c r="AW186" s="1571"/>
      <c r="AX186" s="1571"/>
      <c r="AY186" s="1571"/>
      <c r="AZ186" s="1571"/>
      <c r="BA186" s="1571"/>
      <c r="BB186" s="1571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297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1"/>
      <c r="U187" s="1571"/>
      <c r="V187" s="1571"/>
      <c r="W187" s="1571"/>
      <c r="X187" s="1571"/>
      <c r="Y187" s="1571"/>
      <c r="Z187" s="1571"/>
      <c r="AA187" s="1571"/>
      <c r="AB187" s="1571"/>
      <c r="AC187" s="1571"/>
      <c r="AD187" s="1571"/>
      <c r="AE187" s="1571"/>
      <c r="AF187" s="1571"/>
      <c r="AG187" s="1571"/>
      <c r="AH187" s="1571"/>
      <c r="AI187" s="1571"/>
      <c r="AJ187" s="1571"/>
      <c r="AK187" s="1569"/>
      <c r="AL187" s="1571"/>
      <c r="AM187" s="1571"/>
      <c r="AN187" s="1571"/>
      <c r="AO187" s="1571"/>
      <c r="AP187" s="1571"/>
      <c r="AQ187" s="1571"/>
      <c r="AR187" s="1571"/>
      <c r="AS187" s="1571"/>
      <c r="AT187" s="1571"/>
      <c r="AU187" s="1571"/>
      <c r="AV187" s="1571"/>
      <c r="AW187" s="1571"/>
      <c r="AX187" s="1571"/>
      <c r="AY187" s="1571"/>
      <c r="AZ187" s="1571"/>
      <c r="BA187" s="1571"/>
      <c r="BB187" s="1571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298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2"/>
      <c r="U188" s="1572"/>
      <c r="V188" s="1572"/>
      <c r="W188" s="1572"/>
      <c r="X188" s="1572"/>
      <c r="Y188" s="1572"/>
      <c r="Z188" s="1572"/>
      <c r="AA188" s="1572"/>
      <c r="AB188" s="1572"/>
      <c r="AC188" s="1572"/>
      <c r="AD188" s="1572"/>
      <c r="AE188" s="1572"/>
      <c r="AF188" s="1572"/>
      <c r="AG188" s="1572"/>
      <c r="AH188" s="1572"/>
      <c r="AI188" s="1572"/>
      <c r="AJ188" s="1572"/>
      <c r="AK188" s="1569"/>
      <c r="AL188" s="1572"/>
      <c r="AM188" s="1572"/>
      <c r="AN188" s="1572"/>
      <c r="AO188" s="1572"/>
      <c r="AP188" s="1572"/>
      <c r="AQ188" s="1572"/>
      <c r="AR188" s="1572"/>
      <c r="AS188" s="1572"/>
      <c r="AT188" s="1572"/>
      <c r="AU188" s="1572"/>
      <c r="AV188" s="1572"/>
      <c r="AW188" s="1572"/>
      <c r="AX188" s="1572"/>
      <c r="AY188" s="1572"/>
      <c r="AZ188" s="1572"/>
      <c r="BA188" s="1572"/>
      <c r="BB188" s="1572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283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2"/>
      <c r="U189" s="1572"/>
      <c r="V189" s="1572"/>
      <c r="W189" s="1572"/>
      <c r="X189" s="1572"/>
      <c r="Y189" s="1572"/>
      <c r="Z189" s="1572"/>
      <c r="AA189" s="1572"/>
      <c r="AB189" s="1572"/>
      <c r="AC189" s="1572"/>
      <c r="AD189" s="1572"/>
      <c r="AE189" s="1572"/>
      <c r="AF189" s="1572"/>
      <c r="AG189" s="1572"/>
      <c r="AH189" s="1572"/>
      <c r="AI189" s="1572"/>
      <c r="AJ189" s="1572"/>
      <c r="AK189" s="1569"/>
      <c r="AL189" s="1572"/>
      <c r="AM189" s="1572"/>
      <c r="AN189" s="1572"/>
      <c r="AO189" s="1572"/>
      <c r="AP189" s="1572"/>
      <c r="AQ189" s="1572"/>
      <c r="AR189" s="1572"/>
      <c r="AS189" s="1572"/>
      <c r="AT189" s="1572"/>
      <c r="AU189" s="1572"/>
      <c r="AV189" s="1572"/>
      <c r="AW189" s="1572"/>
      <c r="AX189" s="1572"/>
      <c r="AY189" s="1572"/>
      <c r="AZ189" s="1572"/>
      <c r="BA189" s="1572"/>
      <c r="BB189" s="1572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314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2"/>
      <c r="U190" s="1572"/>
      <c r="V190" s="1572"/>
      <c r="W190" s="1572"/>
      <c r="X190" s="1572"/>
      <c r="Y190" s="1572"/>
      <c r="Z190" s="1572"/>
      <c r="AA190" s="1572"/>
      <c r="AB190" s="1572"/>
      <c r="AC190" s="1572"/>
      <c r="AD190" s="1572"/>
      <c r="AE190" s="1572"/>
      <c r="AF190" s="1572"/>
      <c r="AG190" s="1572"/>
      <c r="AH190" s="1572"/>
      <c r="AI190" s="1572"/>
      <c r="AJ190" s="1572"/>
      <c r="AK190" s="1569"/>
      <c r="AL190" s="1572"/>
      <c r="AM190" s="1572"/>
      <c r="AN190" s="1572"/>
      <c r="AO190" s="1572"/>
      <c r="AP190" s="1572"/>
      <c r="AQ190" s="1572"/>
      <c r="AR190" s="1572"/>
      <c r="AS190" s="1572"/>
      <c r="AT190" s="1572"/>
      <c r="AU190" s="1572"/>
      <c r="AV190" s="1572"/>
      <c r="AW190" s="1572"/>
      <c r="AX190" s="1572"/>
      <c r="AY190" s="1572"/>
      <c r="AZ190" s="1572"/>
      <c r="BA190" s="1572"/>
      <c r="BB190" s="1572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315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3" t="str">
        <f t="shared" ref="T191:AJ191" si="308">IF(T188="","",T187*T188*T189*T190)</f>
        <v/>
      </c>
      <c r="U191" s="1573" t="str">
        <f t="shared" si="308"/>
        <v/>
      </c>
      <c r="V191" s="1573" t="str">
        <f t="shared" si="308"/>
        <v/>
      </c>
      <c r="W191" s="1573" t="str">
        <f t="shared" si="308"/>
        <v/>
      </c>
      <c r="X191" s="1573" t="str">
        <f t="shared" si="308"/>
        <v/>
      </c>
      <c r="Y191" s="1573" t="str">
        <f t="shared" si="308"/>
        <v/>
      </c>
      <c r="Z191" s="1573" t="str">
        <f t="shared" si="308"/>
        <v/>
      </c>
      <c r="AA191" s="1573" t="str">
        <f t="shared" si="308"/>
        <v/>
      </c>
      <c r="AB191" s="1573" t="str">
        <f t="shared" si="308"/>
        <v/>
      </c>
      <c r="AC191" s="1573" t="str">
        <f t="shared" si="308"/>
        <v/>
      </c>
      <c r="AD191" s="1573" t="str">
        <f t="shared" si="308"/>
        <v/>
      </c>
      <c r="AE191" s="1573" t="str">
        <f t="shared" si="308"/>
        <v/>
      </c>
      <c r="AF191" s="1573" t="str">
        <f t="shared" si="308"/>
        <v/>
      </c>
      <c r="AG191" s="1573" t="str">
        <f t="shared" si="308"/>
        <v/>
      </c>
      <c r="AH191" s="1573" t="str">
        <f t="shared" si="308"/>
        <v/>
      </c>
      <c r="AI191" s="1573" t="str">
        <f t="shared" si="308"/>
        <v/>
      </c>
      <c r="AJ191" s="1573" t="str">
        <f t="shared" si="308"/>
        <v/>
      </c>
      <c r="AK191" s="1569"/>
      <c r="AL191" s="1573" t="str">
        <f t="shared" ref="AL191:BB191" si="309">IF(AL188="","",AL187*AL188*AL189*AL190)</f>
        <v/>
      </c>
      <c r="AM191" s="1573" t="str">
        <f t="shared" si="309"/>
        <v/>
      </c>
      <c r="AN191" s="1573" t="str">
        <f t="shared" si="309"/>
        <v/>
      </c>
      <c r="AO191" s="1573" t="str">
        <f t="shared" si="309"/>
        <v/>
      </c>
      <c r="AP191" s="1573" t="str">
        <f t="shared" si="309"/>
        <v/>
      </c>
      <c r="AQ191" s="1573" t="str">
        <f t="shared" si="309"/>
        <v/>
      </c>
      <c r="AR191" s="1573" t="str">
        <f t="shared" si="309"/>
        <v/>
      </c>
      <c r="AS191" s="1573" t="str">
        <f t="shared" si="309"/>
        <v/>
      </c>
      <c r="AT191" s="1573" t="str">
        <f t="shared" si="309"/>
        <v/>
      </c>
      <c r="AU191" s="1573" t="str">
        <f t="shared" si="309"/>
        <v/>
      </c>
      <c r="AV191" s="1573" t="str">
        <f t="shared" si="309"/>
        <v/>
      </c>
      <c r="AW191" s="1573" t="str">
        <f t="shared" si="309"/>
        <v/>
      </c>
      <c r="AX191" s="1573" t="str">
        <f t="shared" si="309"/>
        <v/>
      </c>
      <c r="AY191" s="1573" t="str">
        <f t="shared" si="309"/>
        <v/>
      </c>
      <c r="AZ191" s="1573" t="str">
        <f t="shared" si="309"/>
        <v/>
      </c>
      <c r="BA191" s="1573" t="str">
        <f t="shared" si="309"/>
        <v/>
      </c>
      <c r="BB191" s="1573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444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1"/>
      <c r="U192" s="1571"/>
      <c r="V192" s="1571"/>
      <c r="W192" s="1571"/>
      <c r="X192" s="1571"/>
      <c r="Y192" s="1571"/>
      <c r="Z192" s="1571"/>
      <c r="AA192" s="1571"/>
      <c r="AB192" s="1571"/>
      <c r="AC192" s="1571"/>
      <c r="AD192" s="1571"/>
      <c r="AE192" s="1571"/>
      <c r="AF192" s="1571"/>
      <c r="AG192" s="1571"/>
      <c r="AH192" s="1571"/>
      <c r="AI192" s="1571"/>
      <c r="AJ192" s="1571"/>
      <c r="AK192" s="1569"/>
      <c r="AL192" s="1571"/>
      <c r="AM192" s="1571"/>
      <c r="AN192" s="1571"/>
      <c r="AO192" s="1571"/>
      <c r="AP192" s="1571"/>
      <c r="AQ192" s="1571"/>
      <c r="AR192" s="1571"/>
      <c r="AS192" s="1571"/>
      <c r="AT192" s="1571"/>
      <c r="AU192" s="1571"/>
      <c r="AV192" s="1571"/>
      <c r="AW192" s="1571"/>
      <c r="AX192" s="1571"/>
      <c r="AY192" s="1571"/>
      <c r="AZ192" s="1571"/>
      <c r="BA192" s="1571"/>
      <c r="BB192" s="1571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297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1"/>
      <c r="U193" s="1571"/>
      <c r="V193" s="1571"/>
      <c r="W193" s="1571"/>
      <c r="X193" s="1571"/>
      <c r="Y193" s="1571"/>
      <c r="Z193" s="1571"/>
      <c r="AA193" s="1571"/>
      <c r="AB193" s="1571"/>
      <c r="AC193" s="1571"/>
      <c r="AD193" s="1571"/>
      <c r="AE193" s="1571"/>
      <c r="AF193" s="1571"/>
      <c r="AG193" s="1571"/>
      <c r="AH193" s="1571"/>
      <c r="AI193" s="1571"/>
      <c r="AJ193" s="1571"/>
      <c r="AK193" s="1569"/>
      <c r="AL193" s="1571"/>
      <c r="AM193" s="1571"/>
      <c r="AN193" s="1571"/>
      <c r="AO193" s="1571"/>
      <c r="AP193" s="1571"/>
      <c r="AQ193" s="1571"/>
      <c r="AR193" s="1571"/>
      <c r="AS193" s="1571"/>
      <c r="AT193" s="1571"/>
      <c r="AU193" s="1571"/>
      <c r="AV193" s="1571"/>
      <c r="AW193" s="1571"/>
      <c r="AX193" s="1571"/>
      <c r="AY193" s="1571"/>
      <c r="AZ193" s="1571"/>
      <c r="BA193" s="1571"/>
      <c r="BB193" s="1571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298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2"/>
      <c r="U194" s="1572"/>
      <c r="V194" s="1572"/>
      <c r="W194" s="1572"/>
      <c r="X194" s="1572"/>
      <c r="Y194" s="1572"/>
      <c r="Z194" s="1572"/>
      <c r="AA194" s="1572"/>
      <c r="AB194" s="1572"/>
      <c r="AC194" s="1572"/>
      <c r="AD194" s="1572"/>
      <c r="AE194" s="1572"/>
      <c r="AF194" s="1572"/>
      <c r="AG194" s="1572"/>
      <c r="AH194" s="1572"/>
      <c r="AI194" s="1572"/>
      <c r="AJ194" s="1572"/>
      <c r="AK194" s="1569"/>
      <c r="AL194" s="1572"/>
      <c r="AM194" s="1572"/>
      <c r="AN194" s="1572"/>
      <c r="AO194" s="1572"/>
      <c r="AP194" s="1572"/>
      <c r="AQ194" s="1572"/>
      <c r="AR194" s="1572"/>
      <c r="AS194" s="1572"/>
      <c r="AT194" s="1572"/>
      <c r="AU194" s="1572"/>
      <c r="AV194" s="1572"/>
      <c r="AW194" s="1572"/>
      <c r="AX194" s="1572"/>
      <c r="AY194" s="1572"/>
      <c r="AZ194" s="1572"/>
      <c r="BA194" s="1572"/>
      <c r="BB194" s="1572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283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2"/>
      <c r="U195" s="1572"/>
      <c r="V195" s="1572"/>
      <c r="W195" s="1572"/>
      <c r="X195" s="1572"/>
      <c r="Y195" s="1572"/>
      <c r="Z195" s="1572"/>
      <c r="AA195" s="1572"/>
      <c r="AB195" s="1572"/>
      <c r="AC195" s="1572"/>
      <c r="AD195" s="1572"/>
      <c r="AE195" s="1572"/>
      <c r="AF195" s="1572"/>
      <c r="AG195" s="1572"/>
      <c r="AH195" s="1572"/>
      <c r="AI195" s="1572"/>
      <c r="AJ195" s="1572"/>
      <c r="AK195" s="1569"/>
      <c r="AL195" s="1572"/>
      <c r="AM195" s="1572"/>
      <c r="AN195" s="1572"/>
      <c r="AO195" s="1572"/>
      <c r="AP195" s="1572"/>
      <c r="AQ195" s="1572"/>
      <c r="AR195" s="1572"/>
      <c r="AS195" s="1572"/>
      <c r="AT195" s="1572"/>
      <c r="AU195" s="1572"/>
      <c r="AV195" s="1572"/>
      <c r="AW195" s="1572"/>
      <c r="AX195" s="1572"/>
      <c r="AY195" s="1572"/>
      <c r="AZ195" s="1572"/>
      <c r="BA195" s="1572"/>
      <c r="BB195" s="1572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314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2"/>
      <c r="U196" s="1572"/>
      <c r="V196" s="1572"/>
      <c r="W196" s="1572"/>
      <c r="X196" s="1572"/>
      <c r="Y196" s="1572"/>
      <c r="Z196" s="1572"/>
      <c r="AA196" s="1572"/>
      <c r="AB196" s="1572"/>
      <c r="AC196" s="1572"/>
      <c r="AD196" s="1572"/>
      <c r="AE196" s="1572"/>
      <c r="AF196" s="1572"/>
      <c r="AG196" s="1572"/>
      <c r="AH196" s="1572"/>
      <c r="AI196" s="1572"/>
      <c r="AJ196" s="1572"/>
      <c r="AK196" s="1569"/>
      <c r="AL196" s="1572"/>
      <c r="AM196" s="1572"/>
      <c r="AN196" s="1572"/>
      <c r="AO196" s="1572"/>
      <c r="AP196" s="1572"/>
      <c r="AQ196" s="1572"/>
      <c r="AR196" s="1572"/>
      <c r="AS196" s="1572"/>
      <c r="AT196" s="1572"/>
      <c r="AU196" s="1572"/>
      <c r="AV196" s="1572"/>
      <c r="AW196" s="1572"/>
      <c r="AX196" s="1572"/>
      <c r="AY196" s="1572"/>
      <c r="AZ196" s="1572"/>
      <c r="BA196" s="1572"/>
      <c r="BB196" s="1572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315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3" t="str">
        <f t="shared" ref="T197:AJ197" si="316">IF(T194="","",T193*T194*T195*T196)</f>
        <v/>
      </c>
      <c r="U197" s="1573" t="str">
        <f t="shared" si="316"/>
        <v/>
      </c>
      <c r="V197" s="1573" t="str">
        <f t="shared" si="316"/>
        <v/>
      </c>
      <c r="W197" s="1573" t="str">
        <f t="shared" si="316"/>
        <v/>
      </c>
      <c r="X197" s="1573" t="str">
        <f t="shared" si="316"/>
        <v/>
      </c>
      <c r="Y197" s="1573" t="str">
        <f t="shared" si="316"/>
        <v/>
      </c>
      <c r="Z197" s="1573" t="str">
        <f t="shared" si="316"/>
        <v/>
      </c>
      <c r="AA197" s="1573" t="str">
        <f t="shared" si="316"/>
        <v/>
      </c>
      <c r="AB197" s="1573" t="str">
        <f t="shared" si="316"/>
        <v/>
      </c>
      <c r="AC197" s="1573" t="str">
        <f t="shared" si="316"/>
        <v/>
      </c>
      <c r="AD197" s="1573" t="str">
        <f t="shared" si="316"/>
        <v/>
      </c>
      <c r="AE197" s="1573" t="str">
        <f t="shared" si="316"/>
        <v/>
      </c>
      <c r="AF197" s="1573" t="str">
        <f t="shared" si="316"/>
        <v/>
      </c>
      <c r="AG197" s="1573" t="str">
        <f t="shared" si="316"/>
        <v/>
      </c>
      <c r="AH197" s="1573" t="str">
        <f t="shared" si="316"/>
        <v/>
      </c>
      <c r="AI197" s="1573" t="str">
        <f t="shared" si="316"/>
        <v/>
      </c>
      <c r="AJ197" s="1573" t="str">
        <f t="shared" si="316"/>
        <v/>
      </c>
      <c r="AK197" s="1569"/>
      <c r="AL197" s="1573" t="str">
        <f t="shared" ref="AL197:BB197" si="317">IF(AL194="","",AL193*AL194*AL195*AL196)</f>
        <v/>
      </c>
      <c r="AM197" s="1573" t="str">
        <f t="shared" si="317"/>
        <v/>
      </c>
      <c r="AN197" s="1573" t="str">
        <f t="shared" si="317"/>
        <v/>
      </c>
      <c r="AO197" s="1573" t="str">
        <f t="shared" si="317"/>
        <v/>
      </c>
      <c r="AP197" s="1573" t="str">
        <f t="shared" si="317"/>
        <v/>
      </c>
      <c r="AQ197" s="1573" t="str">
        <f t="shared" si="317"/>
        <v/>
      </c>
      <c r="AR197" s="1573" t="str">
        <f t="shared" si="317"/>
        <v/>
      </c>
      <c r="AS197" s="1573" t="str">
        <f t="shared" si="317"/>
        <v/>
      </c>
      <c r="AT197" s="1573" t="str">
        <f t="shared" si="317"/>
        <v/>
      </c>
      <c r="AU197" s="1573" t="str">
        <f t="shared" si="317"/>
        <v/>
      </c>
      <c r="AV197" s="1573" t="str">
        <f t="shared" si="317"/>
        <v/>
      </c>
      <c r="AW197" s="1573" t="str">
        <f t="shared" si="317"/>
        <v/>
      </c>
      <c r="AX197" s="1573" t="str">
        <f t="shared" si="317"/>
        <v/>
      </c>
      <c r="AY197" s="1573" t="str">
        <f t="shared" si="317"/>
        <v/>
      </c>
      <c r="AZ197" s="1573" t="str">
        <f t="shared" si="317"/>
        <v/>
      </c>
      <c r="BA197" s="1573" t="str">
        <f t="shared" si="317"/>
        <v/>
      </c>
      <c r="BB197" s="1573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444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1"/>
      <c r="U198" s="1571"/>
      <c r="V198" s="1571"/>
      <c r="W198" s="1571"/>
      <c r="X198" s="1571"/>
      <c r="Y198" s="1571"/>
      <c r="Z198" s="1571"/>
      <c r="AA198" s="1571"/>
      <c r="AB198" s="1571"/>
      <c r="AC198" s="1571"/>
      <c r="AD198" s="1571"/>
      <c r="AE198" s="1571"/>
      <c r="AF198" s="1571"/>
      <c r="AG198" s="1571"/>
      <c r="AH198" s="1571"/>
      <c r="AI198" s="1571"/>
      <c r="AJ198" s="1571"/>
      <c r="AK198" s="1569"/>
      <c r="AL198" s="1571"/>
      <c r="AM198" s="1571"/>
      <c r="AN198" s="1571"/>
      <c r="AO198" s="1571"/>
      <c r="AP198" s="1571"/>
      <c r="AQ198" s="1571"/>
      <c r="AR198" s="1571"/>
      <c r="AS198" s="1571"/>
      <c r="AT198" s="1571"/>
      <c r="AU198" s="1571"/>
      <c r="AV198" s="1571"/>
      <c r="AW198" s="1571"/>
      <c r="AX198" s="1571"/>
      <c r="AY198" s="1571"/>
      <c r="AZ198" s="1571"/>
      <c r="BA198" s="1571"/>
      <c r="BB198" s="1571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297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1"/>
      <c r="U199" s="1571"/>
      <c r="V199" s="1571"/>
      <c r="W199" s="1571"/>
      <c r="X199" s="1571"/>
      <c r="Y199" s="1571"/>
      <c r="Z199" s="1571"/>
      <c r="AA199" s="1571"/>
      <c r="AB199" s="1571"/>
      <c r="AC199" s="1571"/>
      <c r="AD199" s="1571"/>
      <c r="AE199" s="1571"/>
      <c r="AF199" s="1571"/>
      <c r="AG199" s="1571"/>
      <c r="AH199" s="1571"/>
      <c r="AI199" s="1571"/>
      <c r="AJ199" s="1571"/>
      <c r="AK199" s="1569"/>
      <c r="AL199" s="1571"/>
      <c r="AM199" s="1571"/>
      <c r="AN199" s="1571"/>
      <c r="AO199" s="1571"/>
      <c r="AP199" s="1571"/>
      <c r="AQ199" s="1571"/>
      <c r="AR199" s="1571"/>
      <c r="AS199" s="1571"/>
      <c r="AT199" s="1571"/>
      <c r="AU199" s="1571"/>
      <c r="AV199" s="1571"/>
      <c r="AW199" s="1571"/>
      <c r="AX199" s="1571"/>
      <c r="AY199" s="1571"/>
      <c r="AZ199" s="1571"/>
      <c r="BA199" s="1571"/>
      <c r="BB199" s="1571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298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2"/>
      <c r="U200" s="1572"/>
      <c r="V200" s="1572"/>
      <c r="W200" s="1572"/>
      <c r="X200" s="1572"/>
      <c r="Y200" s="1572"/>
      <c r="Z200" s="1572"/>
      <c r="AA200" s="1572"/>
      <c r="AB200" s="1572"/>
      <c r="AC200" s="1572"/>
      <c r="AD200" s="1572"/>
      <c r="AE200" s="1572"/>
      <c r="AF200" s="1572"/>
      <c r="AG200" s="1572"/>
      <c r="AH200" s="1572"/>
      <c r="AI200" s="1572"/>
      <c r="AJ200" s="1572"/>
      <c r="AK200" s="1569"/>
      <c r="AL200" s="1572"/>
      <c r="AM200" s="1572"/>
      <c r="AN200" s="1572"/>
      <c r="AO200" s="1572"/>
      <c r="AP200" s="1572"/>
      <c r="AQ200" s="1572"/>
      <c r="AR200" s="1572"/>
      <c r="AS200" s="1572"/>
      <c r="AT200" s="1572"/>
      <c r="AU200" s="1572"/>
      <c r="AV200" s="1572"/>
      <c r="AW200" s="1572"/>
      <c r="AX200" s="1572"/>
      <c r="AY200" s="1572"/>
      <c r="AZ200" s="1572"/>
      <c r="BA200" s="1572"/>
      <c r="BB200" s="1572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283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2"/>
      <c r="U201" s="1572"/>
      <c r="V201" s="1572"/>
      <c r="W201" s="1572"/>
      <c r="X201" s="1572"/>
      <c r="Y201" s="1572"/>
      <c r="Z201" s="1572"/>
      <c r="AA201" s="1572"/>
      <c r="AB201" s="1572"/>
      <c r="AC201" s="1572"/>
      <c r="AD201" s="1572"/>
      <c r="AE201" s="1572"/>
      <c r="AF201" s="1572"/>
      <c r="AG201" s="1572"/>
      <c r="AH201" s="1572"/>
      <c r="AI201" s="1572"/>
      <c r="AJ201" s="1572"/>
      <c r="AK201" s="1569"/>
      <c r="AL201" s="1572"/>
      <c r="AM201" s="1572"/>
      <c r="AN201" s="1572"/>
      <c r="AO201" s="1572"/>
      <c r="AP201" s="1572"/>
      <c r="AQ201" s="1572"/>
      <c r="AR201" s="1572"/>
      <c r="AS201" s="1572"/>
      <c r="AT201" s="1572"/>
      <c r="AU201" s="1572"/>
      <c r="AV201" s="1572"/>
      <c r="AW201" s="1572"/>
      <c r="AX201" s="1572"/>
      <c r="AY201" s="1572"/>
      <c r="AZ201" s="1572"/>
      <c r="BA201" s="1572"/>
      <c r="BB201" s="1572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314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2"/>
      <c r="U202" s="1572"/>
      <c r="V202" s="1572"/>
      <c r="W202" s="1572"/>
      <c r="X202" s="1572"/>
      <c r="Y202" s="1572"/>
      <c r="Z202" s="1572"/>
      <c r="AA202" s="1572"/>
      <c r="AB202" s="1572"/>
      <c r="AC202" s="1572"/>
      <c r="AD202" s="1572"/>
      <c r="AE202" s="1572"/>
      <c r="AF202" s="1572"/>
      <c r="AG202" s="1572"/>
      <c r="AH202" s="1572"/>
      <c r="AI202" s="1572"/>
      <c r="AJ202" s="1572"/>
      <c r="AK202" s="1569"/>
      <c r="AL202" s="1572"/>
      <c r="AM202" s="1572"/>
      <c r="AN202" s="1572"/>
      <c r="AO202" s="1572"/>
      <c r="AP202" s="1572"/>
      <c r="AQ202" s="1572"/>
      <c r="AR202" s="1572"/>
      <c r="AS202" s="1572"/>
      <c r="AT202" s="1572"/>
      <c r="AU202" s="1572"/>
      <c r="AV202" s="1572"/>
      <c r="AW202" s="1572"/>
      <c r="AX202" s="1572"/>
      <c r="AY202" s="1572"/>
      <c r="AZ202" s="1572"/>
      <c r="BA202" s="1572"/>
      <c r="BB202" s="1572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315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3" t="str">
        <f t="shared" ref="T203:AJ203" si="324">IF(T200="","",T199*T200*T201*T202)</f>
        <v/>
      </c>
      <c r="U203" s="1573" t="str">
        <f t="shared" si="324"/>
        <v/>
      </c>
      <c r="V203" s="1573" t="str">
        <f t="shared" si="324"/>
        <v/>
      </c>
      <c r="W203" s="1573" t="str">
        <f t="shared" si="324"/>
        <v/>
      </c>
      <c r="X203" s="1573" t="str">
        <f t="shared" si="324"/>
        <v/>
      </c>
      <c r="Y203" s="1573" t="str">
        <f t="shared" si="324"/>
        <v/>
      </c>
      <c r="Z203" s="1573" t="str">
        <f t="shared" si="324"/>
        <v/>
      </c>
      <c r="AA203" s="1573" t="str">
        <f t="shared" si="324"/>
        <v/>
      </c>
      <c r="AB203" s="1573" t="str">
        <f t="shared" si="324"/>
        <v/>
      </c>
      <c r="AC203" s="1573" t="str">
        <f t="shared" si="324"/>
        <v/>
      </c>
      <c r="AD203" s="1573" t="str">
        <f t="shared" si="324"/>
        <v/>
      </c>
      <c r="AE203" s="1573" t="str">
        <f t="shared" si="324"/>
        <v/>
      </c>
      <c r="AF203" s="1573" t="str">
        <f t="shared" si="324"/>
        <v/>
      </c>
      <c r="AG203" s="1573" t="str">
        <f t="shared" si="324"/>
        <v/>
      </c>
      <c r="AH203" s="1573" t="str">
        <f t="shared" si="324"/>
        <v/>
      </c>
      <c r="AI203" s="1573" t="str">
        <f t="shared" si="324"/>
        <v/>
      </c>
      <c r="AJ203" s="1573" t="str">
        <f t="shared" si="324"/>
        <v/>
      </c>
      <c r="AK203" s="1569"/>
      <c r="AL203" s="1573" t="str">
        <f t="shared" ref="AL203:BB203" si="325">IF(AL200="","",AL199*AL200*AL201*AL202)</f>
        <v/>
      </c>
      <c r="AM203" s="1573" t="str">
        <f t="shared" si="325"/>
        <v/>
      </c>
      <c r="AN203" s="1573" t="str">
        <f t="shared" si="325"/>
        <v/>
      </c>
      <c r="AO203" s="1573" t="str">
        <f t="shared" si="325"/>
        <v/>
      </c>
      <c r="AP203" s="1573" t="str">
        <f t="shared" si="325"/>
        <v/>
      </c>
      <c r="AQ203" s="1573" t="str">
        <f t="shared" si="325"/>
        <v/>
      </c>
      <c r="AR203" s="1573" t="str">
        <f t="shared" si="325"/>
        <v/>
      </c>
      <c r="AS203" s="1573" t="str">
        <f t="shared" si="325"/>
        <v/>
      </c>
      <c r="AT203" s="1573" t="str">
        <f t="shared" si="325"/>
        <v/>
      </c>
      <c r="AU203" s="1573" t="str">
        <f t="shared" si="325"/>
        <v/>
      </c>
      <c r="AV203" s="1573" t="str">
        <f t="shared" si="325"/>
        <v/>
      </c>
      <c r="AW203" s="1573" t="str">
        <f t="shared" si="325"/>
        <v/>
      </c>
      <c r="AX203" s="1573" t="str">
        <f t="shared" si="325"/>
        <v/>
      </c>
      <c r="AY203" s="1573" t="str">
        <f t="shared" si="325"/>
        <v/>
      </c>
      <c r="AZ203" s="1573" t="str">
        <f t="shared" si="325"/>
        <v/>
      </c>
      <c r="BA203" s="1573" t="str">
        <f t="shared" si="325"/>
        <v/>
      </c>
      <c r="BB203" s="1573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467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1"/>
      <c r="U204" s="1571"/>
      <c r="V204" s="1571"/>
      <c r="W204" s="1571"/>
      <c r="X204" s="1571"/>
      <c r="Y204" s="1571"/>
      <c r="Z204" s="1571"/>
      <c r="AA204" s="1571"/>
      <c r="AB204" s="1571"/>
      <c r="AC204" s="1571"/>
      <c r="AD204" s="1571"/>
      <c r="AE204" s="1571"/>
      <c r="AF204" s="1571"/>
      <c r="AG204" s="1571"/>
      <c r="AH204" s="1571"/>
      <c r="AI204" s="1571"/>
      <c r="AJ204" s="1571"/>
      <c r="AK204" s="1569"/>
      <c r="AL204" s="1571"/>
      <c r="AM204" s="1571"/>
      <c r="AN204" s="1571"/>
      <c r="AO204" s="1571"/>
      <c r="AP204" s="1571"/>
      <c r="AQ204" s="1571"/>
      <c r="AR204" s="1571"/>
      <c r="AS204" s="1571"/>
      <c r="AT204" s="1571"/>
      <c r="AU204" s="1571"/>
      <c r="AV204" s="1571"/>
      <c r="AW204" s="1571"/>
      <c r="AX204" s="1571"/>
      <c r="AY204" s="1571"/>
      <c r="AZ204" s="1571"/>
      <c r="BA204" s="1571"/>
      <c r="BB204" s="1571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297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1"/>
      <c r="U205" s="1571"/>
      <c r="V205" s="1571"/>
      <c r="W205" s="1571"/>
      <c r="X205" s="1571"/>
      <c r="Y205" s="1571"/>
      <c r="Z205" s="1571"/>
      <c r="AA205" s="1571"/>
      <c r="AB205" s="1571"/>
      <c r="AC205" s="1571"/>
      <c r="AD205" s="1571"/>
      <c r="AE205" s="1572"/>
      <c r="AF205" s="1572"/>
      <c r="AG205" s="1571"/>
      <c r="AH205" s="1571"/>
      <c r="AI205" s="1572"/>
      <c r="AJ205" s="1572"/>
      <c r="AK205" s="1569"/>
      <c r="AL205" s="1571"/>
      <c r="AM205" s="1571"/>
      <c r="AN205" s="1571"/>
      <c r="AO205" s="1571"/>
      <c r="AP205" s="1571"/>
      <c r="AQ205" s="1571"/>
      <c r="AR205" s="1571"/>
      <c r="AS205" s="1571"/>
      <c r="AT205" s="1571"/>
      <c r="AU205" s="1571"/>
      <c r="AV205" s="1571"/>
      <c r="AW205" s="1571"/>
      <c r="AX205" s="1571"/>
      <c r="AY205" s="1572"/>
      <c r="AZ205" s="1571"/>
      <c r="BA205" s="1572"/>
      <c r="BB205" s="1572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298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2"/>
      <c r="U206" s="1572"/>
      <c r="V206" s="1572"/>
      <c r="W206" s="1572"/>
      <c r="X206" s="1572"/>
      <c r="Y206" s="1572"/>
      <c r="Z206" s="1572"/>
      <c r="AA206" s="1572"/>
      <c r="AB206" s="1572"/>
      <c r="AC206" s="1572"/>
      <c r="AD206" s="1572"/>
      <c r="AE206" s="1572"/>
      <c r="AF206" s="1572"/>
      <c r="AG206" s="1572"/>
      <c r="AH206" s="1572"/>
      <c r="AI206" s="1572"/>
      <c r="AJ206" s="1572"/>
      <c r="AK206" s="1569"/>
      <c r="AL206" s="1572"/>
      <c r="AM206" s="1572"/>
      <c r="AN206" s="1572"/>
      <c r="AO206" s="1572"/>
      <c r="AP206" s="1572"/>
      <c r="AQ206" s="1572"/>
      <c r="AR206" s="1572"/>
      <c r="AS206" s="1572"/>
      <c r="AT206" s="1572"/>
      <c r="AU206" s="1572"/>
      <c r="AV206" s="1572"/>
      <c r="AW206" s="1572"/>
      <c r="AX206" s="1572"/>
      <c r="AY206" s="1572"/>
      <c r="AZ206" s="1572"/>
      <c r="BA206" s="1572"/>
      <c r="BB206" s="1572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283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2"/>
      <c r="U207" s="1572"/>
      <c r="V207" s="1572"/>
      <c r="W207" s="1572"/>
      <c r="X207" s="1572"/>
      <c r="Y207" s="1572"/>
      <c r="Z207" s="1572"/>
      <c r="AA207" s="1572"/>
      <c r="AB207" s="1572"/>
      <c r="AC207" s="1572"/>
      <c r="AD207" s="1572"/>
      <c r="AE207" s="1572"/>
      <c r="AF207" s="1572"/>
      <c r="AG207" s="1572"/>
      <c r="AH207" s="1572"/>
      <c r="AI207" s="1572"/>
      <c r="AJ207" s="1572"/>
      <c r="AK207" s="1569"/>
      <c r="AL207" s="1572"/>
      <c r="AM207" s="1572"/>
      <c r="AN207" s="1572"/>
      <c r="AO207" s="1572"/>
      <c r="AP207" s="1572"/>
      <c r="AQ207" s="1572"/>
      <c r="AR207" s="1572"/>
      <c r="AS207" s="1572"/>
      <c r="AT207" s="1572"/>
      <c r="AU207" s="1572"/>
      <c r="AV207" s="1572"/>
      <c r="AW207" s="1572"/>
      <c r="AX207" s="1572"/>
      <c r="AY207" s="1572"/>
      <c r="AZ207" s="1572"/>
      <c r="BA207" s="1572"/>
      <c r="BB207" s="1572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314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2"/>
      <c r="U208" s="1572"/>
      <c r="V208" s="1572"/>
      <c r="W208" s="1572"/>
      <c r="X208" s="1572"/>
      <c r="Y208" s="1572"/>
      <c r="Z208" s="1572"/>
      <c r="AA208" s="1572"/>
      <c r="AB208" s="1572"/>
      <c r="AC208" s="1572"/>
      <c r="AD208" s="1572"/>
      <c r="AE208" s="1572"/>
      <c r="AF208" s="1572"/>
      <c r="AG208" s="1572"/>
      <c r="AH208" s="1572"/>
      <c r="AI208" s="1572"/>
      <c r="AJ208" s="1572"/>
      <c r="AK208" s="1569"/>
      <c r="AL208" s="1572"/>
      <c r="AM208" s="1572"/>
      <c r="AN208" s="1572"/>
      <c r="AO208" s="1572"/>
      <c r="AP208" s="1572"/>
      <c r="AQ208" s="1572"/>
      <c r="AR208" s="1572"/>
      <c r="AS208" s="1572"/>
      <c r="AT208" s="1572"/>
      <c r="AU208" s="1572"/>
      <c r="AV208" s="1572"/>
      <c r="AW208" s="1572"/>
      <c r="AX208" s="1572"/>
      <c r="AY208" s="1572"/>
      <c r="AZ208" s="1572"/>
      <c r="BA208" s="1572"/>
      <c r="BB208" s="1572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315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3" t="str">
        <f t="shared" ref="T209:AJ209" si="355">IF(T206="","",T205*T206*T207*T208)</f>
        <v/>
      </c>
      <c r="U209" s="1573" t="str">
        <f t="shared" si="355"/>
        <v/>
      </c>
      <c r="V209" s="1573" t="str">
        <f t="shared" si="355"/>
        <v/>
      </c>
      <c r="W209" s="1573" t="str">
        <f t="shared" si="355"/>
        <v/>
      </c>
      <c r="X209" s="1573" t="str">
        <f t="shared" si="355"/>
        <v/>
      </c>
      <c r="Y209" s="1573" t="str">
        <f t="shared" si="355"/>
        <v/>
      </c>
      <c r="Z209" s="1573" t="str">
        <f t="shared" si="355"/>
        <v/>
      </c>
      <c r="AA209" s="1573" t="str">
        <f t="shared" si="355"/>
        <v/>
      </c>
      <c r="AB209" s="1573" t="str">
        <f t="shared" si="355"/>
        <v/>
      </c>
      <c r="AC209" s="1573" t="str">
        <f t="shared" si="355"/>
        <v/>
      </c>
      <c r="AD209" s="1573" t="str">
        <f t="shared" si="355"/>
        <v/>
      </c>
      <c r="AE209" s="1573" t="str">
        <f t="shared" si="355"/>
        <v/>
      </c>
      <c r="AF209" s="1573" t="str">
        <f t="shared" si="355"/>
        <v/>
      </c>
      <c r="AG209" s="1573" t="str">
        <f t="shared" si="355"/>
        <v/>
      </c>
      <c r="AH209" s="1573" t="str">
        <f t="shared" si="355"/>
        <v/>
      </c>
      <c r="AI209" s="1573" t="str">
        <f t="shared" si="355"/>
        <v/>
      </c>
      <c r="AJ209" s="1573" t="str">
        <f t="shared" si="355"/>
        <v/>
      </c>
      <c r="AK209" s="1569"/>
      <c r="AL209" s="1573" t="str">
        <f t="shared" ref="AL209:BB209" si="356">IF(AL206="","",AL205*AL206*AL207*AL208)</f>
        <v/>
      </c>
      <c r="AM209" s="1573" t="str">
        <f t="shared" si="356"/>
        <v/>
      </c>
      <c r="AN209" s="1573" t="str">
        <f t="shared" si="356"/>
        <v/>
      </c>
      <c r="AO209" s="1573" t="str">
        <f t="shared" si="356"/>
        <v/>
      </c>
      <c r="AP209" s="1573" t="str">
        <f t="shared" si="356"/>
        <v/>
      </c>
      <c r="AQ209" s="1573" t="str">
        <f t="shared" si="356"/>
        <v/>
      </c>
      <c r="AR209" s="1573" t="str">
        <f t="shared" si="356"/>
        <v/>
      </c>
      <c r="AS209" s="1573" t="str">
        <f t="shared" si="356"/>
        <v/>
      </c>
      <c r="AT209" s="1573" t="str">
        <f t="shared" si="356"/>
        <v/>
      </c>
      <c r="AU209" s="1573" t="str">
        <f t="shared" si="356"/>
        <v/>
      </c>
      <c r="AV209" s="1573" t="str">
        <f t="shared" si="356"/>
        <v/>
      </c>
      <c r="AW209" s="1573" t="str">
        <f t="shared" si="356"/>
        <v/>
      </c>
      <c r="AX209" s="1573" t="str">
        <f t="shared" si="356"/>
        <v/>
      </c>
      <c r="AY209" s="1573" t="str">
        <f t="shared" si="356"/>
        <v/>
      </c>
      <c r="AZ209" s="1573" t="str">
        <f t="shared" si="356"/>
        <v/>
      </c>
      <c r="BA209" s="1573" t="str">
        <f t="shared" si="356"/>
        <v/>
      </c>
      <c r="BB209" s="1573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468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74">
        <f t="shared" ref="T210:AJ210" si="359">SUM(T161,T167,T173,T179,T185,T191,T197,T203,T209)</f>
        <v>0</v>
      </c>
      <c r="U210" s="1574">
        <f t="shared" si="359"/>
        <v>0</v>
      </c>
      <c r="V210" s="1574">
        <f t="shared" si="359"/>
        <v>0</v>
      </c>
      <c r="W210" s="1574">
        <f t="shared" si="359"/>
        <v>0</v>
      </c>
      <c r="X210" s="1574">
        <f t="shared" si="359"/>
        <v>0</v>
      </c>
      <c r="Y210" s="1574">
        <f t="shared" si="359"/>
        <v>0</v>
      </c>
      <c r="Z210" s="1574">
        <f t="shared" si="359"/>
        <v>0</v>
      </c>
      <c r="AA210" s="1574">
        <f t="shared" si="359"/>
        <v>0</v>
      </c>
      <c r="AB210" s="1574">
        <f t="shared" si="359"/>
        <v>0</v>
      </c>
      <c r="AC210" s="1574">
        <f t="shared" si="359"/>
        <v>0</v>
      </c>
      <c r="AD210" s="1574">
        <f t="shared" si="359"/>
        <v>0</v>
      </c>
      <c r="AE210" s="1574">
        <f t="shared" si="359"/>
        <v>0</v>
      </c>
      <c r="AF210" s="1574">
        <f t="shared" si="359"/>
        <v>0</v>
      </c>
      <c r="AG210" s="1574">
        <f t="shared" si="359"/>
        <v>0</v>
      </c>
      <c r="AH210" s="1574">
        <f t="shared" si="359"/>
        <v>0</v>
      </c>
      <c r="AI210" s="1574">
        <f t="shared" si="359"/>
        <v>0</v>
      </c>
      <c r="AJ210" s="1574">
        <f t="shared" si="359"/>
        <v>0</v>
      </c>
      <c r="AK210" s="1575"/>
      <c r="AL210" s="1574">
        <f t="shared" ref="AL210:BB210" si="360">SUM(AL161,AL167,AL173,AL179,AL185,AL191,AL197,AL203,AL209)</f>
        <v>0</v>
      </c>
      <c r="AM210" s="1574">
        <f t="shared" si="360"/>
        <v>0</v>
      </c>
      <c r="AN210" s="1574">
        <f t="shared" si="360"/>
        <v>0</v>
      </c>
      <c r="AO210" s="1574">
        <f t="shared" si="360"/>
        <v>12000</v>
      </c>
      <c r="AP210" s="1574">
        <f t="shared" si="360"/>
        <v>1000</v>
      </c>
      <c r="AQ210" s="1574">
        <f t="shared" si="360"/>
        <v>2160</v>
      </c>
      <c r="AR210" s="1574">
        <f t="shared" si="360"/>
        <v>0</v>
      </c>
      <c r="AS210" s="1574">
        <f t="shared" si="360"/>
        <v>270</v>
      </c>
      <c r="AT210" s="1574">
        <f t="shared" si="360"/>
        <v>0</v>
      </c>
      <c r="AU210" s="1574">
        <f t="shared" si="360"/>
        <v>0</v>
      </c>
      <c r="AV210" s="1574">
        <f t="shared" si="360"/>
        <v>0</v>
      </c>
      <c r="AW210" s="1574">
        <f t="shared" si="360"/>
        <v>0</v>
      </c>
      <c r="AX210" s="1574">
        <f t="shared" si="360"/>
        <v>0</v>
      </c>
      <c r="AY210" s="1574">
        <f t="shared" si="360"/>
        <v>0</v>
      </c>
      <c r="AZ210" s="1574">
        <f t="shared" si="360"/>
        <v>0</v>
      </c>
      <c r="BA210" s="1574">
        <f t="shared" si="360"/>
        <v>0</v>
      </c>
      <c r="BB210" s="1574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68"/>
      <c r="U211" s="1568"/>
      <c r="V211" s="1568"/>
      <c r="W211" s="1568"/>
      <c r="X211" s="1568"/>
      <c r="Y211" s="1568"/>
      <c r="Z211" s="1568"/>
      <c r="AA211" s="1568"/>
      <c r="AB211" s="1568"/>
      <c r="AC211" s="1568"/>
      <c r="AD211" s="1568"/>
      <c r="AE211" s="1568"/>
      <c r="AF211" s="1568"/>
      <c r="AG211" s="1568"/>
      <c r="AH211" s="1568"/>
      <c r="AI211" s="1568"/>
      <c r="AJ211" s="1568"/>
      <c r="AK211" s="1569"/>
      <c r="AL211" s="1568"/>
      <c r="AM211" s="1568"/>
      <c r="AN211" s="1568"/>
      <c r="AO211" s="1568"/>
      <c r="AP211" s="1568"/>
      <c r="AQ211" s="1568"/>
      <c r="AR211" s="1568"/>
      <c r="AS211" s="1568"/>
      <c r="AT211" s="1568"/>
      <c r="AU211" s="1568"/>
      <c r="AV211" s="1568"/>
      <c r="AW211" s="1568"/>
      <c r="AX211" s="1568"/>
      <c r="AY211" s="1568"/>
      <c r="AZ211" s="1568"/>
      <c r="BA211" s="1568"/>
      <c r="BB211" s="1568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469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0"/>
      <c r="U212" s="1570"/>
      <c r="V212" s="1570"/>
      <c r="W212" s="1570"/>
      <c r="X212" s="1570"/>
      <c r="Y212" s="1570"/>
      <c r="Z212" s="1570"/>
      <c r="AA212" s="1570"/>
      <c r="AB212" s="1570"/>
      <c r="AC212" s="1570"/>
      <c r="AD212" s="1570"/>
      <c r="AE212" s="1570"/>
      <c r="AF212" s="1570"/>
      <c r="AG212" s="1570"/>
      <c r="AH212" s="1570"/>
      <c r="AI212" s="1570"/>
      <c r="AJ212" s="1570"/>
      <c r="AK212" s="1569"/>
      <c r="AL212" s="1570"/>
      <c r="AM212" s="1570"/>
      <c r="AN212" s="1570"/>
      <c r="AO212" s="1570"/>
      <c r="AP212" s="1570"/>
      <c r="AQ212" s="1570"/>
      <c r="AR212" s="1570"/>
      <c r="AS212" s="1570"/>
      <c r="AT212" s="1570"/>
      <c r="AU212" s="1570"/>
      <c r="AV212" s="1570"/>
      <c r="AW212" s="1570"/>
      <c r="AX212" s="1570"/>
      <c r="AY212" s="1570"/>
      <c r="AZ212" s="1570"/>
      <c r="BA212" s="1570"/>
      <c r="BB212" s="15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470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1"/>
      <c r="U213" s="1571"/>
      <c r="V213" s="1571"/>
      <c r="W213" s="1571"/>
      <c r="X213" s="1571"/>
      <c r="Y213" s="1571"/>
      <c r="Z213" s="1571"/>
      <c r="AA213" s="1571"/>
      <c r="AB213" s="1571"/>
      <c r="AC213" s="1571"/>
      <c r="AD213" s="1571"/>
      <c r="AE213" s="1571"/>
      <c r="AF213" s="1571"/>
      <c r="AG213" s="1571"/>
      <c r="AH213" s="1571"/>
      <c r="AI213" s="1571"/>
      <c r="AJ213" s="1571"/>
      <c r="AK213" s="1569"/>
      <c r="AL213" s="1571"/>
      <c r="AM213" s="1571"/>
      <c r="AN213" s="1571"/>
      <c r="AO213" s="1571"/>
      <c r="AP213" s="1571"/>
      <c r="AQ213" s="1571"/>
      <c r="AR213" s="1571"/>
      <c r="AS213" s="1571"/>
      <c r="AT213" s="1571"/>
      <c r="AU213" s="1571"/>
      <c r="AV213" s="1571"/>
      <c r="AW213" s="1571"/>
      <c r="AX213" s="1571"/>
      <c r="AY213" s="1571"/>
      <c r="AZ213" s="1571"/>
      <c r="BA213" s="1571"/>
      <c r="BB213" s="1571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297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1"/>
      <c r="U214" s="1571"/>
      <c r="V214" s="1571"/>
      <c r="W214" s="1571"/>
      <c r="X214" s="1571"/>
      <c r="Y214" s="1571"/>
      <c r="Z214" s="1571"/>
      <c r="AA214" s="1571"/>
      <c r="AB214" s="1571"/>
      <c r="AC214" s="1571"/>
      <c r="AD214" s="1571"/>
      <c r="AE214" s="1571"/>
      <c r="AF214" s="1571"/>
      <c r="AG214" s="1571"/>
      <c r="AH214" s="1571"/>
      <c r="AI214" s="1571"/>
      <c r="AJ214" s="1571"/>
      <c r="AK214" s="1569"/>
      <c r="AL214" s="1571"/>
      <c r="AM214" s="1571"/>
      <c r="AN214" s="1571"/>
      <c r="AO214" s="1571"/>
      <c r="AP214" s="1571"/>
      <c r="AQ214" s="1571"/>
      <c r="AR214" s="1571"/>
      <c r="AS214" s="1571"/>
      <c r="AT214" s="1571"/>
      <c r="AU214" s="1571"/>
      <c r="AV214" s="1571"/>
      <c r="AW214" s="1571"/>
      <c r="AX214" s="1571"/>
      <c r="AY214" s="1571"/>
      <c r="AZ214" s="1571"/>
      <c r="BA214" s="1571"/>
      <c r="BB214" s="1571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298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2"/>
      <c r="U215" s="1572"/>
      <c r="V215" s="1572"/>
      <c r="W215" s="1572"/>
      <c r="X215" s="1572"/>
      <c r="Y215" s="1572"/>
      <c r="Z215" s="1572"/>
      <c r="AA215" s="1572"/>
      <c r="AB215" s="1572"/>
      <c r="AC215" s="1572"/>
      <c r="AD215" s="1572"/>
      <c r="AE215" s="1572"/>
      <c r="AF215" s="1572"/>
      <c r="AG215" s="1572"/>
      <c r="AH215" s="1572"/>
      <c r="AI215" s="1572"/>
      <c r="AJ215" s="1572"/>
      <c r="AK215" s="1569"/>
      <c r="AL215" s="1572"/>
      <c r="AM215" s="1572"/>
      <c r="AN215" s="1572"/>
      <c r="AO215" s="1572"/>
      <c r="AP215" s="1572"/>
      <c r="AQ215" s="1572"/>
      <c r="AR215" s="1572"/>
      <c r="AS215" s="1572"/>
      <c r="AT215" s="1572"/>
      <c r="AU215" s="1572"/>
      <c r="AV215" s="1572"/>
      <c r="AW215" s="1572"/>
      <c r="AX215" s="1572"/>
      <c r="AY215" s="1572"/>
      <c r="AZ215" s="1572"/>
      <c r="BA215" s="1572"/>
      <c r="BB215" s="1572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283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2"/>
      <c r="U216" s="1572"/>
      <c r="V216" s="1572"/>
      <c r="W216" s="1572"/>
      <c r="X216" s="1572"/>
      <c r="Y216" s="1572"/>
      <c r="Z216" s="1572"/>
      <c r="AA216" s="1572"/>
      <c r="AB216" s="1572"/>
      <c r="AC216" s="1572"/>
      <c r="AD216" s="1572"/>
      <c r="AE216" s="1572"/>
      <c r="AF216" s="1572"/>
      <c r="AG216" s="1572"/>
      <c r="AH216" s="1572"/>
      <c r="AI216" s="1572"/>
      <c r="AJ216" s="1572"/>
      <c r="AK216" s="1569"/>
      <c r="AL216" s="1572"/>
      <c r="AM216" s="1572"/>
      <c r="AN216" s="1572"/>
      <c r="AO216" s="1572"/>
      <c r="AP216" s="1572"/>
      <c r="AQ216" s="1572"/>
      <c r="AR216" s="1572"/>
      <c r="AS216" s="1572"/>
      <c r="AT216" s="1572"/>
      <c r="AU216" s="1572"/>
      <c r="AV216" s="1572"/>
      <c r="AW216" s="1572"/>
      <c r="AX216" s="1572"/>
      <c r="AY216" s="1572"/>
      <c r="AZ216" s="1572"/>
      <c r="BA216" s="1572"/>
      <c r="BB216" s="1572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314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2"/>
      <c r="U217" s="1572"/>
      <c r="V217" s="1572"/>
      <c r="W217" s="1572"/>
      <c r="X217" s="1572"/>
      <c r="Y217" s="1572"/>
      <c r="Z217" s="1572"/>
      <c r="AA217" s="1572"/>
      <c r="AB217" s="1572"/>
      <c r="AC217" s="1572"/>
      <c r="AD217" s="1572"/>
      <c r="AE217" s="1572"/>
      <c r="AF217" s="1572"/>
      <c r="AG217" s="1572"/>
      <c r="AH217" s="1572"/>
      <c r="AI217" s="1572"/>
      <c r="AJ217" s="1572"/>
      <c r="AK217" s="1569"/>
      <c r="AL217" s="1572"/>
      <c r="AM217" s="1572"/>
      <c r="AN217" s="1572"/>
      <c r="AO217" s="1572"/>
      <c r="AP217" s="1572"/>
      <c r="AQ217" s="1572"/>
      <c r="AR217" s="1572"/>
      <c r="AS217" s="1572"/>
      <c r="AT217" s="1572"/>
      <c r="AU217" s="1572"/>
      <c r="AV217" s="1572"/>
      <c r="AW217" s="1572"/>
      <c r="AX217" s="1572"/>
      <c r="AY217" s="1572"/>
      <c r="AZ217" s="1572"/>
      <c r="BA217" s="1572"/>
      <c r="BB217" s="1572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315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3" t="str">
        <f t="shared" ref="T218:AJ218" si="367">IF(T215="","",T214*T215*T216*T217)</f>
        <v/>
      </c>
      <c r="U218" s="1573" t="str">
        <f t="shared" si="367"/>
        <v/>
      </c>
      <c r="V218" s="1573" t="str">
        <f t="shared" si="367"/>
        <v/>
      </c>
      <c r="W218" s="1573" t="str">
        <f t="shared" si="367"/>
        <v/>
      </c>
      <c r="X218" s="1573" t="str">
        <f t="shared" si="367"/>
        <v/>
      </c>
      <c r="Y218" s="1573" t="str">
        <f t="shared" si="367"/>
        <v/>
      </c>
      <c r="Z218" s="1573" t="str">
        <f t="shared" si="367"/>
        <v/>
      </c>
      <c r="AA218" s="1573" t="str">
        <f t="shared" si="367"/>
        <v/>
      </c>
      <c r="AB218" s="1573" t="str">
        <f t="shared" si="367"/>
        <v/>
      </c>
      <c r="AC218" s="1573" t="str">
        <f t="shared" si="367"/>
        <v/>
      </c>
      <c r="AD218" s="1573" t="str">
        <f t="shared" si="367"/>
        <v/>
      </c>
      <c r="AE218" s="1573" t="str">
        <f t="shared" si="367"/>
        <v/>
      </c>
      <c r="AF218" s="1573" t="str">
        <f t="shared" si="367"/>
        <v/>
      </c>
      <c r="AG218" s="1573" t="str">
        <f t="shared" si="367"/>
        <v/>
      </c>
      <c r="AH218" s="1573" t="str">
        <f t="shared" si="367"/>
        <v/>
      </c>
      <c r="AI218" s="1573" t="str">
        <f t="shared" si="367"/>
        <v/>
      </c>
      <c r="AJ218" s="1573" t="str">
        <f t="shared" si="367"/>
        <v/>
      </c>
      <c r="AK218" s="1569"/>
      <c r="AL218" s="1573" t="str">
        <f t="shared" ref="AL218:BB218" si="368">IF(AL215="","",AL214*AL215*AL216*AL217)</f>
        <v/>
      </c>
      <c r="AM218" s="1573" t="str">
        <f t="shared" si="368"/>
        <v/>
      </c>
      <c r="AN218" s="1573" t="str">
        <f t="shared" si="368"/>
        <v/>
      </c>
      <c r="AO218" s="1573" t="str">
        <f t="shared" si="368"/>
        <v/>
      </c>
      <c r="AP218" s="1573" t="str">
        <f t="shared" si="368"/>
        <v/>
      </c>
      <c r="AQ218" s="1573" t="str">
        <f t="shared" si="368"/>
        <v/>
      </c>
      <c r="AR218" s="1573" t="str">
        <f t="shared" si="368"/>
        <v/>
      </c>
      <c r="AS218" s="1573" t="str">
        <f t="shared" si="368"/>
        <v/>
      </c>
      <c r="AT218" s="1573" t="str">
        <f t="shared" si="368"/>
        <v/>
      </c>
      <c r="AU218" s="1573" t="str">
        <f t="shared" si="368"/>
        <v/>
      </c>
      <c r="AV218" s="1573" t="str">
        <f t="shared" si="368"/>
        <v/>
      </c>
      <c r="AW218" s="1573" t="str">
        <f t="shared" si="368"/>
        <v/>
      </c>
      <c r="AX218" s="1573" t="str">
        <f t="shared" si="368"/>
        <v/>
      </c>
      <c r="AY218" s="1573" t="str">
        <f t="shared" si="368"/>
        <v/>
      </c>
      <c r="AZ218" s="1573" t="str">
        <f t="shared" si="368"/>
        <v/>
      </c>
      <c r="BA218" s="1573" t="str">
        <f t="shared" si="368"/>
        <v/>
      </c>
      <c r="BB218" s="1573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471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1"/>
      <c r="U219" s="1571"/>
      <c r="V219" s="1571"/>
      <c r="W219" s="1571"/>
      <c r="X219" s="1571"/>
      <c r="Y219" s="1571"/>
      <c r="Z219" s="1571"/>
      <c r="AA219" s="1571"/>
      <c r="AB219" s="1571"/>
      <c r="AC219" s="1571"/>
      <c r="AD219" s="1571"/>
      <c r="AE219" s="1571"/>
      <c r="AF219" s="1571"/>
      <c r="AG219" s="1571"/>
      <c r="AH219" s="1571"/>
      <c r="AI219" s="1571"/>
      <c r="AJ219" s="1571"/>
      <c r="AK219" s="1569"/>
      <c r="AL219" s="1571"/>
      <c r="AM219" s="1571"/>
      <c r="AN219" s="1571"/>
      <c r="AO219" s="1571"/>
      <c r="AP219" s="1571"/>
      <c r="AQ219" s="1571"/>
      <c r="AR219" s="1571"/>
      <c r="AS219" s="1571"/>
      <c r="AT219" s="1571"/>
      <c r="AU219" s="1571"/>
      <c r="AV219" s="1571"/>
      <c r="AW219" s="1571"/>
      <c r="AX219" s="1571"/>
      <c r="AY219" s="1571"/>
      <c r="AZ219" s="1571"/>
      <c r="BA219" s="1571"/>
      <c r="BB219" s="1571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297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1"/>
      <c r="U220" s="1571"/>
      <c r="V220" s="1571"/>
      <c r="W220" s="1571"/>
      <c r="X220" s="1571"/>
      <c r="Y220" s="1571">
        <v>1</v>
      </c>
      <c r="Z220" s="1571"/>
      <c r="AA220" s="1571"/>
      <c r="AB220" s="1571"/>
      <c r="AC220" s="1571"/>
      <c r="AD220" s="1571"/>
      <c r="AE220" s="1571"/>
      <c r="AF220" s="1571"/>
      <c r="AG220" s="1571"/>
      <c r="AH220" s="1571"/>
      <c r="AI220" s="1571"/>
      <c r="AJ220" s="1571"/>
      <c r="AK220" s="1569"/>
      <c r="AL220" s="1571"/>
      <c r="AM220" s="1571"/>
      <c r="AN220" s="1571"/>
      <c r="AO220" s="1571"/>
      <c r="AP220" s="1571"/>
      <c r="AQ220" s="1571"/>
      <c r="AR220" s="1571"/>
      <c r="AS220" s="1571"/>
      <c r="AT220" s="1571"/>
      <c r="AU220" s="1571"/>
      <c r="AV220" s="1571"/>
      <c r="AW220" s="1571"/>
      <c r="AX220" s="1571"/>
      <c r="AY220" s="1571"/>
      <c r="AZ220" s="1571"/>
      <c r="BA220" s="1571"/>
      <c r="BB220" s="1571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298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2"/>
      <c r="U221" s="1572"/>
      <c r="V221" s="1572"/>
      <c r="W221" s="1572"/>
      <c r="X221" s="1572"/>
      <c r="Y221" s="1572">
        <v>30</v>
      </c>
      <c r="Z221" s="1572"/>
      <c r="AA221" s="1572"/>
      <c r="AB221" s="1572"/>
      <c r="AC221" s="1572"/>
      <c r="AD221" s="1572"/>
      <c r="AE221" s="1572"/>
      <c r="AF221" s="1572"/>
      <c r="AG221" s="1572"/>
      <c r="AH221" s="1572"/>
      <c r="AI221" s="1572"/>
      <c r="AJ221" s="1572"/>
      <c r="AK221" s="1569"/>
      <c r="AL221" s="1572"/>
      <c r="AM221" s="1572"/>
      <c r="AN221" s="1572"/>
      <c r="AO221" s="1572"/>
      <c r="AP221" s="1572"/>
      <c r="AQ221" s="1572"/>
      <c r="AR221" s="1572"/>
      <c r="AS221" s="1572"/>
      <c r="AT221" s="1572"/>
      <c r="AU221" s="1572"/>
      <c r="AV221" s="1572"/>
      <c r="AW221" s="1572"/>
      <c r="AX221" s="1571"/>
      <c r="AY221" s="1571"/>
      <c r="AZ221" s="1571"/>
      <c r="BA221" s="1572"/>
      <c r="BB221" s="1572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283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2"/>
      <c r="U222" s="1572"/>
      <c r="V222" s="1572"/>
      <c r="W222" s="1572"/>
      <c r="X222" s="1572"/>
      <c r="Y222" s="1572">
        <v>12</v>
      </c>
      <c r="Z222" s="1572"/>
      <c r="AA222" s="1572"/>
      <c r="AB222" s="1572"/>
      <c r="AC222" s="1572"/>
      <c r="AD222" s="1572"/>
      <c r="AE222" s="1572"/>
      <c r="AF222" s="1572"/>
      <c r="AG222" s="1572"/>
      <c r="AH222" s="1572"/>
      <c r="AI222" s="1572"/>
      <c r="AJ222" s="1572"/>
      <c r="AK222" s="1569"/>
      <c r="AL222" s="1572"/>
      <c r="AM222" s="1572"/>
      <c r="AN222" s="1572"/>
      <c r="AO222" s="1572"/>
      <c r="AP222" s="1572"/>
      <c r="AQ222" s="1572"/>
      <c r="AR222" s="1572"/>
      <c r="AS222" s="1572"/>
      <c r="AT222" s="1572"/>
      <c r="AU222" s="1572"/>
      <c r="AV222" s="1572"/>
      <c r="AW222" s="1572"/>
      <c r="AX222" s="1571"/>
      <c r="AY222" s="1571"/>
      <c r="AZ222" s="1571"/>
      <c r="BA222" s="1572"/>
      <c r="BB222" s="1572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328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2"/>
      <c r="U223" s="1572"/>
      <c r="V223" s="1572"/>
      <c r="W223" s="1572"/>
      <c r="X223" s="1572"/>
      <c r="Y223" s="1572">
        <v>13</v>
      </c>
      <c r="Z223" s="1572"/>
      <c r="AA223" s="1572"/>
      <c r="AB223" s="1572"/>
      <c r="AC223" s="1572"/>
      <c r="AD223" s="1572"/>
      <c r="AE223" s="1572"/>
      <c r="AF223" s="1572"/>
      <c r="AG223" s="1572"/>
      <c r="AH223" s="1572"/>
      <c r="AI223" s="1572"/>
      <c r="AJ223" s="1572"/>
      <c r="AK223" s="1569"/>
      <c r="AL223" s="1572"/>
      <c r="AM223" s="1572"/>
      <c r="AN223" s="1572"/>
      <c r="AO223" s="1572"/>
      <c r="AP223" s="1572"/>
      <c r="AQ223" s="1572"/>
      <c r="AR223" s="1572"/>
      <c r="AS223" s="1572"/>
      <c r="AT223" s="1572"/>
      <c r="AU223" s="1572"/>
      <c r="AV223" s="1572"/>
      <c r="AW223" s="1572"/>
      <c r="AX223" s="1571"/>
      <c r="AY223" s="1571"/>
      <c r="AZ223" s="1571"/>
      <c r="BA223" s="1572"/>
      <c r="BB223" s="1572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315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3" t="str">
        <f t="shared" ref="T224:AJ224" si="375">IF(T221="","",T220*T221*T222*T223)</f>
        <v/>
      </c>
      <c r="U224" s="1573" t="str">
        <f t="shared" si="375"/>
        <v/>
      </c>
      <c r="V224" s="1573" t="str">
        <f t="shared" si="375"/>
        <v/>
      </c>
      <c r="W224" s="1573" t="str">
        <f t="shared" si="375"/>
        <v/>
      </c>
      <c r="X224" s="1573" t="str">
        <f t="shared" si="375"/>
        <v/>
      </c>
      <c r="Y224" s="1573">
        <f t="shared" si="375"/>
        <v>4680</v>
      </c>
      <c r="Z224" s="1573" t="str">
        <f t="shared" si="375"/>
        <v/>
      </c>
      <c r="AA224" s="1573" t="str">
        <f t="shared" si="375"/>
        <v/>
      </c>
      <c r="AB224" s="1573" t="str">
        <f t="shared" si="375"/>
        <v/>
      </c>
      <c r="AC224" s="1573" t="str">
        <f t="shared" si="375"/>
        <v/>
      </c>
      <c r="AD224" s="1573" t="str">
        <f t="shared" si="375"/>
        <v/>
      </c>
      <c r="AE224" s="1573" t="str">
        <f t="shared" si="375"/>
        <v/>
      </c>
      <c r="AF224" s="1573" t="str">
        <f t="shared" si="375"/>
        <v/>
      </c>
      <c r="AG224" s="1573" t="str">
        <f t="shared" si="375"/>
        <v/>
      </c>
      <c r="AH224" s="1573" t="str">
        <f t="shared" si="375"/>
        <v/>
      </c>
      <c r="AI224" s="1573" t="str">
        <f t="shared" si="375"/>
        <v/>
      </c>
      <c r="AJ224" s="1573" t="str">
        <f t="shared" si="375"/>
        <v/>
      </c>
      <c r="AK224" s="1569"/>
      <c r="AL224" s="1573" t="str">
        <f t="shared" ref="AL224:BB224" si="376">IF(AL221="","",AL220*AL221*AL222*AL223)</f>
        <v/>
      </c>
      <c r="AM224" s="1573" t="str">
        <f t="shared" si="376"/>
        <v/>
      </c>
      <c r="AN224" s="1573" t="str">
        <f t="shared" si="376"/>
        <v/>
      </c>
      <c r="AO224" s="1573" t="str">
        <f t="shared" si="376"/>
        <v/>
      </c>
      <c r="AP224" s="1573" t="str">
        <f t="shared" si="376"/>
        <v/>
      </c>
      <c r="AQ224" s="1573" t="str">
        <f t="shared" si="376"/>
        <v/>
      </c>
      <c r="AR224" s="1573" t="str">
        <f t="shared" si="376"/>
        <v/>
      </c>
      <c r="AS224" s="1573" t="str">
        <f t="shared" si="376"/>
        <v/>
      </c>
      <c r="AT224" s="1573" t="str">
        <f t="shared" si="376"/>
        <v/>
      </c>
      <c r="AU224" s="1573" t="str">
        <f t="shared" si="376"/>
        <v/>
      </c>
      <c r="AV224" s="1573" t="str">
        <f t="shared" si="376"/>
        <v/>
      </c>
      <c r="AW224" s="1573" t="str">
        <f t="shared" si="376"/>
        <v/>
      </c>
      <c r="AX224" s="1573" t="str">
        <f t="shared" si="376"/>
        <v/>
      </c>
      <c r="AY224" s="1573" t="str">
        <f t="shared" si="376"/>
        <v/>
      </c>
      <c r="AZ224" s="1573" t="str">
        <f t="shared" si="376"/>
        <v/>
      </c>
      <c r="BA224" s="1573" t="str">
        <f t="shared" si="376"/>
        <v/>
      </c>
      <c r="BB224" s="1573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472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1"/>
      <c r="U225" s="1571"/>
      <c r="V225" s="1571"/>
      <c r="W225" s="1571"/>
      <c r="X225" s="1571"/>
      <c r="Y225" s="1571"/>
      <c r="Z225" s="1571"/>
      <c r="AA225" s="1571"/>
      <c r="AB225" s="1571"/>
      <c r="AC225" s="1571"/>
      <c r="AD225" s="1571"/>
      <c r="AE225" s="1571"/>
      <c r="AF225" s="1571"/>
      <c r="AG225" s="1571"/>
      <c r="AH225" s="1571"/>
      <c r="AI225" s="1571"/>
      <c r="AJ225" s="1571"/>
      <c r="AK225" s="1569"/>
      <c r="AL225" s="1571"/>
      <c r="AM225" s="1571"/>
      <c r="AN225" s="1571"/>
      <c r="AO225" s="1571"/>
      <c r="AP225" s="1571"/>
      <c r="AQ225" s="1571"/>
      <c r="AR225" s="1571"/>
      <c r="AS225" s="1571"/>
      <c r="AT225" s="1571"/>
      <c r="AU225" s="1571"/>
      <c r="AV225" s="1571"/>
      <c r="AW225" s="1571"/>
      <c r="AX225" s="1571"/>
      <c r="AY225" s="1571"/>
      <c r="AZ225" s="1571"/>
      <c r="BA225" s="1571"/>
      <c r="BB225" s="1571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297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1"/>
      <c r="U226" s="1571"/>
      <c r="V226" s="1571"/>
      <c r="W226" s="1571"/>
      <c r="X226" s="1571"/>
      <c r="Y226" s="1571"/>
      <c r="Z226" s="1571"/>
      <c r="AA226" s="1571"/>
      <c r="AB226" s="1571"/>
      <c r="AC226" s="1571"/>
      <c r="AD226" s="1571"/>
      <c r="AE226" s="1571"/>
      <c r="AF226" s="1571"/>
      <c r="AG226" s="1571"/>
      <c r="AH226" s="1571"/>
      <c r="AI226" s="1571"/>
      <c r="AJ226" s="1571"/>
      <c r="AK226" s="1569"/>
      <c r="AL226" s="1571"/>
      <c r="AM226" s="1571"/>
      <c r="AN226" s="1571"/>
      <c r="AO226" s="1571"/>
      <c r="AP226" s="1571"/>
      <c r="AQ226" s="1571"/>
      <c r="AR226" s="1571"/>
      <c r="AS226" s="1571"/>
      <c r="AT226" s="1571"/>
      <c r="AU226" s="1571"/>
      <c r="AV226" s="1571"/>
      <c r="AW226" s="1571"/>
      <c r="AX226" s="1571"/>
      <c r="AY226" s="1571"/>
      <c r="AZ226" s="1571"/>
      <c r="BA226" s="1571"/>
      <c r="BB226" s="1571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298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2"/>
      <c r="U227" s="1572"/>
      <c r="V227" s="1572"/>
      <c r="W227" s="1572"/>
      <c r="X227" s="1572"/>
      <c r="Y227" s="1572"/>
      <c r="Z227" s="1572"/>
      <c r="AA227" s="1572"/>
      <c r="AB227" s="1572"/>
      <c r="AC227" s="1572"/>
      <c r="AD227" s="1572"/>
      <c r="AE227" s="1572"/>
      <c r="AF227" s="1572"/>
      <c r="AG227" s="1572"/>
      <c r="AH227" s="1572"/>
      <c r="AI227" s="1572"/>
      <c r="AJ227" s="1572"/>
      <c r="AK227" s="1569"/>
      <c r="AL227" s="1572"/>
      <c r="AM227" s="1572"/>
      <c r="AN227" s="1572"/>
      <c r="AO227" s="1572"/>
      <c r="AP227" s="1572"/>
      <c r="AQ227" s="1572"/>
      <c r="AR227" s="1572"/>
      <c r="AS227" s="1572"/>
      <c r="AT227" s="1572"/>
      <c r="AU227" s="1572"/>
      <c r="AV227" s="1572"/>
      <c r="AW227" s="1572"/>
      <c r="AX227" s="1572"/>
      <c r="AY227" s="1572"/>
      <c r="AZ227" s="1572"/>
      <c r="BA227" s="1572"/>
      <c r="BB227" s="1572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283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2"/>
      <c r="U228" s="1572"/>
      <c r="V228" s="1572"/>
      <c r="W228" s="1572"/>
      <c r="X228" s="1572"/>
      <c r="Y228" s="1572"/>
      <c r="Z228" s="1572"/>
      <c r="AA228" s="1572"/>
      <c r="AB228" s="1572"/>
      <c r="AC228" s="1572"/>
      <c r="AD228" s="1572"/>
      <c r="AE228" s="1572"/>
      <c r="AF228" s="1572"/>
      <c r="AG228" s="1572"/>
      <c r="AH228" s="1572"/>
      <c r="AI228" s="1572"/>
      <c r="AJ228" s="1572"/>
      <c r="AK228" s="1569"/>
      <c r="AL228" s="1572"/>
      <c r="AM228" s="1572"/>
      <c r="AN228" s="1572"/>
      <c r="AO228" s="1572"/>
      <c r="AP228" s="1572"/>
      <c r="AQ228" s="1572"/>
      <c r="AR228" s="1572"/>
      <c r="AS228" s="1572"/>
      <c r="AT228" s="1572"/>
      <c r="AU228" s="1572"/>
      <c r="AV228" s="1572"/>
      <c r="AW228" s="1572"/>
      <c r="AX228" s="1572"/>
      <c r="AY228" s="1572"/>
      <c r="AZ228" s="1572"/>
      <c r="BA228" s="1572"/>
      <c r="BB228" s="1572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314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2"/>
      <c r="U229" s="1572"/>
      <c r="V229" s="1572"/>
      <c r="W229" s="1572"/>
      <c r="X229" s="1572"/>
      <c r="Y229" s="1572"/>
      <c r="Z229" s="1572"/>
      <c r="AA229" s="1572"/>
      <c r="AB229" s="1572"/>
      <c r="AC229" s="1572"/>
      <c r="AD229" s="1572"/>
      <c r="AE229" s="1572"/>
      <c r="AF229" s="1572"/>
      <c r="AG229" s="1572"/>
      <c r="AH229" s="1572"/>
      <c r="AI229" s="1572"/>
      <c r="AJ229" s="1572"/>
      <c r="AK229" s="1569"/>
      <c r="AL229" s="1572"/>
      <c r="AM229" s="1572"/>
      <c r="AN229" s="1572"/>
      <c r="AO229" s="1572"/>
      <c r="AP229" s="1572"/>
      <c r="AQ229" s="1572"/>
      <c r="AR229" s="1572"/>
      <c r="AS229" s="1572"/>
      <c r="AT229" s="1572"/>
      <c r="AU229" s="1572"/>
      <c r="AV229" s="1572"/>
      <c r="AW229" s="1572"/>
      <c r="AX229" s="1572"/>
      <c r="AY229" s="1572"/>
      <c r="AZ229" s="1572"/>
      <c r="BA229" s="1572"/>
      <c r="BB229" s="1572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315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3" t="str">
        <f t="shared" ref="T230:AJ230" si="383">IF(T227="","",T226*T227*T228*T229)</f>
        <v/>
      </c>
      <c r="U230" s="1573" t="str">
        <f t="shared" si="383"/>
        <v/>
      </c>
      <c r="V230" s="1573" t="str">
        <f t="shared" si="383"/>
        <v/>
      </c>
      <c r="W230" s="1573" t="str">
        <f t="shared" si="383"/>
        <v/>
      </c>
      <c r="X230" s="1573" t="str">
        <f t="shared" si="383"/>
        <v/>
      </c>
      <c r="Y230" s="1573" t="str">
        <f t="shared" si="383"/>
        <v/>
      </c>
      <c r="Z230" s="1573" t="str">
        <f t="shared" si="383"/>
        <v/>
      </c>
      <c r="AA230" s="1573" t="str">
        <f t="shared" si="383"/>
        <v/>
      </c>
      <c r="AB230" s="1573" t="str">
        <f t="shared" si="383"/>
        <v/>
      </c>
      <c r="AC230" s="1573" t="str">
        <f t="shared" si="383"/>
        <v/>
      </c>
      <c r="AD230" s="1573" t="str">
        <f t="shared" si="383"/>
        <v/>
      </c>
      <c r="AE230" s="1573" t="str">
        <f t="shared" si="383"/>
        <v/>
      </c>
      <c r="AF230" s="1573" t="str">
        <f t="shared" si="383"/>
        <v/>
      </c>
      <c r="AG230" s="1573" t="str">
        <f t="shared" si="383"/>
        <v/>
      </c>
      <c r="AH230" s="1573" t="str">
        <f t="shared" si="383"/>
        <v/>
      </c>
      <c r="AI230" s="1573" t="str">
        <f t="shared" si="383"/>
        <v/>
      </c>
      <c r="AJ230" s="1573" t="str">
        <f t="shared" si="383"/>
        <v/>
      </c>
      <c r="AK230" s="1569"/>
      <c r="AL230" s="1573" t="str">
        <f t="shared" ref="AL230:BB230" si="384">IF(AL227="","",AL226*AL227*AL228*AL229)</f>
        <v/>
      </c>
      <c r="AM230" s="1573" t="str">
        <f t="shared" si="384"/>
        <v/>
      </c>
      <c r="AN230" s="1573" t="str">
        <f t="shared" si="384"/>
        <v/>
      </c>
      <c r="AO230" s="1573" t="str">
        <f t="shared" si="384"/>
        <v/>
      </c>
      <c r="AP230" s="1573" t="str">
        <f t="shared" si="384"/>
        <v/>
      </c>
      <c r="AQ230" s="1573" t="str">
        <f t="shared" si="384"/>
        <v/>
      </c>
      <c r="AR230" s="1573" t="str">
        <f t="shared" si="384"/>
        <v/>
      </c>
      <c r="AS230" s="1573" t="str">
        <f t="shared" si="384"/>
        <v/>
      </c>
      <c r="AT230" s="1573" t="str">
        <f t="shared" si="384"/>
        <v/>
      </c>
      <c r="AU230" s="1573" t="str">
        <f t="shared" si="384"/>
        <v/>
      </c>
      <c r="AV230" s="1573" t="str">
        <f t="shared" si="384"/>
        <v/>
      </c>
      <c r="AW230" s="1573" t="str">
        <f t="shared" si="384"/>
        <v/>
      </c>
      <c r="AX230" s="1573" t="str">
        <f t="shared" si="384"/>
        <v/>
      </c>
      <c r="AY230" s="1573" t="str">
        <f t="shared" si="384"/>
        <v/>
      </c>
      <c r="AZ230" s="1573" t="str">
        <f t="shared" si="384"/>
        <v/>
      </c>
      <c r="BA230" s="1573" t="str">
        <f t="shared" si="384"/>
        <v/>
      </c>
      <c r="BB230" s="1573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473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1"/>
      <c r="U231" s="1571"/>
      <c r="V231" s="1571"/>
      <c r="W231" s="1571"/>
      <c r="X231" s="1571"/>
      <c r="Y231" s="1571"/>
      <c r="Z231" s="1571"/>
      <c r="AA231" s="1571"/>
      <c r="AB231" s="1571"/>
      <c r="AC231" s="1571"/>
      <c r="AD231" s="1571"/>
      <c r="AE231" s="1571"/>
      <c r="AF231" s="1571"/>
      <c r="AG231" s="1571"/>
      <c r="AH231" s="1571"/>
      <c r="AI231" s="1571"/>
      <c r="AJ231" s="1571"/>
      <c r="AK231" s="1569"/>
      <c r="AL231" s="1571"/>
      <c r="AM231" s="1571"/>
      <c r="AN231" s="1571"/>
      <c r="AO231" s="1571"/>
      <c r="AP231" s="1571"/>
      <c r="AQ231" s="1571"/>
      <c r="AR231" s="1571"/>
      <c r="AS231" s="1571"/>
      <c r="AT231" s="1571"/>
      <c r="AU231" s="1571"/>
      <c r="AV231" s="1571"/>
      <c r="AW231" s="1571"/>
      <c r="AX231" s="1571"/>
      <c r="AY231" s="1571"/>
      <c r="AZ231" s="1571"/>
      <c r="BA231" s="1571"/>
      <c r="BB231" s="1571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297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1"/>
      <c r="U232" s="1571"/>
      <c r="V232" s="1571"/>
      <c r="W232" s="1571"/>
      <c r="X232" s="1571"/>
      <c r="Y232" s="1571"/>
      <c r="Z232" s="1571"/>
      <c r="AA232" s="1571"/>
      <c r="AB232" s="1571"/>
      <c r="AC232" s="1571"/>
      <c r="AD232" s="1571"/>
      <c r="AE232" s="1571"/>
      <c r="AF232" s="1571"/>
      <c r="AG232" s="1571"/>
      <c r="AH232" s="1571"/>
      <c r="AI232" s="1571"/>
      <c r="AJ232" s="1571"/>
      <c r="AK232" s="1569"/>
      <c r="AL232" s="1571"/>
      <c r="AM232" s="1571"/>
      <c r="AN232" s="1571">
        <v>3</v>
      </c>
      <c r="AO232" s="1571"/>
      <c r="AP232" s="1571"/>
      <c r="AQ232" s="1571"/>
      <c r="AR232" s="1571"/>
      <c r="AS232" s="1571"/>
      <c r="AT232" s="1571"/>
      <c r="AU232" s="1571"/>
      <c r="AV232" s="1571"/>
      <c r="AW232" s="1571"/>
      <c r="AX232" s="1571"/>
      <c r="AY232" s="1571"/>
      <c r="AZ232" s="1571"/>
      <c r="BA232" s="1571"/>
      <c r="BB232" s="1571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298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2"/>
      <c r="U233" s="1572"/>
      <c r="V233" s="1572"/>
      <c r="W233" s="1572"/>
      <c r="X233" s="1572"/>
      <c r="Y233" s="1572"/>
      <c r="Z233" s="1572"/>
      <c r="AA233" s="1572"/>
      <c r="AB233" s="1572"/>
      <c r="AC233" s="1572"/>
      <c r="AD233" s="1572"/>
      <c r="AE233" s="1572"/>
      <c r="AF233" s="1572"/>
      <c r="AG233" s="1572"/>
      <c r="AH233" s="1572"/>
      <c r="AI233" s="1572"/>
      <c r="AJ233" s="1572"/>
      <c r="AK233" s="1569"/>
      <c r="AL233" s="1572"/>
      <c r="AM233" s="1572"/>
      <c r="AN233" s="1572">
        <v>1</v>
      </c>
      <c r="AO233" s="1572"/>
      <c r="AP233" s="1572"/>
      <c r="AQ233" s="1572"/>
      <c r="AR233" s="1572"/>
      <c r="AS233" s="1572"/>
      <c r="AT233" s="1572"/>
      <c r="AU233" s="1572"/>
      <c r="AV233" s="1572"/>
      <c r="AW233" s="1572"/>
      <c r="AX233" s="1572"/>
      <c r="AY233" s="1572"/>
      <c r="AZ233" s="1572"/>
      <c r="BA233" s="1572"/>
      <c r="BB233" s="1572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283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2"/>
      <c r="U234" s="1572"/>
      <c r="V234" s="1572"/>
      <c r="W234" s="1572"/>
      <c r="X234" s="1572"/>
      <c r="Y234" s="1572"/>
      <c r="Z234" s="1572"/>
      <c r="AA234" s="1572"/>
      <c r="AB234" s="1572"/>
      <c r="AC234" s="1572"/>
      <c r="AD234" s="1572"/>
      <c r="AE234" s="1572"/>
      <c r="AF234" s="1572"/>
      <c r="AG234" s="1572"/>
      <c r="AH234" s="1572"/>
      <c r="AI234" s="1572"/>
      <c r="AJ234" s="1572"/>
      <c r="AK234" s="1569"/>
      <c r="AL234" s="1572"/>
      <c r="AM234" s="1572"/>
      <c r="AN234" s="1572">
        <v>5</v>
      </c>
      <c r="AO234" s="1572"/>
      <c r="AP234" s="1572"/>
      <c r="AQ234" s="1572"/>
      <c r="AR234" s="1572"/>
      <c r="AS234" s="1572"/>
      <c r="AT234" s="1572"/>
      <c r="AU234" s="1572"/>
      <c r="AV234" s="1572"/>
      <c r="AW234" s="1572"/>
      <c r="AX234" s="1572"/>
      <c r="AY234" s="1572"/>
      <c r="AZ234" s="1572"/>
      <c r="BA234" s="1572"/>
      <c r="BB234" s="1572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314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2"/>
      <c r="U235" s="1572"/>
      <c r="V235" s="1572"/>
      <c r="W235" s="1572"/>
      <c r="X235" s="1572"/>
      <c r="Y235" s="1572"/>
      <c r="Z235" s="1572"/>
      <c r="AA235" s="1572"/>
      <c r="AB235" s="1572"/>
      <c r="AC235" s="1572"/>
      <c r="AD235" s="1572"/>
      <c r="AE235" s="1572"/>
      <c r="AF235" s="1572"/>
      <c r="AG235" s="1572"/>
      <c r="AH235" s="1572"/>
      <c r="AI235" s="1572"/>
      <c r="AJ235" s="1572"/>
      <c r="AK235" s="1569"/>
      <c r="AL235" s="1572"/>
      <c r="AM235" s="1572"/>
      <c r="AN235" s="1572">
        <f>1800/15</f>
        <v>120</v>
      </c>
      <c r="AO235" s="1572"/>
      <c r="AP235" s="1572"/>
      <c r="AQ235" s="1572"/>
      <c r="AR235" s="1572"/>
      <c r="AS235" s="1572"/>
      <c r="AT235" s="1572"/>
      <c r="AU235" s="1572"/>
      <c r="AV235" s="1572"/>
      <c r="AW235" s="1572"/>
      <c r="AX235" s="1572"/>
      <c r="AY235" s="1572"/>
      <c r="AZ235" s="1572"/>
      <c r="BA235" s="1572"/>
      <c r="BB235" s="1572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315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3" t="str">
        <f t="shared" ref="T236:AJ236" si="391">IF(T233="","",T232*T233*T234*T235)</f>
        <v/>
      </c>
      <c r="U236" s="1573" t="str">
        <f t="shared" si="391"/>
        <v/>
      </c>
      <c r="V236" s="1573" t="str">
        <f t="shared" si="391"/>
        <v/>
      </c>
      <c r="W236" s="1573" t="str">
        <f t="shared" si="391"/>
        <v/>
      </c>
      <c r="X236" s="1573" t="str">
        <f t="shared" si="391"/>
        <v/>
      </c>
      <c r="Y236" s="1573" t="str">
        <f t="shared" si="391"/>
        <v/>
      </c>
      <c r="Z236" s="1573" t="str">
        <f t="shared" si="391"/>
        <v/>
      </c>
      <c r="AA236" s="1573" t="str">
        <f t="shared" si="391"/>
        <v/>
      </c>
      <c r="AB236" s="1573" t="str">
        <f t="shared" si="391"/>
        <v/>
      </c>
      <c r="AC236" s="1573" t="str">
        <f t="shared" si="391"/>
        <v/>
      </c>
      <c r="AD236" s="1573" t="str">
        <f t="shared" si="391"/>
        <v/>
      </c>
      <c r="AE236" s="1573" t="str">
        <f t="shared" si="391"/>
        <v/>
      </c>
      <c r="AF236" s="1573" t="str">
        <f t="shared" si="391"/>
        <v/>
      </c>
      <c r="AG236" s="1573" t="str">
        <f t="shared" si="391"/>
        <v/>
      </c>
      <c r="AH236" s="1573" t="str">
        <f t="shared" si="391"/>
        <v/>
      </c>
      <c r="AI236" s="1573" t="str">
        <f t="shared" si="391"/>
        <v/>
      </c>
      <c r="AJ236" s="1573" t="str">
        <f t="shared" si="391"/>
        <v/>
      </c>
      <c r="AK236" s="1569"/>
      <c r="AL236" s="1573" t="str">
        <f t="shared" ref="AL236:BB236" si="392">IF(AL233="","",AL232*AL233*AL234*AL235)</f>
        <v/>
      </c>
      <c r="AM236" s="1573" t="str">
        <f t="shared" si="392"/>
        <v/>
      </c>
      <c r="AN236" s="1573">
        <f t="shared" si="392"/>
        <v>1800</v>
      </c>
      <c r="AO236" s="1573" t="str">
        <f t="shared" si="392"/>
        <v/>
      </c>
      <c r="AP236" s="1573" t="str">
        <f t="shared" si="392"/>
        <v/>
      </c>
      <c r="AQ236" s="1573" t="str">
        <f t="shared" si="392"/>
        <v/>
      </c>
      <c r="AR236" s="1573" t="str">
        <f t="shared" si="392"/>
        <v/>
      </c>
      <c r="AS236" s="1573" t="str">
        <f t="shared" si="392"/>
        <v/>
      </c>
      <c r="AT236" s="1573" t="str">
        <f t="shared" si="392"/>
        <v/>
      </c>
      <c r="AU236" s="1573" t="str">
        <f t="shared" si="392"/>
        <v/>
      </c>
      <c r="AV236" s="1573" t="str">
        <f t="shared" si="392"/>
        <v/>
      </c>
      <c r="AW236" s="1573" t="str">
        <f t="shared" si="392"/>
        <v/>
      </c>
      <c r="AX236" s="1573" t="str">
        <f t="shared" si="392"/>
        <v/>
      </c>
      <c r="AY236" s="1573" t="str">
        <f t="shared" si="392"/>
        <v/>
      </c>
      <c r="AZ236" s="1573" t="str">
        <f t="shared" si="392"/>
        <v/>
      </c>
      <c r="BA236" s="1573" t="str">
        <f t="shared" si="392"/>
        <v/>
      </c>
      <c r="BB236" s="1573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474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1"/>
      <c r="U237" s="1571"/>
      <c r="V237" s="1571"/>
      <c r="W237" s="1571"/>
      <c r="X237" s="1571"/>
      <c r="Y237" s="1571"/>
      <c r="Z237" s="1571"/>
      <c r="AA237" s="1571"/>
      <c r="AB237" s="1571"/>
      <c r="AC237" s="1571"/>
      <c r="AD237" s="1571"/>
      <c r="AE237" s="1571"/>
      <c r="AF237" s="1571"/>
      <c r="AG237" s="1571"/>
      <c r="AH237" s="1571"/>
      <c r="AI237" s="1571"/>
      <c r="AJ237" s="1571"/>
      <c r="AK237" s="1569"/>
      <c r="AL237" s="1571"/>
      <c r="AM237" s="1571"/>
      <c r="AN237" s="1571"/>
      <c r="AO237" s="1571"/>
      <c r="AP237" s="1571"/>
      <c r="AQ237" s="1571"/>
      <c r="AR237" s="1571"/>
      <c r="AS237" s="1571"/>
      <c r="AT237" s="1571"/>
      <c r="AU237" s="1571"/>
      <c r="AV237" s="1571"/>
      <c r="AW237" s="1571"/>
      <c r="AX237" s="1571"/>
      <c r="AY237" s="1571"/>
      <c r="AZ237" s="1571"/>
      <c r="BA237" s="1571"/>
      <c r="BB237" s="1571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297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1"/>
      <c r="U238" s="1571"/>
      <c r="V238" s="1571"/>
      <c r="W238" s="1571"/>
      <c r="X238" s="1571"/>
      <c r="Y238" s="1571"/>
      <c r="Z238" s="1571"/>
      <c r="AA238" s="1571"/>
      <c r="AB238" s="1571"/>
      <c r="AC238" s="1571"/>
      <c r="AD238" s="1571"/>
      <c r="AE238" s="1571"/>
      <c r="AF238" s="1571"/>
      <c r="AG238" s="1571"/>
      <c r="AH238" s="1571"/>
      <c r="AI238" s="1571"/>
      <c r="AJ238" s="1571"/>
      <c r="AK238" s="1569"/>
      <c r="AL238" s="1571"/>
      <c r="AM238" s="1571"/>
      <c r="AN238" s="1571"/>
      <c r="AO238" s="1571"/>
      <c r="AP238" s="1571"/>
      <c r="AQ238" s="1571"/>
      <c r="AR238" s="1571"/>
      <c r="AS238" s="1571"/>
      <c r="AT238" s="1571"/>
      <c r="AU238" s="1571"/>
      <c r="AV238" s="1571"/>
      <c r="AW238" s="1571"/>
      <c r="AX238" s="1571"/>
      <c r="AY238" s="1571"/>
      <c r="AZ238" s="1571"/>
      <c r="BA238" s="1571"/>
      <c r="BB238" s="1571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298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2"/>
      <c r="U239" s="1572"/>
      <c r="V239" s="1572"/>
      <c r="W239" s="1572"/>
      <c r="X239" s="1572"/>
      <c r="Y239" s="1572"/>
      <c r="Z239" s="1572"/>
      <c r="AA239" s="1572"/>
      <c r="AB239" s="1572"/>
      <c r="AC239" s="1572"/>
      <c r="AD239" s="1572"/>
      <c r="AE239" s="1572"/>
      <c r="AF239" s="1572"/>
      <c r="AG239" s="1572"/>
      <c r="AH239" s="1572"/>
      <c r="AI239" s="1572"/>
      <c r="AJ239" s="1572"/>
      <c r="AK239" s="1569"/>
      <c r="AL239" s="1572"/>
      <c r="AM239" s="1572"/>
      <c r="AN239" s="1572"/>
      <c r="AO239" s="1572"/>
      <c r="AP239" s="1572"/>
      <c r="AQ239" s="1572"/>
      <c r="AR239" s="1572"/>
      <c r="AS239" s="1572"/>
      <c r="AT239" s="1572"/>
      <c r="AU239" s="1572"/>
      <c r="AV239" s="1572"/>
      <c r="AW239" s="1572"/>
      <c r="AX239" s="1572"/>
      <c r="AY239" s="1572"/>
      <c r="AZ239" s="1572"/>
      <c r="BA239" s="1572"/>
      <c r="BB239" s="1572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283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2"/>
      <c r="U240" s="1572"/>
      <c r="V240" s="1572"/>
      <c r="W240" s="1572"/>
      <c r="X240" s="1572"/>
      <c r="Y240" s="1572"/>
      <c r="Z240" s="1572"/>
      <c r="AA240" s="1572"/>
      <c r="AB240" s="1572"/>
      <c r="AC240" s="1572"/>
      <c r="AD240" s="1572"/>
      <c r="AE240" s="1572"/>
      <c r="AF240" s="1572"/>
      <c r="AG240" s="1572"/>
      <c r="AH240" s="1572"/>
      <c r="AI240" s="1572"/>
      <c r="AJ240" s="1572"/>
      <c r="AK240" s="1569"/>
      <c r="AL240" s="1572"/>
      <c r="AM240" s="1572"/>
      <c r="AN240" s="1572"/>
      <c r="AO240" s="1572"/>
      <c r="AP240" s="1572"/>
      <c r="AQ240" s="1572"/>
      <c r="AR240" s="1572"/>
      <c r="AS240" s="1572"/>
      <c r="AT240" s="1572"/>
      <c r="AU240" s="1572"/>
      <c r="AV240" s="1572"/>
      <c r="AW240" s="1572"/>
      <c r="AX240" s="1572"/>
      <c r="AY240" s="1572"/>
      <c r="AZ240" s="1572"/>
      <c r="BA240" s="1572"/>
      <c r="BB240" s="1572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314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2"/>
      <c r="U241" s="1572"/>
      <c r="V241" s="1572"/>
      <c r="W241" s="1572"/>
      <c r="X241" s="1572"/>
      <c r="Y241" s="1572"/>
      <c r="Z241" s="1572"/>
      <c r="AA241" s="1572"/>
      <c r="AB241" s="1572"/>
      <c r="AC241" s="1572"/>
      <c r="AD241" s="1572"/>
      <c r="AE241" s="1572"/>
      <c r="AF241" s="1572"/>
      <c r="AG241" s="1572"/>
      <c r="AH241" s="1572"/>
      <c r="AI241" s="1572"/>
      <c r="AJ241" s="1572"/>
      <c r="AK241" s="1569"/>
      <c r="AL241" s="1572"/>
      <c r="AM241" s="1572"/>
      <c r="AN241" s="1572"/>
      <c r="AO241" s="1572"/>
      <c r="AP241" s="1572"/>
      <c r="AQ241" s="1572"/>
      <c r="AR241" s="1572"/>
      <c r="AS241" s="1572"/>
      <c r="AT241" s="1572"/>
      <c r="AU241" s="1572"/>
      <c r="AV241" s="1572"/>
      <c r="AW241" s="1572"/>
      <c r="AX241" s="1572"/>
      <c r="AY241" s="1572"/>
      <c r="AZ241" s="1572"/>
      <c r="BA241" s="1572"/>
      <c r="BB241" s="1572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315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3" t="str">
        <f t="shared" ref="T242:AJ242" si="399">IF(T239="","",T238*T239*T240*T241)</f>
        <v/>
      </c>
      <c r="U242" s="1573" t="str">
        <f t="shared" si="399"/>
        <v/>
      </c>
      <c r="V242" s="1573" t="str">
        <f t="shared" si="399"/>
        <v/>
      </c>
      <c r="W242" s="1573" t="str">
        <f t="shared" si="399"/>
        <v/>
      </c>
      <c r="X242" s="1573" t="str">
        <f t="shared" si="399"/>
        <v/>
      </c>
      <c r="Y242" s="1573" t="str">
        <f t="shared" si="399"/>
        <v/>
      </c>
      <c r="Z242" s="1573" t="str">
        <f t="shared" si="399"/>
        <v/>
      </c>
      <c r="AA242" s="1573" t="str">
        <f t="shared" si="399"/>
        <v/>
      </c>
      <c r="AB242" s="1573" t="str">
        <f t="shared" si="399"/>
        <v/>
      </c>
      <c r="AC242" s="1573" t="str">
        <f t="shared" si="399"/>
        <v/>
      </c>
      <c r="AD242" s="1573" t="str">
        <f t="shared" si="399"/>
        <v/>
      </c>
      <c r="AE242" s="1573" t="str">
        <f t="shared" si="399"/>
        <v/>
      </c>
      <c r="AF242" s="1573" t="str">
        <f t="shared" si="399"/>
        <v/>
      </c>
      <c r="AG242" s="1573" t="str">
        <f t="shared" si="399"/>
        <v/>
      </c>
      <c r="AH242" s="1573" t="str">
        <f t="shared" si="399"/>
        <v/>
      </c>
      <c r="AI242" s="1573" t="str">
        <f t="shared" si="399"/>
        <v/>
      </c>
      <c r="AJ242" s="1573" t="str">
        <f t="shared" si="399"/>
        <v/>
      </c>
      <c r="AK242" s="1569"/>
      <c r="AL242" s="1573" t="str">
        <f t="shared" ref="AL242:BB242" si="400">IF(AL239="","",AL238*AL239*AL240*AL241)</f>
        <v/>
      </c>
      <c r="AM242" s="1573" t="str">
        <f t="shared" si="400"/>
        <v/>
      </c>
      <c r="AN242" s="1573" t="str">
        <f t="shared" si="400"/>
        <v/>
      </c>
      <c r="AO242" s="1573" t="str">
        <f t="shared" si="400"/>
        <v/>
      </c>
      <c r="AP242" s="1573" t="str">
        <f t="shared" si="400"/>
        <v/>
      </c>
      <c r="AQ242" s="1573" t="str">
        <f t="shared" si="400"/>
        <v/>
      </c>
      <c r="AR242" s="1573" t="str">
        <f t="shared" si="400"/>
        <v/>
      </c>
      <c r="AS242" s="1573" t="str">
        <f t="shared" si="400"/>
        <v/>
      </c>
      <c r="AT242" s="1573" t="str">
        <f t="shared" si="400"/>
        <v/>
      </c>
      <c r="AU242" s="1573" t="str">
        <f t="shared" si="400"/>
        <v/>
      </c>
      <c r="AV242" s="1573" t="str">
        <f t="shared" si="400"/>
        <v/>
      </c>
      <c r="AW242" s="1573" t="str">
        <f t="shared" si="400"/>
        <v/>
      </c>
      <c r="AX242" s="1573" t="str">
        <f t="shared" si="400"/>
        <v/>
      </c>
      <c r="AY242" s="1573" t="str">
        <f t="shared" si="400"/>
        <v/>
      </c>
      <c r="AZ242" s="1573" t="str">
        <f t="shared" si="400"/>
        <v/>
      </c>
      <c r="BA242" s="1573" t="str">
        <f t="shared" si="400"/>
        <v/>
      </c>
      <c r="BB242" s="1573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936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1"/>
      <c r="U243" s="1571"/>
      <c r="V243" s="1571"/>
      <c r="W243" s="1571"/>
      <c r="X243" s="1571"/>
      <c r="Y243" s="1571"/>
      <c r="Z243" s="1571"/>
      <c r="AA243" s="1571"/>
      <c r="AB243" s="1571"/>
      <c r="AC243" s="1571"/>
      <c r="AD243" s="1571"/>
      <c r="AE243" s="1571"/>
      <c r="AF243" s="1571"/>
      <c r="AG243" s="1571"/>
      <c r="AH243" s="1571"/>
      <c r="AI243" s="1571"/>
      <c r="AJ243" s="1571"/>
      <c r="AK243" s="1569"/>
      <c r="AL243" s="1571"/>
      <c r="AM243" s="1571"/>
      <c r="AN243" s="1571"/>
      <c r="AO243" s="1571"/>
      <c r="AP243" s="1571"/>
      <c r="AQ243" s="1571"/>
      <c r="AR243" s="1571"/>
      <c r="AS243" s="1571"/>
      <c r="AT243" s="1571"/>
      <c r="AU243" s="1571"/>
      <c r="AV243" s="1571"/>
      <c r="AW243" s="1571"/>
      <c r="AX243" s="1571"/>
      <c r="AY243" s="1571"/>
      <c r="AZ243" s="1571"/>
      <c r="BA243" s="1571"/>
      <c r="BB243" s="1571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297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1"/>
      <c r="U244" s="1571"/>
      <c r="V244" s="1571"/>
      <c r="W244" s="1571"/>
      <c r="X244" s="1571"/>
      <c r="Y244" s="1571"/>
      <c r="Z244" s="1571"/>
      <c r="AA244" s="1571"/>
      <c r="AB244" s="1571"/>
      <c r="AC244" s="1571"/>
      <c r="AD244" s="1571"/>
      <c r="AE244" s="1571"/>
      <c r="AF244" s="1571"/>
      <c r="AG244" s="1571"/>
      <c r="AH244" s="1571"/>
      <c r="AI244" s="1571"/>
      <c r="AJ244" s="1571"/>
      <c r="AK244" s="1569"/>
      <c r="AL244" s="1571"/>
      <c r="AM244" s="1571">
        <v>1</v>
      </c>
      <c r="AN244" s="1571"/>
      <c r="AO244" s="1571">
        <v>1</v>
      </c>
      <c r="AP244" s="1571"/>
      <c r="AQ244" s="1571"/>
      <c r="AR244" s="1571"/>
      <c r="AS244" s="1571"/>
      <c r="AT244" s="1571"/>
      <c r="AU244" s="1571">
        <v>1</v>
      </c>
      <c r="AV244" s="1571"/>
      <c r="AW244" s="1571"/>
      <c r="AX244" s="1571"/>
      <c r="AY244" s="1571"/>
      <c r="AZ244" s="1571"/>
      <c r="BA244" s="1571"/>
      <c r="BB244" s="1571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298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2"/>
      <c r="U245" s="1572"/>
      <c r="V245" s="1572"/>
      <c r="W245" s="1572"/>
      <c r="X245" s="1572"/>
      <c r="Y245" s="1572"/>
      <c r="Z245" s="1572"/>
      <c r="AA245" s="1572"/>
      <c r="AB245" s="1572"/>
      <c r="AC245" s="1572"/>
      <c r="AD245" s="1572"/>
      <c r="AE245" s="1572"/>
      <c r="AF245" s="1572"/>
      <c r="AG245" s="1572"/>
      <c r="AH245" s="1572"/>
      <c r="AI245" s="1572"/>
      <c r="AJ245" s="1572"/>
      <c r="AK245" s="1569"/>
      <c r="AL245" s="1572"/>
      <c r="AM245" s="1572">
        <v>1</v>
      </c>
      <c r="AN245" s="1572"/>
      <c r="AO245" s="1572">
        <v>1</v>
      </c>
      <c r="AP245" s="1572"/>
      <c r="AQ245" s="1572"/>
      <c r="AR245" s="1572"/>
      <c r="AS245" s="1572"/>
      <c r="AT245" s="1572"/>
      <c r="AU245" s="1572">
        <v>2</v>
      </c>
      <c r="AV245" s="1572"/>
      <c r="AW245" s="1572"/>
      <c r="AX245" s="1572"/>
      <c r="AY245" s="1572"/>
      <c r="AZ245" s="1572"/>
      <c r="BA245" s="1572"/>
      <c r="BB245" s="1572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283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2"/>
      <c r="U246" s="1572"/>
      <c r="V246" s="1572"/>
      <c r="W246" s="1572"/>
      <c r="X246" s="1572"/>
      <c r="Y246" s="1572"/>
      <c r="Z246" s="1572"/>
      <c r="AA246" s="1572"/>
      <c r="AB246" s="1572"/>
      <c r="AC246" s="1572"/>
      <c r="AD246" s="1572"/>
      <c r="AE246" s="1572"/>
      <c r="AF246" s="1572"/>
      <c r="AG246" s="1572"/>
      <c r="AH246" s="1572"/>
      <c r="AI246" s="1572"/>
      <c r="AJ246" s="1572"/>
      <c r="AK246" s="1569"/>
      <c r="AL246" s="1572"/>
      <c r="AM246" s="1572">
        <v>12</v>
      </c>
      <c r="AN246" s="1572"/>
      <c r="AO246" s="1572">
        <v>1</v>
      </c>
      <c r="AP246" s="1572"/>
      <c r="AQ246" s="1572"/>
      <c r="AR246" s="1572"/>
      <c r="AS246" s="1572"/>
      <c r="AT246" s="1572"/>
      <c r="AU246" s="1572">
        <v>12</v>
      </c>
      <c r="AV246" s="1572"/>
      <c r="AW246" s="1572"/>
      <c r="AX246" s="1572"/>
      <c r="AY246" s="1572"/>
      <c r="AZ246" s="1572"/>
      <c r="BA246" s="1572"/>
      <c r="BB246" s="1572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314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2"/>
      <c r="U247" s="1572"/>
      <c r="V247" s="1572"/>
      <c r="W247" s="1572"/>
      <c r="X247" s="1572"/>
      <c r="Y247" s="1572"/>
      <c r="Z247" s="1572"/>
      <c r="AA247" s="1572"/>
      <c r="AB247" s="1572"/>
      <c r="AC247" s="1572"/>
      <c r="AD247" s="1572"/>
      <c r="AE247" s="1572"/>
      <c r="AF247" s="1572"/>
      <c r="AG247" s="1572"/>
      <c r="AH247" s="1572"/>
      <c r="AI247" s="1572"/>
      <c r="AJ247" s="1572"/>
      <c r="AK247" s="1569"/>
      <c r="AL247" s="1572"/>
      <c r="AM247" s="1572">
        <v>180</v>
      </c>
      <c r="AN247" s="1572"/>
      <c r="AO247" s="1572">
        <v>500</v>
      </c>
      <c r="AP247" s="1572"/>
      <c r="AQ247" s="1572"/>
      <c r="AR247" s="1572"/>
      <c r="AS247" s="1572"/>
      <c r="AT247" s="1572"/>
      <c r="AU247" s="1572">
        <v>80</v>
      </c>
      <c r="AV247" s="1572"/>
      <c r="AW247" s="1572"/>
      <c r="AX247" s="1572"/>
      <c r="AY247" s="1572"/>
      <c r="AZ247" s="1572"/>
      <c r="BA247" s="1572"/>
      <c r="BB247" s="1572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315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3" t="str">
        <f t="shared" ref="T248:AJ248" si="430">IF(T245="","",T244*T245*T246*T247)</f>
        <v/>
      </c>
      <c r="U248" s="1573" t="str">
        <f t="shared" si="430"/>
        <v/>
      </c>
      <c r="V248" s="1573" t="str">
        <f t="shared" si="430"/>
        <v/>
      </c>
      <c r="W248" s="1573" t="str">
        <f t="shared" si="430"/>
        <v/>
      </c>
      <c r="X248" s="1573" t="str">
        <f t="shared" si="430"/>
        <v/>
      </c>
      <c r="Y248" s="1573" t="str">
        <f t="shared" si="430"/>
        <v/>
      </c>
      <c r="Z248" s="1573" t="str">
        <f t="shared" si="430"/>
        <v/>
      </c>
      <c r="AA248" s="1573" t="str">
        <f t="shared" si="430"/>
        <v/>
      </c>
      <c r="AB248" s="1573" t="str">
        <f t="shared" si="430"/>
        <v/>
      </c>
      <c r="AC248" s="1573" t="str">
        <f t="shared" si="430"/>
        <v/>
      </c>
      <c r="AD248" s="1573" t="str">
        <f t="shared" si="430"/>
        <v/>
      </c>
      <c r="AE248" s="1573" t="str">
        <f t="shared" si="430"/>
        <v/>
      </c>
      <c r="AF248" s="1573" t="str">
        <f t="shared" si="430"/>
        <v/>
      </c>
      <c r="AG248" s="1573" t="str">
        <f t="shared" si="430"/>
        <v/>
      </c>
      <c r="AH248" s="1573" t="str">
        <f t="shared" si="430"/>
        <v/>
      </c>
      <c r="AI248" s="1573" t="str">
        <f t="shared" si="430"/>
        <v/>
      </c>
      <c r="AJ248" s="1573" t="str">
        <f t="shared" si="430"/>
        <v/>
      </c>
      <c r="AK248" s="1569"/>
      <c r="AL248" s="1573" t="str">
        <f t="shared" ref="AL248:BB248" si="431">IF(AL245="","",AL244*AL245*AL246*AL247)</f>
        <v/>
      </c>
      <c r="AM248" s="1573">
        <f t="shared" si="431"/>
        <v>2160</v>
      </c>
      <c r="AN248" s="1573" t="str">
        <f t="shared" si="431"/>
        <v/>
      </c>
      <c r="AO248" s="1573">
        <f t="shared" si="431"/>
        <v>500</v>
      </c>
      <c r="AP248" s="1573" t="str">
        <f t="shared" si="431"/>
        <v/>
      </c>
      <c r="AQ248" s="1573" t="str">
        <f t="shared" si="431"/>
        <v/>
      </c>
      <c r="AR248" s="1573" t="str">
        <f t="shared" si="431"/>
        <v/>
      </c>
      <c r="AS248" s="1573" t="str">
        <f t="shared" si="431"/>
        <v/>
      </c>
      <c r="AT248" s="1573" t="str">
        <f t="shared" si="431"/>
        <v/>
      </c>
      <c r="AU248" s="1573">
        <f t="shared" si="431"/>
        <v>1920</v>
      </c>
      <c r="AV248" s="1573" t="str">
        <f t="shared" si="431"/>
        <v/>
      </c>
      <c r="AW248" s="1573" t="str">
        <f t="shared" si="431"/>
        <v/>
      </c>
      <c r="AX248" s="1573" t="str">
        <f t="shared" si="431"/>
        <v/>
      </c>
      <c r="AY248" s="1573" t="str">
        <f t="shared" si="431"/>
        <v/>
      </c>
      <c r="AZ248" s="1573" t="str">
        <f t="shared" si="431"/>
        <v/>
      </c>
      <c r="BA248" s="1573" t="str">
        <f t="shared" si="431"/>
        <v/>
      </c>
      <c r="BB248" s="1573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475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74">
        <f t="shared" ref="T249:AJ249" si="434">SUM(T218,T224,T230,T236,T242,T248)</f>
        <v>0</v>
      </c>
      <c r="U249" s="1574">
        <f t="shared" si="434"/>
        <v>0</v>
      </c>
      <c r="V249" s="1574">
        <f t="shared" si="434"/>
        <v>0</v>
      </c>
      <c r="W249" s="1574">
        <f t="shared" si="434"/>
        <v>0</v>
      </c>
      <c r="X249" s="1574">
        <f t="shared" si="434"/>
        <v>0</v>
      </c>
      <c r="Y249" s="1574">
        <f t="shared" si="434"/>
        <v>4680</v>
      </c>
      <c r="Z249" s="1574">
        <f t="shared" si="434"/>
        <v>0</v>
      </c>
      <c r="AA249" s="1574">
        <f t="shared" si="434"/>
        <v>0</v>
      </c>
      <c r="AB249" s="1574">
        <f t="shared" si="434"/>
        <v>0</v>
      </c>
      <c r="AC249" s="1574">
        <f t="shared" si="434"/>
        <v>0</v>
      </c>
      <c r="AD249" s="1574">
        <f t="shared" si="434"/>
        <v>0</v>
      </c>
      <c r="AE249" s="1574">
        <f t="shared" si="434"/>
        <v>0</v>
      </c>
      <c r="AF249" s="1574">
        <f t="shared" si="434"/>
        <v>0</v>
      </c>
      <c r="AG249" s="1574">
        <f t="shared" si="434"/>
        <v>0</v>
      </c>
      <c r="AH249" s="1574">
        <f t="shared" si="434"/>
        <v>0</v>
      </c>
      <c r="AI249" s="1574">
        <f t="shared" si="434"/>
        <v>0</v>
      </c>
      <c r="AJ249" s="1574">
        <f t="shared" si="434"/>
        <v>0</v>
      </c>
      <c r="AK249" s="1575"/>
      <c r="AL249" s="1574">
        <f t="shared" ref="AL249:BB249" si="435">SUM(AL218,AL224,AL230,AL236,AL242,AL248)</f>
        <v>0</v>
      </c>
      <c r="AM249" s="1574">
        <f t="shared" si="435"/>
        <v>2160</v>
      </c>
      <c r="AN249" s="1574">
        <f t="shared" si="435"/>
        <v>1800</v>
      </c>
      <c r="AO249" s="1574">
        <f t="shared" si="435"/>
        <v>500</v>
      </c>
      <c r="AP249" s="1574">
        <f t="shared" si="435"/>
        <v>0</v>
      </c>
      <c r="AQ249" s="1574">
        <f t="shared" si="435"/>
        <v>0</v>
      </c>
      <c r="AR249" s="1574">
        <f t="shared" si="435"/>
        <v>0</v>
      </c>
      <c r="AS249" s="1574">
        <f t="shared" si="435"/>
        <v>0</v>
      </c>
      <c r="AT249" s="1574">
        <f t="shared" si="435"/>
        <v>0</v>
      </c>
      <c r="AU249" s="1574">
        <f t="shared" si="435"/>
        <v>1920</v>
      </c>
      <c r="AV249" s="1574">
        <f t="shared" si="435"/>
        <v>0</v>
      </c>
      <c r="AW249" s="1574">
        <f t="shared" si="435"/>
        <v>0</v>
      </c>
      <c r="AX249" s="1574">
        <f t="shared" si="435"/>
        <v>0</v>
      </c>
      <c r="AY249" s="1574">
        <f t="shared" si="435"/>
        <v>0</v>
      </c>
      <c r="AZ249" s="1574">
        <f t="shared" si="435"/>
        <v>0</v>
      </c>
      <c r="BA249" s="1574">
        <f t="shared" si="435"/>
        <v>0</v>
      </c>
      <c r="BB249" s="1574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68"/>
      <c r="U250" s="1568"/>
      <c r="V250" s="1568"/>
      <c r="W250" s="1568"/>
      <c r="X250" s="1568"/>
      <c r="Y250" s="1568"/>
      <c r="Z250" s="1568"/>
      <c r="AA250" s="1568"/>
      <c r="AB250" s="1568"/>
      <c r="AC250" s="1568"/>
      <c r="AD250" s="1568"/>
      <c r="AE250" s="1568"/>
      <c r="AF250" s="1568"/>
      <c r="AG250" s="1568"/>
      <c r="AH250" s="1568"/>
      <c r="AI250" s="1568"/>
      <c r="AJ250" s="1568"/>
      <c r="AK250" s="1569"/>
      <c r="AL250" s="1568"/>
      <c r="AM250" s="1568"/>
      <c r="AN250" s="1568"/>
      <c r="AO250" s="1568"/>
      <c r="AP250" s="1568"/>
      <c r="AQ250" s="1568"/>
      <c r="AR250" s="1568"/>
      <c r="AS250" s="1568"/>
      <c r="AT250" s="1568"/>
      <c r="AU250" s="1568"/>
      <c r="AV250" s="1568"/>
      <c r="AW250" s="1568"/>
      <c r="AX250" s="1568"/>
      <c r="AY250" s="1568"/>
      <c r="AZ250" s="1568"/>
      <c r="BA250" s="1568"/>
      <c r="BB250" s="1568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476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0"/>
      <c r="U251" s="1570"/>
      <c r="V251" s="1570"/>
      <c r="W251" s="1570"/>
      <c r="X251" s="1570"/>
      <c r="Y251" s="1570"/>
      <c r="Z251" s="1570"/>
      <c r="AA251" s="1570"/>
      <c r="AB251" s="1570"/>
      <c r="AC251" s="1570"/>
      <c r="AD251" s="1570"/>
      <c r="AE251" s="1570"/>
      <c r="AF251" s="1570"/>
      <c r="AG251" s="1570"/>
      <c r="AH251" s="1570"/>
      <c r="AI251" s="1570"/>
      <c r="AJ251" s="1570"/>
      <c r="AK251" s="1569"/>
      <c r="AL251" s="1570"/>
      <c r="AM251" s="1570"/>
      <c r="AN251" s="1570"/>
      <c r="AO251" s="1570"/>
      <c r="AP251" s="1570"/>
      <c r="AQ251" s="1570"/>
      <c r="AR251" s="1570"/>
      <c r="AS251" s="1570"/>
      <c r="AT251" s="1570"/>
      <c r="AU251" s="1570"/>
      <c r="AV251" s="1570"/>
      <c r="AW251" s="1570"/>
      <c r="AX251" s="1570"/>
      <c r="AY251" s="1570"/>
      <c r="AZ251" s="1570"/>
      <c r="BA251" s="1570"/>
      <c r="BB251" s="15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685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1"/>
      <c r="U252" s="1571"/>
      <c r="V252" s="1571"/>
      <c r="W252" s="1571"/>
      <c r="X252" s="1571"/>
      <c r="Y252" s="1571"/>
      <c r="Z252" s="1571"/>
      <c r="AA252" s="1571"/>
      <c r="AB252" s="1571"/>
      <c r="AC252" s="1571"/>
      <c r="AD252" s="1571"/>
      <c r="AE252" s="1571"/>
      <c r="AF252" s="1571"/>
      <c r="AG252" s="1571"/>
      <c r="AH252" s="1571"/>
      <c r="AI252" s="1571"/>
      <c r="AJ252" s="1571"/>
      <c r="AK252" s="1569"/>
      <c r="AL252" s="1571"/>
      <c r="AM252" s="1571"/>
      <c r="AN252" s="1571"/>
      <c r="AO252" s="1571"/>
      <c r="AP252" s="1571"/>
      <c r="AQ252" s="1571"/>
      <c r="AR252" s="1571"/>
      <c r="AS252" s="1571"/>
      <c r="AT252" s="1571"/>
      <c r="AU252" s="1571"/>
      <c r="AV252" s="1571"/>
      <c r="AW252" s="1571"/>
      <c r="AX252" s="1571"/>
      <c r="AY252" s="1571"/>
      <c r="AZ252" s="1571"/>
      <c r="BA252" s="1571"/>
      <c r="BB252" s="1571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297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1">
        <v>0</v>
      </c>
      <c r="U253" s="1571"/>
      <c r="V253" s="1571"/>
      <c r="W253" s="1571">
        <v>1</v>
      </c>
      <c r="X253" s="1571">
        <v>0</v>
      </c>
      <c r="Y253" s="1571">
        <v>1</v>
      </c>
      <c r="Z253" s="1571">
        <v>1</v>
      </c>
      <c r="AA253" s="1571">
        <v>1</v>
      </c>
      <c r="AB253" s="1571">
        <v>1</v>
      </c>
      <c r="AC253" s="1571">
        <v>1</v>
      </c>
      <c r="AD253" s="1571"/>
      <c r="AE253" s="1571"/>
      <c r="AF253" s="1571"/>
      <c r="AG253" s="1572"/>
      <c r="AH253" s="1572"/>
      <c r="AI253" s="1572"/>
      <c r="AJ253" s="1571"/>
      <c r="AK253" s="1569"/>
      <c r="AL253" s="1571">
        <v>1</v>
      </c>
      <c r="AM253" s="1571">
        <v>0</v>
      </c>
      <c r="AN253" s="1571"/>
      <c r="AO253" s="1571">
        <v>1</v>
      </c>
      <c r="AP253" s="1571">
        <v>1</v>
      </c>
      <c r="AQ253" s="1571">
        <v>1</v>
      </c>
      <c r="AR253" s="1571">
        <v>1</v>
      </c>
      <c r="AS253" s="1571">
        <v>1</v>
      </c>
      <c r="AT253" s="1571">
        <v>1</v>
      </c>
      <c r="AU253" s="1571">
        <v>1</v>
      </c>
      <c r="AV253" s="1571"/>
      <c r="AW253" s="1571"/>
      <c r="AX253" s="1571"/>
      <c r="AY253" s="1572"/>
      <c r="AZ253" s="1572"/>
      <c r="BA253" s="1572"/>
      <c r="BB253" s="1572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298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2">
        <v>1</v>
      </c>
      <c r="U254" s="1572">
        <v>1</v>
      </c>
      <c r="V254" s="1572">
        <v>1</v>
      </c>
      <c r="W254" s="1572">
        <v>1</v>
      </c>
      <c r="X254" s="1572">
        <v>1</v>
      </c>
      <c r="Y254" s="1572">
        <v>1</v>
      </c>
      <c r="Z254" s="1572">
        <v>1</v>
      </c>
      <c r="AA254" s="1572">
        <v>1</v>
      </c>
      <c r="AB254" s="1572">
        <v>1</v>
      </c>
      <c r="AC254" s="1572">
        <v>1</v>
      </c>
      <c r="AD254" s="1572">
        <v>1</v>
      </c>
      <c r="AE254" s="1572">
        <v>1</v>
      </c>
      <c r="AF254" s="1572">
        <v>1</v>
      </c>
      <c r="AG254" s="1572">
        <v>1</v>
      </c>
      <c r="AH254" s="1572">
        <v>1</v>
      </c>
      <c r="AI254" s="1572">
        <v>1</v>
      </c>
      <c r="AJ254" s="1572">
        <v>1</v>
      </c>
      <c r="AK254" s="1569"/>
      <c r="AL254" s="1572">
        <v>1</v>
      </c>
      <c r="AM254" s="1572">
        <v>1</v>
      </c>
      <c r="AN254" s="1572">
        <v>1</v>
      </c>
      <c r="AO254" s="1572">
        <v>1</v>
      </c>
      <c r="AP254" s="1572">
        <v>1</v>
      </c>
      <c r="AQ254" s="1572">
        <v>1</v>
      </c>
      <c r="AR254" s="1572">
        <v>1</v>
      </c>
      <c r="AS254" s="1572">
        <v>1</v>
      </c>
      <c r="AT254" s="1572">
        <v>1</v>
      </c>
      <c r="AU254" s="1572">
        <v>1</v>
      </c>
      <c r="AV254" s="1572"/>
      <c r="AW254" s="1572"/>
      <c r="AX254" s="1572"/>
      <c r="AY254" s="1572"/>
      <c r="AZ254" s="1572"/>
      <c r="BA254" s="1572"/>
      <c r="BB254" s="1572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1">
        <v>1</v>
      </c>
      <c r="BW254" s="1101">
        <v>1</v>
      </c>
      <c r="BX254" s="1101">
        <v>1</v>
      </c>
      <c r="BY254" s="1101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283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2">
        <v>12</v>
      </c>
      <c r="U255" s="1572">
        <v>12</v>
      </c>
      <c r="V255" s="1572">
        <v>12</v>
      </c>
      <c r="W255" s="1572">
        <v>12</v>
      </c>
      <c r="X255" s="1572">
        <v>12</v>
      </c>
      <c r="Y255" s="1572">
        <v>12</v>
      </c>
      <c r="Z255" s="1572">
        <v>12</v>
      </c>
      <c r="AA255" s="1572">
        <v>12</v>
      </c>
      <c r="AB255" s="1572">
        <v>12</v>
      </c>
      <c r="AC255" s="1572">
        <v>12</v>
      </c>
      <c r="AD255" s="1572">
        <v>12</v>
      </c>
      <c r="AE255" s="1572">
        <v>12</v>
      </c>
      <c r="AF255" s="1572">
        <v>12</v>
      </c>
      <c r="AG255" s="1572">
        <v>12</v>
      </c>
      <c r="AH255" s="1572">
        <v>12</v>
      </c>
      <c r="AI255" s="1572">
        <v>12</v>
      </c>
      <c r="AJ255" s="1572">
        <v>12</v>
      </c>
      <c r="AK255" s="1569"/>
      <c r="AL255" s="1572">
        <v>12</v>
      </c>
      <c r="AM255" s="1572">
        <v>12</v>
      </c>
      <c r="AN255" s="1572">
        <v>12</v>
      </c>
      <c r="AO255" s="1572">
        <v>12</v>
      </c>
      <c r="AP255" s="1572">
        <v>12</v>
      </c>
      <c r="AQ255" s="1572">
        <v>12</v>
      </c>
      <c r="AR255" s="1572">
        <v>12</v>
      </c>
      <c r="AS255" s="1572">
        <v>12</v>
      </c>
      <c r="AT255" s="1572">
        <v>12</v>
      </c>
      <c r="AU255" s="1572">
        <v>12</v>
      </c>
      <c r="AV255" s="1572"/>
      <c r="AW255" s="1572"/>
      <c r="AX255" s="1572"/>
      <c r="AY255" s="1572"/>
      <c r="AZ255" s="1572"/>
      <c r="BA255" s="1572"/>
      <c r="BB255" s="1572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1">
        <v>12</v>
      </c>
      <c r="BW255" s="1101">
        <v>12</v>
      </c>
      <c r="BX255" s="1101">
        <v>12</v>
      </c>
      <c r="BY255" s="1101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314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2">
        <v>1210</v>
      </c>
      <c r="U256" s="1572"/>
      <c r="V256" s="1572">
        <v>1210</v>
      </c>
      <c r="W256" s="1572">
        <v>1210</v>
      </c>
      <c r="X256" s="1572">
        <v>1210</v>
      </c>
      <c r="Y256" s="1572">
        <v>1021</v>
      </c>
      <c r="Z256" s="1572">
        <v>1210</v>
      </c>
      <c r="AA256" s="1572">
        <v>1210</v>
      </c>
      <c r="AB256" s="1572">
        <v>1200</v>
      </c>
      <c r="AC256" s="1572">
        <v>1020</v>
      </c>
      <c r="AD256" s="1572"/>
      <c r="AE256" s="1572"/>
      <c r="AF256" s="1572"/>
      <c r="AG256" s="1572"/>
      <c r="AH256" s="1572"/>
      <c r="AI256" s="1572"/>
      <c r="AJ256" s="1572"/>
      <c r="AK256" s="1569"/>
      <c r="AL256" s="1572">
        <v>1350</v>
      </c>
      <c r="AM256" s="1572">
        <v>1200</v>
      </c>
      <c r="AN256" s="1572"/>
      <c r="AO256" s="1572">
        <v>1400</v>
      </c>
      <c r="AP256" s="1572">
        <v>1000</v>
      </c>
      <c r="AQ256" s="1572">
        <v>1000</v>
      </c>
      <c r="AR256" s="1572">
        <v>1200</v>
      </c>
      <c r="AS256" s="1572">
        <v>1330</v>
      </c>
      <c r="AT256" s="1572">
        <v>1200</v>
      </c>
      <c r="AU256" s="1572">
        <v>1050</v>
      </c>
      <c r="AV256" s="1572"/>
      <c r="AW256" s="1572"/>
      <c r="AX256" s="1572"/>
      <c r="AY256" s="1572"/>
      <c r="AZ256" s="1572"/>
      <c r="BA256" s="1572"/>
      <c r="BB256" s="1572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315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3">
        <f t="shared" ref="T257:AJ257" si="442">IF(T254="","",T253*T254*T255*T256)</f>
        <v>0</v>
      </c>
      <c r="U257" s="1573">
        <f t="shared" si="442"/>
        <v>0</v>
      </c>
      <c r="V257" s="1573">
        <f t="shared" si="442"/>
        <v>0</v>
      </c>
      <c r="W257" s="1573">
        <f t="shared" si="442"/>
        <v>14520</v>
      </c>
      <c r="X257" s="1573">
        <f t="shared" si="442"/>
        <v>0</v>
      </c>
      <c r="Y257" s="1573">
        <f t="shared" si="442"/>
        <v>12252</v>
      </c>
      <c r="Z257" s="1573">
        <f t="shared" si="442"/>
        <v>14520</v>
      </c>
      <c r="AA257" s="1573">
        <f t="shared" si="442"/>
        <v>14520</v>
      </c>
      <c r="AB257" s="1573">
        <f t="shared" si="442"/>
        <v>14400</v>
      </c>
      <c r="AC257" s="1573">
        <f t="shared" si="442"/>
        <v>12240</v>
      </c>
      <c r="AD257" s="1573">
        <f t="shared" si="442"/>
        <v>0</v>
      </c>
      <c r="AE257" s="1573">
        <f t="shared" si="442"/>
        <v>0</v>
      </c>
      <c r="AF257" s="1573">
        <f t="shared" si="442"/>
        <v>0</v>
      </c>
      <c r="AG257" s="1573">
        <f t="shared" si="442"/>
        <v>0</v>
      </c>
      <c r="AH257" s="1573">
        <f t="shared" si="442"/>
        <v>0</v>
      </c>
      <c r="AI257" s="1573">
        <f t="shared" si="442"/>
        <v>0</v>
      </c>
      <c r="AJ257" s="1573">
        <f t="shared" si="442"/>
        <v>0</v>
      </c>
      <c r="AK257" s="1569"/>
      <c r="AL257" s="1573">
        <f t="shared" ref="AL257:BB257" si="443">IF(AL254="","",AL253*AL254*AL255*AL256)</f>
        <v>16200</v>
      </c>
      <c r="AM257" s="1573">
        <f>IF(AM254="","",AM253*AM254*AM255*AM256)</f>
        <v>0</v>
      </c>
      <c r="AN257" s="1573">
        <f t="shared" si="443"/>
        <v>0</v>
      </c>
      <c r="AO257" s="1573">
        <f t="shared" si="443"/>
        <v>16800</v>
      </c>
      <c r="AP257" s="1573">
        <f t="shared" si="443"/>
        <v>12000</v>
      </c>
      <c r="AQ257" s="1573">
        <f t="shared" si="443"/>
        <v>12000</v>
      </c>
      <c r="AR257" s="1573">
        <f t="shared" si="443"/>
        <v>14400</v>
      </c>
      <c r="AS257" s="1573">
        <f t="shared" si="443"/>
        <v>15960</v>
      </c>
      <c r="AT257" s="1573">
        <f t="shared" si="443"/>
        <v>14400</v>
      </c>
      <c r="AU257" s="1573">
        <f t="shared" si="443"/>
        <v>12600</v>
      </c>
      <c r="AV257" s="1573" t="str">
        <f t="shared" si="443"/>
        <v/>
      </c>
      <c r="AW257" s="1573" t="str">
        <f t="shared" si="443"/>
        <v/>
      </c>
      <c r="AX257" s="1573" t="str">
        <f t="shared" si="443"/>
        <v/>
      </c>
      <c r="AY257" s="1573" t="str">
        <f t="shared" si="443"/>
        <v/>
      </c>
      <c r="AZ257" s="1573" t="str">
        <f t="shared" si="443"/>
        <v/>
      </c>
      <c r="BA257" s="1573" t="str">
        <f t="shared" si="443"/>
        <v/>
      </c>
      <c r="BB257" s="1573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686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1"/>
      <c r="U258" s="1571"/>
      <c r="V258" s="1571"/>
      <c r="W258" s="1571"/>
      <c r="X258" s="1571"/>
      <c r="Y258" s="1571"/>
      <c r="Z258" s="1571"/>
      <c r="AA258" s="1571"/>
      <c r="AB258" s="1571"/>
      <c r="AC258" s="1571"/>
      <c r="AD258" s="1571"/>
      <c r="AE258" s="1571"/>
      <c r="AF258" s="1571"/>
      <c r="AG258" s="1571"/>
      <c r="AH258" s="1571"/>
      <c r="AI258" s="1571"/>
      <c r="AJ258" s="1571"/>
      <c r="AK258" s="1569"/>
      <c r="AL258" s="1571"/>
      <c r="AM258" s="1571"/>
      <c r="AN258" s="1571"/>
      <c r="AO258" s="1571"/>
      <c r="AP258" s="1571"/>
      <c r="AQ258" s="1571"/>
      <c r="AR258" s="1571"/>
      <c r="AS258" s="1571"/>
      <c r="AT258" s="1571"/>
      <c r="AU258" s="1571"/>
      <c r="AV258" s="1571"/>
      <c r="AW258" s="1571"/>
      <c r="AX258" s="1571"/>
      <c r="AY258" s="1571"/>
      <c r="AZ258" s="1571"/>
      <c r="BA258" s="1571"/>
      <c r="BB258" s="1571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297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1">
        <v>2</v>
      </c>
      <c r="U259" s="1571">
        <v>2</v>
      </c>
      <c r="V259" s="1571">
        <v>3</v>
      </c>
      <c r="W259" s="1571">
        <v>3</v>
      </c>
      <c r="X259" s="1571">
        <v>3</v>
      </c>
      <c r="Y259" s="1571">
        <v>3</v>
      </c>
      <c r="Z259" s="1571">
        <v>3</v>
      </c>
      <c r="AA259" s="1571">
        <v>3</v>
      </c>
      <c r="AB259" s="1571">
        <v>4</v>
      </c>
      <c r="AC259" s="1571">
        <v>4</v>
      </c>
      <c r="AD259" s="1571"/>
      <c r="AE259" s="1571"/>
      <c r="AF259" s="1572"/>
      <c r="AG259" s="1572"/>
      <c r="AH259" s="1572"/>
      <c r="AI259" s="1572"/>
      <c r="AJ259" s="1572"/>
      <c r="AK259" s="1569"/>
      <c r="AL259" s="1571">
        <v>3</v>
      </c>
      <c r="AM259" s="1571">
        <v>3</v>
      </c>
      <c r="AN259" s="1571">
        <v>3</v>
      </c>
      <c r="AO259" s="1571">
        <v>2</v>
      </c>
      <c r="AP259" s="1571">
        <v>3</v>
      </c>
      <c r="AQ259" s="1571">
        <v>2</v>
      </c>
      <c r="AR259" s="1571">
        <v>2</v>
      </c>
      <c r="AS259" s="1571">
        <v>4</v>
      </c>
      <c r="AT259" s="1571">
        <v>1</v>
      </c>
      <c r="AU259" s="1571">
        <v>5</v>
      </c>
      <c r="AV259" s="1571"/>
      <c r="AW259" s="1571"/>
      <c r="AX259" s="1571"/>
      <c r="AY259" s="1572"/>
      <c r="AZ259" s="1571"/>
      <c r="BA259" s="1572"/>
      <c r="BB259" s="1572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298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2">
        <v>1</v>
      </c>
      <c r="U260" s="1572">
        <v>1</v>
      </c>
      <c r="V260" s="1572">
        <v>1</v>
      </c>
      <c r="W260" s="1572">
        <v>1</v>
      </c>
      <c r="X260" s="1572">
        <v>1</v>
      </c>
      <c r="Y260" s="1572">
        <v>1</v>
      </c>
      <c r="Z260" s="1572">
        <v>1</v>
      </c>
      <c r="AA260" s="1572">
        <v>1</v>
      </c>
      <c r="AB260" s="1572">
        <v>1</v>
      </c>
      <c r="AC260" s="1572">
        <v>1</v>
      </c>
      <c r="AD260" s="1572">
        <v>1</v>
      </c>
      <c r="AE260" s="1572">
        <v>1</v>
      </c>
      <c r="AF260" s="1572">
        <v>1</v>
      </c>
      <c r="AG260" s="1572">
        <v>1</v>
      </c>
      <c r="AH260" s="1572">
        <v>1</v>
      </c>
      <c r="AI260" s="1572">
        <v>1</v>
      </c>
      <c r="AJ260" s="1572">
        <v>1</v>
      </c>
      <c r="AK260" s="1569"/>
      <c r="AL260" s="1572">
        <v>1</v>
      </c>
      <c r="AM260" s="1572">
        <v>1</v>
      </c>
      <c r="AN260" s="1572">
        <v>1</v>
      </c>
      <c r="AO260" s="1572">
        <v>1</v>
      </c>
      <c r="AP260" s="1572">
        <v>1</v>
      </c>
      <c r="AQ260" s="1572">
        <v>1</v>
      </c>
      <c r="AR260" s="1572">
        <v>1</v>
      </c>
      <c r="AS260" s="1572">
        <v>1</v>
      </c>
      <c r="AT260" s="1572">
        <v>1</v>
      </c>
      <c r="AU260" s="1572">
        <v>1</v>
      </c>
      <c r="AV260" s="1572"/>
      <c r="AW260" s="1572"/>
      <c r="AX260" s="1572"/>
      <c r="AY260" s="1572"/>
      <c r="AZ260" s="1572"/>
      <c r="BA260" s="1572"/>
      <c r="BB260" s="1572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1">
        <v>1</v>
      </c>
      <c r="BW260" s="1101">
        <v>1</v>
      </c>
      <c r="BX260" s="1101">
        <v>1</v>
      </c>
      <c r="BY260" s="1101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283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2">
        <v>12</v>
      </c>
      <c r="U261" s="1572">
        <v>12</v>
      </c>
      <c r="V261" s="1572">
        <v>12</v>
      </c>
      <c r="W261" s="1572">
        <v>12</v>
      </c>
      <c r="X261" s="1572">
        <v>12</v>
      </c>
      <c r="Y261" s="1572">
        <v>12</v>
      </c>
      <c r="Z261" s="1572">
        <v>12</v>
      </c>
      <c r="AA261" s="1572">
        <v>12</v>
      </c>
      <c r="AB261" s="1572">
        <v>12</v>
      </c>
      <c r="AC261" s="1572">
        <v>12</v>
      </c>
      <c r="AD261" s="1572">
        <v>12</v>
      </c>
      <c r="AE261" s="1572">
        <v>12</v>
      </c>
      <c r="AF261" s="1572">
        <v>12</v>
      </c>
      <c r="AG261" s="1572">
        <v>12</v>
      </c>
      <c r="AH261" s="1572">
        <v>12</v>
      </c>
      <c r="AI261" s="1572">
        <v>12</v>
      </c>
      <c r="AJ261" s="1572">
        <v>12</v>
      </c>
      <c r="AK261" s="1569"/>
      <c r="AL261" s="1572">
        <v>12</v>
      </c>
      <c r="AM261" s="1572">
        <v>12</v>
      </c>
      <c r="AN261" s="1572">
        <v>12</v>
      </c>
      <c r="AO261" s="1572">
        <v>12</v>
      </c>
      <c r="AP261" s="1572">
        <v>12</v>
      </c>
      <c r="AQ261" s="1572">
        <v>12</v>
      </c>
      <c r="AR261" s="1572">
        <v>12</v>
      </c>
      <c r="AS261" s="1572">
        <v>12</v>
      </c>
      <c r="AT261" s="1572">
        <v>12</v>
      </c>
      <c r="AU261" s="1572">
        <v>12</v>
      </c>
      <c r="AV261" s="1572"/>
      <c r="AW261" s="1572"/>
      <c r="AX261" s="1572"/>
      <c r="AY261" s="1572"/>
      <c r="AZ261" s="1572"/>
      <c r="BA261" s="1572"/>
      <c r="BB261" s="1572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1">
        <v>12</v>
      </c>
      <c r="BW261" s="1101">
        <v>12</v>
      </c>
      <c r="BX261" s="1101">
        <v>12</v>
      </c>
      <c r="BY261" s="1101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314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2">
        <v>320</v>
      </c>
      <c r="U262" s="1572">
        <v>320</v>
      </c>
      <c r="V262" s="1572">
        <v>320</v>
      </c>
      <c r="W262" s="1572">
        <v>320</v>
      </c>
      <c r="X262" s="1572">
        <v>320</v>
      </c>
      <c r="Y262" s="1572">
        <v>290</v>
      </c>
      <c r="Z262" s="1572">
        <v>320</v>
      </c>
      <c r="AA262" s="1572">
        <v>320</v>
      </c>
      <c r="AB262" s="1572">
        <v>320</v>
      </c>
      <c r="AC262" s="1572">
        <v>310</v>
      </c>
      <c r="AD262" s="1572"/>
      <c r="AE262" s="1572"/>
      <c r="AF262" s="1572"/>
      <c r="AG262" s="1572"/>
      <c r="AH262" s="1572"/>
      <c r="AI262" s="1572"/>
      <c r="AJ262" s="1572"/>
      <c r="AK262" s="1569"/>
      <c r="AL262" s="1572">
        <v>290</v>
      </c>
      <c r="AM262" s="1572">
        <v>330</v>
      </c>
      <c r="AN262" s="1572">
        <v>330</v>
      </c>
      <c r="AO262" s="1572">
        <v>330</v>
      </c>
      <c r="AP262" s="1572">
        <v>330</v>
      </c>
      <c r="AQ262" s="1572">
        <v>310</v>
      </c>
      <c r="AR262" s="1572">
        <v>330</v>
      </c>
      <c r="AS262" s="1572">
        <v>220</v>
      </c>
      <c r="AT262" s="1572">
        <v>330</v>
      </c>
      <c r="AU262" s="1572">
        <v>180</v>
      </c>
      <c r="AV262" s="1572"/>
      <c r="AW262" s="1572"/>
      <c r="AX262" s="1572"/>
      <c r="AY262" s="1572"/>
      <c r="AZ262" s="1572"/>
      <c r="BA262" s="1572"/>
      <c r="BB262" s="1572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315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3">
        <f t="shared" ref="T263:AJ263" si="450">IF(T260="","",T259*T260*T261*T262)</f>
        <v>7680</v>
      </c>
      <c r="U263" s="1573">
        <f t="shared" si="450"/>
        <v>7680</v>
      </c>
      <c r="V263" s="1573">
        <f t="shared" si="450"/>
        <v>11520</v>
      </c>
      <c r="W263" s="1573">
        <f t="shared" si="450"/>
        <v>11520</v>
      </c>
      <c r="X263" s="1573">
        <f t="shared" si="450"/>
        <v>11520</v>
      </c>
      <c r="Y263" s="1573">
        <f t="shared" si="450"/>
        <v>10440</v>
      </c>
      <c r="Z263" s="1573">
        <f t="shared" si="450"/>
        <v>11520</v>
      </c>
      <c r="AA263" s="1573">
        <f t="shared" si="450"/>
        <v>11520</v>
      </c>
      <c r="AB263" s="1573">
        <f t="shared" si="450"/>
        <v>15360</v>
      </c>
      <c r="AC263" s="1573">
        <f t="shared" si="450"/>
        <v>14880</v>
      </c>
      <c r="AD263" s="1573">
        <f t="shared" si="450"/>
        <v>0</v>
      </c>
      <c r="AE263" s="1573">
        <f t="shared" si="450"/>
        <v>0</v>
      </c>
      <c r="AF263" s="1573">
        <f t="shared" si="450"/>
        <v>0</v>
      </c>
      <c r="AG263" s="1573">
        <f t="shared" si="450"/>
        <v>0</v>
      </c>
      <c r="AH263" s="1573">
        <f t="shared" si="450"/>
        <v>0</v>
      </c>
      <c r="AI263" s="1573">
        <f t="shared" si="450"/>
        <v>0</v>
      </c>
      <c r="AJ263" s="1573">
        <f t="shared" si="450"/>
        <v>0</v>
      </c>
      <c r="AK263" s="1569"/>
      <c r="AL263" s="1573">
        <f t="shared" ref="AL263:BB263" si="451">IF(AL260="","",AL259*AL260*AL261*AL262)</f>
        <v>10440</v>
      </c>
      <c r="AM263" s="1573">
        <f t="shared" si="451"/>
        <v>11880</v>
      </c>
      <c r="AN263" s="1573">
        <f t="shared" si="451"/>
        <v>11880</v>
      </c>
      <c r="AO263" s="1573">
        <f t="shared" si="451"/>
        <v>7920</v>
      </c>
      <c r="AP263" s="1573">
        <f t="shared" si="451"/>
        <v>11880</v>
      </c>
      <c r="AQ263" s="1573">
        <f t="shared" si="451"/>
        <v>7440</v>
      </c>
      <c r="AR263" s="1573">
        <f t="shared" si="451"/>
        <v>7920</v>
      </c>
      <c r="AS263" s="1573">
        <f t="shared" si="451"/>
        <v>10560</v>
      </c>
      <c r="AT263" s="1573">
        <f t="shared" si="451"/>
        <v>3960</v>
      </c>
      <c r="AU263" s="1573">
        <f t="shared" si="451"/>
        <v>10800</v>
      </c>
      <c r="AV263" s="1573" t="str">
        <f t="shared" si="451"/>
        <v/>
      </c>
      <c r="AW263" s="1573" t="str">
        <f t="shared" si="451"/>
        <v/>
      </c>
      <c r="AX263" s="1573" t="str">
        <f t="shared" si="451"/>
        <v/>
      </c>
      <c r="AY263" s="1573" t="str">
        <f t="shared" si="451"/>
        <v/>
      </c>
      <c r="AZ263" s="1573" t="str">
        <f t="shared" si="451"/>
        <v/>
      </c>
      <c r="BA263" s="1573" t="str">
        <f t="shared" si="451"/>
        <v/>
      </c>
      <c r="BB263" s="1573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477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1"/>
      <c r="U264" s="1571"/>
      <c r="V264" s="1571"/>
      <c r="W264" s="1571"/>
      <c r="X264" s="1571"/>
      <c r="Y264" s="1571"/>
      <c r="Z264" s="1571"/>
      <c r="AA264" s="1571"/>
      <c r="AB264" s="1571"/>
      <c r="AC264" s="1571"/>
      <c r="AD264" s="1571"/>
      <c r="AE264" s="1571"/>
      <c r="AF264" s="1571"/>
      <c r="AG264" s="1571"/>
      <c r="AH264" s="1571"/>
      <c r="AI264" s="1571"/>
      <c r="AJ264" s="1571"/>
      <c r="AK264" s="1569"/>
      <c r="AL264" s="1571"/>
      <c r="AM264" s="1571"/>
      <c r="AN264" s="1571"/>
      <c r="AO264" s="1571"/>
      <c r="AP264" s="1571"/>
      <c r="AQ264" s="1571"/>
      <c r="AR264" s="1571"/>
      <c r="AS264" s="1571"/>
      <c r="AT264" s="1571"/>
      <c r="AU264" s="1571"/>
      <c r="AV264" s="1571"/>
      <c r="AW264" s="1571"/>
      <c r="AX264" s="1571"/>
      <c r="AY264" s="1571"/>
      <c r="AZ264" s="1571"/>
      <c r="BA264" s="1571"/>
      <c r="BB264" s="1571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297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1"/>
      <c r="U265" s="1571"/>
      <c r="V265" s="1571"/>
      <c r="W265" s="1571"/>
      <c r="X265" s="1571"/>
      <c r="Y265" s="1571">
        <v>1</v>
      </c>
      <c r="Z265" s="1571">
        <v>1</v>
      </c>
      <c r="AA265" s="1571"/>
      <c r="AB265" s="1571"/>
      <c r="AC265" s="1571">
        <v>1</v>
      </c>
      <c r="AD265" s="1571"/>
      <c r="AE265" s="1571"/>
      <c r="AF265" s="1571"/>
      <c r="AG265" s="1571"/>
      <c r="AH265" s="1571"/>
      <c r="AI265" s="1571"/>
      <c r="AJ265" s="1571"/>
      <c r="AK265" s="1569"/>
      <c r="AL265" s="1571"/>
      <c r="AM265" s="1571">
        <v>2</v>
      </c>
      <c r="AN265" s="1571"/>
      <c r="AO265" s="1571">
        <v>1</v>
      </c>
      <c r="AP265" s="1571">
        <v>0</v>
      </c>
      <c r="AQ265" s="1571">
        <v>1</v>
      </c>
      <c r="AR265" s="1571"/>
      <c r="AS265" s="1571">
        <v>1</v>
      </c>
      <c r="AT265" s="1571"/>
      <c r="AU265" s="1571"/>
      <c r="AV265" s="1571"/>
      <c r="AW265" s="1571"/>
      <c r="AX265" s="1571"/>
      <c r="AY265" s="1571"/>
      <c r="AZ265" s="1571"/>
      <c r="BA265" s="1571"/>
      <c r="BB265" s="1571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298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2">
        <v>1</v>
      </c>
      <c r="U266" s="1572">
        <v>1</v>
      </c>
      <c r="V266" s="1572">
        <v>1</v>
      </c>
      <c r="W266" s="1572">
        <v>1</v>
      </c>
      <c r="X266" s="1572">
        <v>1</v>
      </c>
      <c r="Y266" s="1572">
        <v>1</v>
      </c>
      <c r="Z266" s="1572">
        <v>1</v>
      </c>
      <c r="AA266" s="1572">
        <v>1</v>
      </c>
      <c r="AB266" s="1572">
        <v>1</v>
      </c>
      <c r="AC266" s="1572">
        <v>1</v>
      </c>
      <c r="AD266" s="1572">
        <v>1</v>
      </c>
      <c r="AE266" s="1572">
        <v>1</v>
      </c>
      <c r="AF266" s="1572">
        <v>1</v>
      </c>
      <c r="AG266" s="1572">
        <v>1</v>
      </c>
      <c r="AH266" s="1572">
        <v>1</v>
      </c>
      <c r="AI266" s="1572">
        <v>1</v>
      </c>
      <c r="AJ266" s="1572">
        <v>1</v>
      </c>
      <c r="AK266" s="1569"/>
      <c r="AL266" s="1572">
        <v>1</v>
      </c>
      <c r="AM266" s="1572">
        <v>1</v>
      </c>
      <c r="AN266" s="1572">
        <v>1</v>
      </c>
      <c r="AO266" s="1572">
        <v>1</v>
      </c>
      <c r="AP266" s="1572">
        <v>1</v>
      </c>
      <c r="AQ266" s="1572">
        <v>1</v>
      </c>
      <c r="AR266" s="1572">
        <v>1</v>
      </c>
      <c r="AS266" s="1572">
        <v>1</v>
      </c>
      <c r="AT266" s="1572">
        <v>1</v>
      </c>
      <c r="AU266" s="1572">
        <v>1</v>
      </c>
      <c r="AV266" s="1572"/>
      <c r="AW266" s="1572"/>
      <c r="AX266" s="1572"/>
      <c r="AY266" s="1572"/>
      <c r="AZ266" s="1572"/>
      <c r="BA266" s="1572"/>
      <c r="BB266" s="1572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1">
        <v>1</v>
      </c>
      <c r="BW266" s="1101">
        <v>1</v>
      </c>
      <c r="BX266" s="1101">
        <v>1</v>
      </c>
      <c r="BY266" s="1101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283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2">
        <v>12</v>
      </c>
      <c r="U267" s="1572">
        <v>12</v>
      </c>
      <c r="V267" s="1572">
        <v>12</v>
      </c>
      <c r="W267" s="1572">
        <v>12</v>
      </c>
      <c r="X267" s="1572">
        <v>12</v>
      </c>
      <c r="Y267" s="1572">
        <v>12</v>
      </c>
      <c r="Z267" s="1572">
        <v>12</v>
      </c>
      <c r="AA267" s="1572">
        <v>12</v>
      </c>
      <c r="AB267" s="1572">
        <v>12</v>
      </c>
      <c r="AC267" s="1572">
        <v>12</v>
      </c>
      <c r="AD267" s="1572">
        <v>12</v>
      </c>
      <c r="AE267" s="1572">
        <v>12</v>
      </c>
      <c r="AF267" s="1572">
        <v>12</v>
      </c>
      <c r="AG267" s="1572">
        <v>12</v>
      </c>
      <c r="AH267" s="1572">
        <v>12</v>
      </c>
      <c r="AI267" s="1572">
        <v>12</v>
      </c>
      <c r="AJ267" s="1572">
        <v>12</v>
      </c>
      <c r="AK267" s="1569"/>
      <c r="AL267" s="1572">
        <v>12</v>
      </c>
      <c r="AM267" s="1572">
        <v>12</v>
      </c>
      <c r="AN267" s="1572">
        <v>12</v>
      </c>
      <c r="AO267" s="1572">
        <v>12</v>
      </c>
      <c r="AP267" s="1572">
        <v>12</v>
      </c>
      <c r="AQ267" s="1572">
        <v>12</v>
      </c>
      <c r="AR267" s="1572">
        <v>12</v>
      </c>
      <c r="AS267" s="1572">
        <v>12</v>
      </c>
      <c r="AT267" s="1572">
        <v>12</v>
      </c>
      <c r="AU267" s="1572">
        <v>12</v>
      </c>
      <c r="AV267" s="1572"/>
      <c r="AW267" s="1572"/>
      <c r="AX267" s="1572"/>
      <c r="AY267" s="1572"/>
      <c r="AZ267" s="1572"/>
      <c r="BA267" s="1572"/>
      <c r="BB267" s="1572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1">
        <v>12</v>
      </c>
      <c r="BW267" s="1101">
        <v>12</v>
      </c>
      <c r="BX267" s="1101">
        <v>12</v>
      </c>
      <c r="BY267" s="1101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314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2"/>
      <c r="U268" s="1572"/>
      <c r="V268" s="1572"/>
      <c r="W268" s="1572">
        <v>830</v>
      </c>
      <c r="X268" s="1572"/>
      <c r="Y268" s="1572">
        <v>830</v>
      </c>
      <c r="Z268" s="1572">
        <v>830</v>
      </c>
      <c r="AA268" s="1572"/>
      <c r="AB268" s="1572"/>
      <c r="AC268" s="1572">
        <v>830</v>
      </c>
      <c r="AD268" s="1572"/>
      <c r="AE268" s="1572"/>
      <c r="AF268" s="1572"/>
      <c r="AG268" s="1572"/>
      <c r="AH268" s="1572"/>
      <c r="AI268" s="1572"/>
      <c r="AJ268" s="1572"/>
      <c r="AK268" s="1569"/>
      <c r="AL268" s="1572"/>
      <c r="AM268" s="1572">
        <v>860</v>
      </c>
      <c r="AN268" s="1572"/>
      <c r="AO268" s="1572">
        <v>860</v>
      </c>
      <c r="AP268" s="1572">
        <v>0</v>
      </c>
      <c r="AQ268" s="1572">
        <v>860</v>
      </c>
      <c r="AR268" s="1572"/>
      <c r="AS268" s="1572">
        <v>860</v>
      </c>
      <c r="AT268" s="1572"/>
      <c r="AU268" s="1572"/>
      <c r="AV268" s="1572"/>
      <c r="AW268" s="1572"/>
      <c r="AX268" s="1572"/>
      <c r="AY268" s="1572"/>
      <c r="AZ268" s="1572"/>
      <c r="BA268" s="1572"/>
      <c r="BB268" s="1572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315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3">
        <f t="shared" ref="T269:AJ269" si="458">IF(T266="","",T265*T266*T267*T268)</f>
        <v>0</v>
      </c>
      <c r="U269" s="1573">
        <f t="shared" si="458"/>
        <v>0</v>
      </c>
      <c r="V269" s="1573">
        <f t="shared" si="458"/>
        <v>0</v>
      </c>
      <c r="W269" s="1573">
        <f t="shared" si="458"/>
        <v>0</v>
      </c>
      <c r="X269" s="1573">
        <f t="shared" si="458"/>
        <v>0</v>
      </c>
      <c r="Y269" s="1573">
        <f t="shared" si="458"/>
        <v>9960</v>
      </c>
      <c r="Z269" s="1573">
        <f t="shared" si="458"/>
        <v>9960</v>
      </c>
      <c r="AA269" s="1573">
        <f t="shared" si="458"/>
        <v>0</v>
      </c>
      <c r="AB269" s="1573">
        <f t="shared" si="458"/>
        <v>0</v>
      </c>
      <c r="AC269" s="1573">
        <f t="shared" si="458"/>
        <v>9960</v>
      </c>
      <c r="AD269" s="1573">
        <f t="shared" si="458"/>
        <v>0</v>
      </c>
      <c r="AE269" s="1573">
        <f t="shared" si="458"/>
        <v>0</v>
      </c>
      <c r="AF269" s="1573">
        <f t="shared" si="458"/>
        <v>0</v>
      </c>
      <c r="AG269" s="1573">
        <f t="shared" si="458"/>
        <v>0</v>
      </c>
      <c r="AH269" s="1573">
        <f t="shared" si="458"/>
        <v>0</v>
      </c>
      <c r="AI269" s="1573">
        <f t="shared" si="458"/>
        <v>0</v>
      </c>
      <c r="AJ269" s="1573">
        <f t="shared" si="458"/>
        <v>0</v>
      </c>
      <c r="AK269" s="1569"/>
      <c r="AL269" s="1573">
        <f t="shared" ref="AL269:BB269" si="459">IF(AL266="","",AL265*AL266*AL267*AL268)</f>
        <v>0</v>
      </c>
      <c r="AM269" s="1573">
        <f t="shared" si="459"/>
        <v>20640</v>
      </c>
      <c r="AN269" s="1573">
        <f t="shared" si="459"/>
        <v>0</v>
      </c>
      <c r="AO269" s="1573">
        <f t="shared" si="459"/>
        <v>10320</v>
      </c>
      <c r="AP269" s="1573">
        <f t="shared" si="459"/>
        <v>0</v>
      </c>
      <c r="AQ269" s="1573">
        <f t="shared" si="459"/>
        <v>10320</v>
      </c>
      <c r="AR269" s="1573">
        <f t="shared" si="459"/>
        <v>0</v>
      </c>
      <c r="AS269" s="1573">
        <f t="shared" si="459"/>
        <v>10320</v>
      </c>
      <c r="AT269" s="1573">
        <f t="shared" si="459"/>
        <v>0</v>
      </c>
      <c r="AU269" s="1573">
        <f t="shared" si="459"/>
        <v>0</v>
      </c>
      <c r="AV269" s="1573" t="str">
        <f t="shared" si="459"/>
        <v/>
      </c>
      <c r="AW269" s="1573" t="str">
        <f t="shared" si="459"/>
        <v/>
      </c>
      <c r="AX269" s="1573" t="str">
        <f t="shared" si="459"/>
        <v/>
      </c>
      <c r="AY269" s="1573" t="str">
        <f t="shared" si="459"/>
        <v/>
      </c>
      <c r="AZ269" s="1573" t="str">
        <f t="shared" si="459"/>
        <v/>
      </c>
      <c r="BA269" s="1573" t="str">
        <f t="shared" si="459"/>
        <v/>
      </c>
      <c r="BB269" s="1573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687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1"/>
      <c r="U270" s="1571"/>
      <c r="V270" s="1571"/>
      <c r="W270" s="1571"/>
      <c r="X270" s="1571"/>
      <c r="Y270" s="1571"/>
      <c r="Z270" s="1571"/>
      <c r="AA270" s="1571"/>
      <c r="AB270" s="1571"/>
      <c r="AC270" s="1571"/>
      <c r="AD270" s="1571"/>
      <c r="AE270" s="1571"/>
      <c r="AF270" s="1571"/>
      <c r="AG270" s="1571"/>
      <c r="AH270" s="1571"/>
      <c r="AI270" s="1571"/>
      <c r="AJ270" s="1571"/>
      <c r="AK270" s="1569"/>
      <c r="AL270" s="1571"/>
      <c r="AM270" s="1571"/>
      <c r="AN270" s="1571"/>
      <c r="AO270" s="1571"/>
      <c r="AP270" s="1571"/>
      <c r="AQ270" s="1571"/>
      <c r="AR270" s="1571"/>
      <c r="AS270" s="1571"/>
      <c r="AT270" s="1571"/>
      <c r="AU270" s="1571"/>
      <c r="AV270" s="1571"/>
      <c r="AW270" s="1571"/>
      <c r="AX270" s="1571"/>
      <c r="AY270" s="1571"/>
      <c r="AZ270" s="1571"/>
      <c r="BA270" s="1571"/>
      <c r="BB270" s="1571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297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1"/>
      <c r="U271" s="1571"/>
      <c r="V271" s="1571"/>
      <c r="W271" s="1571"/>
      <c r="X271" s="1571">
        <v>1</v>
      </c>
      <c r="Y271" s="1571"/>
      <c r="Z271" s="1571"/>
      <c r="AA271" s="1571"/>
      <c r="AB271" s="1571"/>
      <c r="AC271" s="1571">
        <v>0</v>
      </c>
      <c r="AD271" s="1571"/>
      <c r="AE271" s="1571"/>
      <c r="AF271" s="1571"/>
      <c r="AG271" s="1571"/>
      <c r="AH271" s="1571"/>
      <c r="AI271" s="1571"/>
      <c r="AJ271" s="1571"/>
      <c r="AK271" s="1569"/>
      <c r="AL271" s="1571"/>
      <c r="AM271" s="1571"/>
      <c r="AN271" s="1571">
        <v>1</v>
      </c>
      <c r="AO271" s="1571"/>
      <c r="AP271" s="1571">
        <v>1</v>
      </c>
      <c r="AQ271" s="1571"/>
      <c r="AR271" s="1571">
        <v>1</v>
      </c>
      <c r="AS271" s="1571"/>
      <c r="AT271" s="1571"/>
      <c r="AU271" s="1571"/>
      <c r="AV271" s="1571"/>
      <c r="AW271" s="1571"/>
      <c r="AX271" s="1571"/>
      <c r="AY271" s="1571"/>
      <c r="AZ271" s="1571"/>
      <c r="BA271" s="1571"/>
      <c r="BB271" s="1571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64"/>
      <c r="BW271" s="1364"/>
      <c r="BX271" s="1364"/>
      <c r="BY271" s="1364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298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2"/>
      <c r="U272" s="1572"/>
      <c r="V272" s="1572"/>
      <c r="W272" s="1572"/>
      <c r="X272" s="1572">
        <v>1</v>
      </c>
      <c r="Y272" s="1572"/>
      <c r="Z272" s="1572"/>
      <c r="AA272" s="1572"/>
      <c r="AB272" s="1572"/>
      <c r="AC272" s="1572">
        <v>1</v>
      </c>
      <c r="AD272" s="1572"/>
      <c r="AE272" s="1572"/>
      <c r="AF272" s="1572"/>
      <c r="AG272" s="1572"/>
      <c r="AH272" s="1572"/>
      <c r="AI272" s="1572"/>
      <c r="AJ272" s="1572"/>
      <c r="AK272" s="1569"/>
      <c r="AL272" s="1572"/>
      <c r="AM272" s="1572"/>
      <c r="AN272" s="1572">
        <v>1</v>
      </c>
      <c r="AO272" s="1572"/>
      <c r="AP272" s="1572">
        <v>1</v>
      </c>
      <c r="AQ272" s="1572"/>
      <c r="AR272" s="1572">
        <v>1</v>
      </c>
      <c r="AS272" s="1572"/>
      <c r="AT272" s="1572"/>
      <c r="AU272" s="1572"/>
      <c r="AV272" s="1572"/>
      <c r="AW272" s="1572"/>
      <c r="AX272" s="1572"/>
      <c r="AY272" s="1572"/>
      <c r="AZ272" s="1572"/>
      <c r="BA272" s="1572"/>
      <c r="BB272" s="1572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1">
        <v>1</v>
      </c>
      <c r="BW272" s="1101">
        <v>1</v>
      </c>
      <c r="BX272" s="1101">
        <v>1</v>
      </c>
      <c r="BY272" s="1101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283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2"/>
      <c r="U273" s="1572"/>
      <c r="V273" s="1572"/>
      <c r="W273" s="1572"/>
      <c r="X273" s="1572">
        <v>12</v>
      </c>
      <c r="Y273" s="1572"/>
      <c r="Z273" s="1572"/>
      <c r="AA273" s="1572"/>
      <c r="AB273" s="1572"/>
      <c r="AC273" s="1572">
        <v>12</v>
      </c>
      <c r="AD273" s="1572"/>
      <c r="AE273" s="1572"/>
      <c r="AF273" s="1572"/>
      <c r="AG273" s="1572"/>
      <c r="AH273" s="1572"/>
      <c r="AI273" s="1572"/>
      <c r="AJ273" s="1572"/>
      <c r="AK273" s="1569"/>
      <c r="AL273" s="1572"/>
      <c r="AM273" s="1572"/>
      <c r="AN273" s="1572">
        <v>12</v>
      </c>
      <c r="AO273" s="1572"/>
      <c r="AP273" s="1572">
        <v>12</v>
      </c>
      <c r="AQ273" s="1572"/>
      <c r="AR273" s="1572">
        <v>12</v>
      </c>
      <c r="AS273" s="1572"/>
      <c r="AT273" s="1572"/>
      <c r="AU273" s="1572"/>
      <c r="AV273" s="1572"/>
      <c r="AW273" s="1572"/>
      <c r="AX273" s="1572"/>
      <c r="AY273" s="1572"/>
      <c r="AZ273" s="1572"/>
      <c r="BA273" s="1572"/>
      <c r="BB273" s="1572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1">
        <v>12</v>
      </c>
      <c r="BW273" s="1101">
        <v>12</v>
      </c>
      <c r="BX273" s="1101">
        <v>12</v>
      </c>
      <c r="BY273" s="1101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314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2"/>
      <c r="U274" s="1572"/>
      <c r="V274" s="1572"/>
      <c r="W274" s="1572"/>
      <c r="X274" s="1572">
        <v>1210</v>
      </c>
      <c r="Y274" s="1572"/>
      <c r="Z274" s="1572"/>
      <c r="AA274" s="1572"/>
      <c r="AB274" s="1572"/>
      <c r="AC274" s="1572">
        <v>1210</v>
      </c>
      <c r="AD274" s="1572"/>
      <c r="AE274" s="1572"/>
      <c r="AF274" s="1572"/>
      <c r="AG274" s="1572"/>
      <c r="AH274" s="1572"/>
      <c r="AI274" s="1572"/>
      <c r="AJ274" s="1572"/>
      <c r="AK274" s="1569"/>
      <c r="AL274" s="1572"/>
      <c r="AM274" s="1572"/>
      <c r="AN274" s="1572">
        <v>1400</v>
      </c>
      <c r="AO274" s="1572"/>
      <c r="AP274" s="1572">
        <v>1000</v>
      </c>
      <c r="AQ274" s="1572"/>
      <c r="AR274" s="1572">
        <v>1200</v>
      </c>
      <c r="AS274" s="1572"/>
      <c r="AT274" s="1572"/>
      <c r="AU274" s="1572"/>
      <c r="AV274" s="1572"/>
      <c r="AW274" s="1572"/>
      <c r="AX274" s="1572"/>
      <c r="AY274" s="1572"/>
      <c r="AZ274" s="1572"/>
      <c r="BA274" s="1572"/>
      <c r="BB274" s="1572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315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3" t="str">
        <f t="shared" ref="T275:AJ275" si="466">IF(T272="","",T271*T272*T273*T274)</f>
        <v/>
      </c>
      <c r="U275" s="1573" t="str">
        <f t="shared" si="466"/>
        <v/>
      </c>
      <c r="V275" s="1573" t="str">
        <f t="shared" si="466"/>
        <v/>
      </c>
      <c r="W275" s="1573" t="str">
        <f t="shared" si="466"/>
        <v/>
      </c>
      <c r="X275" s="1573">
        <f t="shared" si="466"/>
        <v>14520</v>
      </c>
      <c r="Y275" s="1573" t="str">
        <f t="shared" si="466"/>
        <v/>
      </c>
      <c r="Z275" s="1573" t="str">
        <f t="shared" si="466"/>
        <v/>
      </c>
      <c r="AA275" s="1573" t="str">
        <f t="shared" si="466"/>
        <v/>
      </c>
      <c r="AB275" s="1573" t="str">
        <f t="shared" si="466"/>
        <v/>
      </c>
      <c r="AC275" s="1573">
        <f t="shared" si="466"/>
        <v>0</v>
      </c>
      <c r="AD275" s="1573" t="str">
        <f t="shared" si="466"/>
        <v/>
      </c>
      <c r="AE275" s="1573" t="str">
        <f t="shared" si="466"/>
        <v/>
      </c>
      <c r="AF275" s="1573" t="str">
        <f t="shared" si="466"/>
        <v/>
      </c>
      <c r="AG275" s="1573" t="str">
        <f t="shared" si="466"/>
        <v/>
      </c>
      <c r="AH275" s="1573" t="str">
        <f t="shared" si="466"/>
        <v/>
      </c>
      <c r="AI275" s="1573" t="str">
        <f t="shared" si="466"/>
        <v/>
      </c>
      <c r="AJ275" s="1573" t="str">
        <f t="shared" si="466"/>
        <v/>
      </c>
      <c r="AK275" s="1569"/>
      <c r="AL275" s="1573" t="str">
        <f t="shared" ref="AL275:BB275" si="467">IF(AL272="","",AL271*AL272*AL273*AL274)</f>
        <v/>
      </c>
      <c r="AM275" s="1573" t="str">
        <f t="shared" si="467"/>
        <v/>
      </c>
      <c r="AN275" s="1573">
        <f t="shared" si="467"/>
        <v>16800</v>
      </c>
      <c r="AO275" s="1573" t="str">
        <f t="shared" si="467"/>
        <v/>
      </c>
      <c r="AP275" s="1573">
        <f t="shared" si="467"/>
        <v>12000</v>
      </c>
      <c r="AQ275" s="1573" t="str">
        <f t="shared" si="467"/>
        <v/>
      </c>
      <c r="AR275" s="1573">
        <f t="shared" si="467"/>
        <v>14400</v>
      </c>
      <c r="AS275" s="1573" t="str">
        <f t="shared" si="467"/>
        <v/>
      </c>
      <c r="AT275" s="1573" t="str">
        <f t="shared" si="467"/>
        <v/>
      </c>
      <c r="AU275" s="1573" t="str">
        <f t="shared" si="467"/>
        <v/>
      </c>
      <c r="AV275" s="1573" t="str">
        <f t="shared" si="467"/>
        <v/>
      </c>
      <c r="AW275" s="1573" t="str">
        <f t="shared" si="467"/>
        <v/>
      </c>
      <c r="AX275" s="1573" t="str">
        <f t="shared" si="467"/>
        <v/>
      </c>
      <c r="AY275" s="1573" t="str">
        <f t="shared" si="467"/>
        <v/>
      </c>
      <c r="AZ275" s="1573" t="str">
        <f t="shared" si="467"/>
        <v/>
      </c>
      <c r="BA275" s="1573" t="str">
        <f t="shared" si="467"/>
        <v/>
      </c>
      <c r="BB275" s="1573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688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1"/>
      <c r="U276" s="1571"/>
      <c r="V276" s="1571"/>
      <c r="W276" s="1571"/>
      <c r="X276" s="1571"/>
      <c r="Y276" s="1571"/>
      <c r="Z276" s="1571"/>
      <c r="AA276" s="1571"/>
      <c r="AB276" s="1571"/>
      <c r="AC276" s="1571"/>
      <c r="AD276" s="1571"/>
      <c r="AE276" s="1571"/>
      <c r="AF276" s="1571"/>
      <c r="AG276" s="1571"/>
      <c r="AH276" s="1571"/>
      <c r="AI276" s="1571"/>
      <c r="AJ276" s="1571"/>
      <c r="AK276" s="1569"/>
      <c r="AL276" s="1571"/>
      <c r="AM276" s="1571"/>
      <c r="AN276" s="1571"/>
      <c r="AO276" s="1571"/>
      <c r="AP276" s="1571"/>
      <c r="AQ276" s="1571"/>
      <c r="AR276" s="1571"/>
      <c r="AS276" s="1571"/>
      <c r="AT276" s="1571"/>
      <c r="AU276" s="1571"/>
      <c r="AV276" s="1571"/>
      <c r="AW276" s="1571"/>
      <c r="AX276" s="1571"/>
      <c r="AY276" s="1571"/>
      <c r="AZ276" s="1571"/>
      <c r="BA276" s="1571"/>
      <c r="BB276" s="1571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297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1"/>
      <c r="U277" s="1571"/>
      <c r="V277" s="1571"/>
      <c r="W277" s="1571"/>
      <c r="X277" s="1571"/>
      <c r="Y277" s="1571"/>
      <c r="Z277" s="1571"/>
      <c r="AA277" s="1571"/>
      <c r="AB277" s="1571"/>
      <c r="AC277" s="1571"/>
      <c r="AD277" s="1571"/>
      <c r="AE277" s="1571"/>
      <c r="AF277" s="1571"/>
      <c r="AG277" s="1571"/>
      <c r="AH277" s="1571"/>
      <c r="AI277" s="1571"/>
      <c r="AJ277" s="1571"/>
      <c r="AK277" s="1569"/>
      <c r="AL277" s="1571"/>
      <c r="AM277" s="1571"/>
      <c r="AN277" s="1571"/>
      <c r="AO277" s="1571"/>
      <c r="AP277" s="1571"/>
      <c r="AQ277" s="1571"/>
      <c r="AR277" s="1571"/>
      <c r="AS277" s="1571"/>
      <c r="AT277" s="1571"/>
      <c r="AU277" s="1571"/>
      <c r="AV277" s="1571"/>
      <c r="AW277" s="1571"/>
      <c r="AX277" s="1571"/>
      <c r="AY277" s="1571"/>
      <c r="AZ277" s="1571"/>
      <c r="BA277" s="1571"/>
      <c r="BB277" s="1571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65"/>
      <c r="BW277" s="1365"/>
      <c r="BX277" s="1365"/>
      <c r="BY277" s="1365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298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2"/>
      <c r="U278" s="1572"/>
      <c r="V278" s="1572"/>
      <c r="W278" s="1572"/>
      <c r="X278" s="1572"/>
      <c r="Y278" s="1572"/>
      <c r="Z278" s="1572"/>
      <c r="AA278" s="1572"/>
      <c r="AB278" s="1572"/>
      <c r="AC278" s="1572"/>
      <c r="AD278" s="1572"/>
      <c r="AE278" s="1572"/>
      <c r="AF278" s="1572"/>
      <c r="AG278" s="1572"/>
      <c r="AH278" s="1572"/>
      <c r="AI278" s="1572"/>
      <c r="AJ278" s="1572"/>
      <c r="AK278" s="1569"/>
      <c r="AL278" s="1572"/>
      <c r="AM278" s="1572"/>
      <c r="AN278" s="1572"/>
      <c r="AO278" s="1572"/>
      <c r="AP278" s="1572"/>
      <c r="AQ278" s="1572"/>
      <c r="AR278" s="1572"/>
      <c r="AS278" s="1572"/>
      <c r="AT278" s="1572"/>
      <c r="AU278" s="1572"/>
      <c r="AV278" s="1572"/>
      <c r="AW278" s="1572"/>
      <c r="AX278" s="1572"/>
      <c r="AY278" s="1572"/>
      <c r="AZ278" s="1572"/>
      <c r="BA278" s="1572"/>
      <c r="BB278" s="1572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1">
        <v>1</v>
      </c>
      <c r="BW278" s="1101">
        <v>1</v>
      </c>
      <c r="BX278" s="1101">
        <v>1</v>
      </c>
      <c r="BY278" s="1101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283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2"/>
      <c r="U279" s="1572"/>
      <c r="V279" s="1572"/>
      <c r="W279" s="1572"/>
      <c r="X279" s="1572"/>
      <c r="Y279" s="1572"/>
      <c r="Z279" s="1572"/>
      <c r="AA279" s="1572"/>
      <c r="AB279" s="1572"/>
      <c r="AC279" s="1572"/>
      <c r="AD279" s="1572"/>
      <c r="AE279" s="1572"/>
      <c r="AF279" s="1572"/>
      <c r="AG279" s="1572"/>
      <c r="AH279" s="1572"/>
      <c r="AI279" s="1572"/>
      <c r="AJ279" s="1572"/>
      <c r="AK279" s="1569"/>
      <c r="AL279" s="1572"/>
      <c r="AM279" s="1572"/>
      <c r="AN279" s="1572"/>
      <c r="AO279" s="1572"/>
      <c r="AP279" s="1572"/>
      <c r="AQ279" s="1572"/>
      <c r="AR279" s="1572"/>
      <c r="AS279" s="1572"/>
      <c r="AT279" s="1572"/>
      <c r="AU279" s="1572"/>
      <c r="AV279" s="1572"/>
      <c r="AW279" s="1572"/>
      <c r="AX279" s="1572"/>
      <c r="AY279" s="1572"/>
      <c r="AZ279" s="1572"/>
      <c r="BA279" s="1572"/>
      <c r="BB279" s="1572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1">
        <v>12</v>
      </c>
      <c r="BW279" s="1101">
        <v>12</v>
      </c>
      <c r="BX279" s="1101">
        <v>12</v>
      </c>
      <c r="BY279" s="1101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314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2"/>
      <c r="U280" s="1572"/>
      <c r="V280" s="1572"/>
      <c r="W280" s="1572"/>
      <c r="X280" s="1572"/>
      <c r="Y280" s="1572"/>
      <c r="Z280" s="1572"/>
      <c r="AA280" s="1572"/>
      <c r="AB280" s="1572"/>
      <c r="AC280" s="1572"/>
      <c r="AD280" s="1572"/>
      <c r="AE280" s="1572"/>
      <c r="AF280" s="1572"/>
      <c r="AG280" s="1572"/>
      <c r="AH280" s="1572"/>
      <c r="AI280" s="1572"/>
      <c r="AJ280" s="1572"/>
      <c r="AK280" s="1569"/>
      <c r="AL280" s="1572"/>
      <c r="AM280" s="1572"/>
      <c r="AN280" s="1572"/>
      <c r="AO280" s="1572"/>
      <c r="AP280" s="1572"/>
      <c r="AQ280" s="1572"/>
      <c r="AR280" s="1572"/>
      <c r="AS280" s="1572"/>
      <c r="AT280" s="1572"/>
      <c r="AU280" s="1572"/>
      <c r="AV280" s="1572"/>
      <c r="AW280" s="1572"/>
      <c r="AX280" s="1572"/>
      <c r="AY280" s="1572"/>
      <c r="AZ280" s="1572"/>
      <c r="BA280" s="1572"/>
      <c r="BB280" s="1572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315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3" t="str">
        <f t="shared" ref="T281:AJ281" si="474">IF(T278="","",T277*T278*T279*T280)</f>
        <v/>
      </c>
      <c r="U281" s="1573" t="str">
        <f t="shared" si="474"/>
        <v/>
      </c>
      <c r="V281" s="1573" t="str">
        <f t="shared" si="474"/>
        <v/>
      </c>
      <c r="W281" s="1573" t="str">
        <f t="shared" si="474"/>
        <v/>
      </c>
      <c r="X281" s="1573" t="str">
        <f t="shared" si="474"/>
        <v/>
      </c>
      <c r="Y281" s="1573" t="str">
        <f t="shared" si="474"/>
        <v/>
      </c>
      <c r="Z281" s="1573" t="str">
        <f t="shared" si="474"/>
        <v/>
      </c>
      <c r="AA281" s="1573" t="str">
        <f t="shared" si="474"/>
        <v/>
      </c>
      <c r="AB281" s="1573" t="str">
        <f t="shared" si="474"/>
        <v/>
      </c>
      <c r="AC281" s="1573" t="str">
        <f t="shared" si="474"/>
        <v/>
      </c>
      <c r="AD281" s="1573" t="str">
        <f t="shared" si="474"/>
        <v/>
      </c>
      <c r="AE281" s="1573" t="str">
        <f t="shared" si="474"/>
        <v/>
      </c>
      <c r="AF281" s="1573" t="str">
        <f t="shared" si="474"/>
        <v/>
      </c>
      <c r="AG281" s="1573" t="str">
        <f t="shared" si="474"/>
        <v/>
      </c>
      <c r="AH281" s="1573" t="str">
        <f t="shared" si="474"/>
        <v/>
      </c>
      <c r="AI281" s="1573" t="str">
        <f t="shared" si="474"/>
        <v/>
      </c>
      <c r="AJ281" s="1573" t="str">
        <f t="shared" si="474"/>
        <v/>
      </c>
      <c r="AK281" s="1569"/>
      <c r="AL281" s="1573" t="str">
        <f t="shared" ref="AL281:BB281" si="475">IF(AL278="","",AL277*AL278*AL279*AL280)</f>
        <v/>
      </c>
      <c r="AM281" s="1573" t="str">
        <f t="shared" si="475"/>
        <v/>
      </c>
      <c r="AN281" s="1573" t="str">
        <f t="shared" si="475"/>
        <v/>
      </c>
      <c r="AO281" s="1573" t="str">
        <f t="shared" si="475"/>
        <v/>
      </c>
      <c r="AP281" s="1573" t="str">
        <f t="shared" si="475"/>
        <v/>
      </c>
      <c r="AQ281" s="1573" t="str">
        <f t="shared" si="475"/>
        <v/>
      </c>
      <c r="AR281" s="1573" t="str">
        <f t="shared" si="475"/>
        <v/>
      </c>
      <c r="AS281" s="1573" t="str">
        <f t="shared" si="475"/>
        <v/>
      </c>
      <c r="AT281" s="1573" t="str">
        <f t="shared" si="475"/>
        <v/>
      </c>
      <c r="AU281" s="1573" t="str">
        <f t="shared" si="475"/>
        <v/>
      </c>
      <c r="AV281" s="1573" t="str">
        <f t="shared" si="475"/>
        <v/>
      </c>
      <c r="AW281" s="1573" t="str">
        <f t="shared" si="475"/>
        <v/>
      </c>
      <c r="AX281" s="1573" t="str">
        <f t="shared" si="475"/>
        <v/>
      </c>
      <c r="AY281" s="1573" t="str">
        <f t="shared" si="475"/>
        <v/>
      </c>
      <c r="AZ281" s="1573" t="str">
        <f t="shared" si="475"/>
        <v/>
      </c>
      <c r="BA281" s="1573" t="str">
        <f t="shared" si="475"/>
        <v/>
      </c>
      <c r="BB281" s="1573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689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1"/>
      <c r="U282" s="1571"/>
      <c r="V282" s="1571"/>
      <c r="W282" s="1571"/>
      <c r="X282" s="1571"/>
      <c r="Y282" s="1571"/>
      <c r="Z282" s="1571"/>
      <c r="AA282" s="1571"/>
      <c r="AB282" s="1571"/>
      <c r="AC282" s="1571"/>
      <c r="AD282" s="1571"/>
      <c r="AE282" s="1571"/>
      <c r="AF282" s="1571"/>
      <c r="AG282" s="1571"/>
      <c r="AH282" s="1571"/>
      <c r="AI282" s="1571"/>
      <c r="AJ282" s="1571"/>
      <c r="AK282" s="1569"/>
      <c r="AL282" s="1571"/>
      <c r="AM282" s="1571"/>
      <c r="AN282" s="1571"/>
      <c r="AO282" s="1571"/>
      <c r="AP282" s="1571"/>
      <c r="AQ282" s="1571"/>
      <c r="AR282" s="1571"/>
      <c r="AS282" s="1571"/>
      <c r="AT282" s="1571"/>
      <c r="AU282" s="1571"/>
      <c r="AV282" s="1571"/>
      <c r="AW282" s="1571"/>
      <c r="AX282" s="1571"/>
      <c r="AY282" s="1571"/>
      <c r="AZ282" s="1571"/>
      <c r="BA282" s="1571"/>
      <c r="BB282" s="1571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297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1"/>
      <c r="U283" s="1571"/>
      <c r="V283" s="1571"/>
      <c r="W283" s="1571"/>
      <c r="X283" s="1571"/>
      <c r="Y283" s="1571"/>
      <c r="Z283" s="1571"/>
      <c r="AA283" s="1571"/>
      <c r="AB283" s="1571"/>
      <c r="AC283" s="1571"/>
      <c r="AD283" s="1571"/>
      <c r="AE283" s="1571"/>
      <c r="AF283" s="1571"/>
      <c r="AG283" s="1571"/>
      <c r="AH283" s="1571"/>
      <c r="AI283" s="1571"/>
      <c r="AJ283" s="1571"/>
      <c r="AK283" s="1569"/>
      <c r="AL283" s="1571"/>
      <c r="AM283" s="1571"/>
      <c r="AN283" s="1571"/>
      <c r="AO283" s="1571"/>
      <c r="AP283" s="1571"/>
      <c r="AQ283" s="1571"/>
      <c r="AR283" s="1571"/>
      <c r="AS283" s="1571"/>
      <c r="AT283" s="1571"/>
      <c r="AU283" s="1571"/>
      <c r="AV283" s="1571"/>
      <c r="AW283" s="1571"/>
      <c r="AX283" s="1571"/>
      <c r="AY283" s="1571"/>
      <c r="AZ283" s="1571"/>
      <c r="BA283" s="1571"/>
      <c r="BB283" s="1571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298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2"/>
      <c r="U284" s="1572"/>
      <c r="V284" s="1572"/>
      <c r="W284" s="1572"/>
      <c r="X284" s="1572"/>
      <c r="Y284" s="1572"/>
      <c r="Z284" s="1572"/>
      <c r="AA284" s="1572"/>
      <c r="AB284" s="1572"/>
      <c r="AC284" s="1572"/>
      <c r="AD284" s="1572"/>
      <c r="AE284" s="1572"/>
      <c r="AF284" s="1572"/>
      <c r="AG284" s="1572"/>
      <c r="AH284" s="1572"/>
      <c r="AI284" s="1572"/>
      <c r="AJ284" s="1572"/>
      <c r="AK284" s="1569"/>
      <c r="AL284" s="1572"/>
      <c r="AM284" s="1572"/>
      <c r="AN284" s="1572"/>
      <c r="AO284" s="1572"/>
      <c r="AP284" s="1572"/>
      <c r="AQ284" s="1572"/>
      <c r="AR284" s="1572"/>
      <c r="AS284" s="1572"/>
      <c r="AT284" s="1572"/>
      <c r="AU284" s="1572"/>
      <c r="AV284" s="1572"/>
      <c r="AW284" s="1572"/>
      <c r="AX284" s="1572"/>
      <c r="AY284" s="1572"/>
      <c r="AZ284" s="1572"/>
      <c r="BA284" s="1572"/>
      <c r="BB284" s="1572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1">
        <v>1</v>
      </c>
      <c r="BW284" s="1101">
        <v>1</v>
      </c>
      <c r="BX284" s="1101">
        <v>1</v>
      </c>
      <c r="BY284" s="1101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283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2"/>
      <c r="U285" s="1572"/>
      <c r="V285" s="1572"/>
      <c r="W285" s="1572"/>
      <c r="X285" s="1572"/>
      <c r="Y285" s="1572"/>
      <c r="Z285" s="1572"/>
      <c r="AA285" s="1572"/>
      <c r="AB285" s="1572"/>
      <c r="AC285" s="1572"/>
      <c r="AD285" s="1572"/>
      <c r="AE285" s="1572"/>
      <c r="AF285" s="1572"/>
      <c r="AG285" s="1572"/>
      <c r="AH285" s="1572"/>
      <c r="AI285" s="1572"/>
      <c r="AJ285" s="1572"/>
      <c r="AK285" s="1569"/>
      <c r="AL285" s="1572"/>
      <c r="AM285" s="1572"/>
      <c r="AN285" s="1572"/>
      <c r="AO285" s="1572"/>
      <c r="AP285" s="1572"/>
      <c r="AQ285" s="1572"/>
      <c r="AR285" s="1572"/>
      <c r="AS285" s="1572"/>
      <c r="AT285" s="1572"/>
      <c r="AU285" s="1572"/>
      <c r="AV285" s="1572"/>
      <c r="AW285" s="1572"/>
      <c r="AX285" s="1572"/>
      <c r="AY285" s="1572"/>
      <c r="AZ285" s="1572"/>
      <c r="BA285" s="1572"/>
      <c r="BB285" s="1572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1">
        <v>12</v>
      </c>
      <c r="BW285" s="1101">
        <v>12</v>
      </c>
      <c r="BX285" s="1101">
        <v>12</v>
      </c>
      <c r="BY285" s="1101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314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2"/>
      <c r="U286" s="1572"/>
      <c r="V286" s="1572"/>
      <c r="W286" s="1572"/>
      <c r="X286" s="1572"/>
      <c r="Y286" s="1572"/>
      <c r="Z286" s="1572"/>
      <c r="AA286" s="1572"/>
      <c r="AB286" s="1572"/>
      <c r="AC286" s="1572"/>
      <c r="AD286" s="1572"/>
      <c r="AE286" s="1572"/>
      <c r="AF286" s="1572"/>
      <c r="AG286" s="1572"/>
      <c r="AH286" s="1572"/>
      <c r="AI286" s="1572"/>
      <c r="AJ286" s="1572"/>
      <c r="AK286" s="1569"/>
      <c r="AL286" s="1572"/>
      <c r="AM286" s="1572"/>
      <c r="AN286" s="1572"/>
      <c r="AO286" s="1572"/>
      <c r="AP286" s="1572"/>
      <c r="AQ286" s="1572"/>
      <c r="AR286" s="1572"/>
      <c r="AS286" s="1572"/>
      <c r="AT286" s="1572"/>
      <c r="AU286" s="1572"/>
      <c r="AV286" s="1572"/>
      <c r="AW286" s="1572"/>
      <c r="AX286" s="1572"/>
      <c r="AY286" s="1572"/>
      <c r="AZ286" s="1572"/>
      <c r="BA286" s="1572"/>
      <c r="BB286" s="1572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315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3" t="str">
        <f t="shared" ref="T287:AJ287" si="482">IF(T284="","",T283*T284*T285*T286)</f>
        <v/>
      </c>
      <c r="U287" s="1573" t="str">
        <f t="shared" si="482"/>
        <v/>
      </c>
      <c r="V287" s="1573" t="str">
        <f t="shared" si="482"/>
        <v/>
      </c>
      <c r="W287" s="1573" t="str">
        <f t="shared" si="482"/>
        <v/>
      </c>
      <c r="X287" s="1573" t="str">
        <f t="shared" si="482"/>
        <v/>
      </c>
      <c r="Y287" s="1573" t="str">
        <f t="shared" si="482"/>
        <v/>
      </c>
      <c r="Z287" s="1573" t="str">
        <f t="shared" si="482"/>
        <v/>
      </c>
      <c r="AA287" s="1573" t="str">
        <f t="shared" si="482"/>
        <v/>
      </c>
      <c r="AB287" s="1573" t="str">
        <f t="shared" si="482"/>
        <v/>
      </c>
      <c r="AC287" s="1573" t="str">
        <f t="shared" si="482"/>
        <v/>
      </c>
      <c r="AD287" s="1573" t="str">
        <f t="shared" si="482"/>
        <v/>
      </c>
      <c r="AE287" s="1573" t="str">
        <f t="shared" si="482"/>
        <v/>
      </c>
      <c r="AF287" s="1573" t="str">
        <f t="shared" si="482"/>
        <v/>
      </c>
      <c r="AG287" s="1573" t="str">
        <f t="shared" si="482"/>
        <v/>
      </c>
      <c r="AH287" s="1573" t="str">
        <f t="shared" si="482"/>
        <v/>
      </c>
      <c r="AI287" s="1573" t="str">
        <f t="shared" si="482"/>
        <v/>
      </c>
      <c r="AJ287" s="1573" t="str">
        <f t="shared" si="482"/>
        <v/>
      </c>
      <c r="AK287" s="1569"/>
      <c r="AL287" s="1573" t="str">
        <f t="shared" ref="AL287:BB287" si="483">IF(AL284="","",AL283*AL284*AL285*AL286)</f>
        <v/>
      </c>
      <c r="AM287" s="1573" t="str">
        <f t="shared" si="483"/>
        <v/>
      </c>
      <c r="AN287" s="1573" t="str">
        <f t="shared" si="483"/>
        <v/>
      </c>
      <c r="AO287" s="1573" t="str">
        <f t="shared" si="483"/>
        <v/>
      </c>
      <c r="AP287" s="1573" t="str">
        <f t="shared" si="483"/>
        <v/>
      </c>
      <c r="AQ287" s="1573" t="str">
        <f t="shared" si="483"/>
        <v/>
      </c>
      <c r="AR287" s="1573" t="str">
        <f t="shared" si="483"/>
        <v/>
      </c>
      <c r="AS287" s="1573" t="str">
        <f t="shared" si="483"/>
        <v/>
      </c>
      <c r="AT287" s="1573" t="str">
        <f t="shared" si="483"/>
        <v/>
      </c>
      <c r="AU287" s="1573" t="str">
        <f t="shared" si="483"/>
        <v/>
      </c>
      <c r="AV287" s="1573" t="str">
        <f t="shared" si="483"/>
        <v/>
      </c>
      <c r="AW287" s="1573" t="str">
        <f t="shared" si="483"/>
        <v/>
      </c>
      <c r="AX287" s="1573" t="str">
        <f t="shared" si="483"/>
        <v/>
      </c>
      <c r="AY287" s="1573" t="str">
        <f t="shared" si="483"/>
        <v/>
      </c>
      <c r="AZ287" s="1573" t="str">
        <f t="shared" si="483"/>
        <v/>
      </c>
      <c r="BA287" s="1573" t="str">
        <f t="shared" si="483"/>
        <v/>
      </c>
      <c r="BB287" s="1573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690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1"/>
      <c r="U288" s="1571"/>
      <c r="V288" s="1571"/>
      <c r="W288" s="1571"/>
      <c r="X288" s="1571"/>
      <c r="Y288" s="1571"/>
      <c r="Z288" s="1571"/>
      <c r="AA288" s="1571"/>
      <c r="AB288" s="1571"/>
      <c r="AC288" s="1571"/>
      <c r="AD288" s="1571"/>
      <c r="AE288" s="1571"/>
      <c r="AF288" s="1571"/>
      <c r="AG288" s="1571"/>
      <c r="AH288" s="1571"/>
      <c r="AI288" s="1571"/>
      <c r="AJ288" s="1571"/>
      <c r="AK288" s="1569"/>
      <c r="AL288" s="1571"/>
      <c r="AM288" s="1571"/>
      <c r="AN288" s="1571"/>
      <c r="AO288" s="1571"/>
      <c r="AP288" s="1571"/>
      <c r="AQ288" s="1571"/>
      <c r="AR288" s="1571"/>
      <c r="AS288" s="1571"/>
      <c r="AT288" s="1571"/>
      <c r="AU288" s="1571"/>
      <c r="AV288" s="1571"/>
      <c r="AW288" s="1571"/>
      <c r="AX288" s="1571"/>
      <c r="AY288" s="1571"/>
      <c r="AZ288" s="1571"/>
      <c r="BA288" s="1571"/>
      <c r="BB288" s="1571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297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1"/>
      <c r="U289" s="1571"/>
      <c r="V289" s="1571"/>
      <c r="W289" s="1571"/>
      <c r="X289" s="1571"/>
      <c r="Y289" s="1571"/>
      <c r="Z289" s="1571"/>
      <c r="AA289" s="1571"/>
      <c r="AB289" s="1571"/>
      <c r="AC289" s="1571"/>
      <c r="AD289" s="1571"/>
      <c r="AE289" s="1571"/>
      <c r="AF289" s="1571"/>
      <c r="AG289" s="1571"/>
      <c r="AH289" s="1571"/>
      <c r="AI289" s="1571"/>
      <c r="AJ289" s="1571"/>
      <c r="AK289" s="1569"/>
      <c r="AL289" s="1571"/>
      <c r="AM289" s="1571"/>
      <c r="AN289" s="1571"/>
      <c r="AO289" s="1571"/>
      <c r="AP289" s="1571"/>
      <c r="AQ289" s="1571"/>
      <c r="AR289" s="1571"/>
      <c r="AS289" s="1571"/>
      <c r="AT289" s="1571"/>
      <c r="AU289" s="1571"/>
      <c r="AV289" s="1571"/>
      <c r="AW289" s="1571"/>
      <c r="AX289" s="1571"/>
      <c r="AY289" s="1571"/>
      <c r="AZ289" s="1571"/>
      <c r="BA289" s="1571"/>
      <c r="BB289" s="1571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298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2"/>
      <c r="U290" s="1572"/>
      <c r="V290" s="1572"/>
      <c r="W290" s="1572"/>
      <c r="X290" s="1572"/>
      <c r="Y290" s="1572"/>
      <c r="Z290" s="1572"/>
      <c r="AA290" s="1572"/>
      <c r="AB290" s="1572"/>
      <c r="AC290" s="1572"/>
      <c r="AD290" s="1572"/>
      <c r="AE290" s="1572"/>
      <c r="AF290" s="1572"/>
      <c r="AG290" s="1572"/>
      <c r="AH290" s="1572"/>
      <c r="AI290" s="1572"/>
      <c r="AJ290" s="1572"/>
      <c r="AK290" s="1569"/>
      <c r="AL290" s="1572"/>
      <c r="AM290" s="1572"/>
      <c r="AN290" s="1572"/>
      <c r="AO290" s="1572"/>
      <c r="AP290" s="1572"/>
      <c r="AQ290" s="1572"/>
      <c r="AR290" s="1572"/>
      <c r="AS290" s="1572"/>
      <c r="AT290" s="1572"/>
      <c r="AU290" s="1572"/>
      <c r="AV290" s="1572"/>
      <c r="AW290" s="1572"/>
      <c r="AX290" s="1572"/>
      <c r="AY290" s="1572"/>
      <c r="AZ290" s="1572"/>
      <c r="BA290" s="1572"/>
      <c r="BB290" s="1572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1">
        <v>1</v>
      </c>
      <c r="BW290" s="1101">
        <v>1</v>
      </c>
      <c r="BX290" s="1101">
        <v>1</v>
      </c>
      <c r="BY290" s="1101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283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2"/>
      <c r="U291" s="1572"/>
      <c r="V291" s="1572"/>
      <c r="W291" s="1572"/>
      <c r="X291" s="1572"/>
      <c r="Y291" s="1572"/>
      <c r="Z291" s="1572"/>
      <c r="AA291" s="1572"/>
      <c r="AB291" s="1572"/>
      <c r="AC291" s="1572"/>
      <c r="AD291" s="1572"/>
      <c r="AE291" s="1572"/>
      <c r="AF291" s="1572"/>
      <c r="AG291" s="1572"/>
      <c r="AH291" s="1572"/>
      <c r="AI291" s="1572"/>
      <c r="AJ291" s="1572"/>
      <c r="AK291" s="1569"/>
      <c r="AL291" s="1572"/>
      <c r="AM291" s="1572"/>
      <c r="AN291" s="1572"/>
      <c r="AO291" s="1572"/>
      <c r="AP291" s="1572"/>
      <c r="AQ291" s="1572"/>
      <c r="AR291" s="1572"/>
      <c r="AS291" s="1572"/>
      <c r="AT291" s="1572"/>
      <c r="AU291" s="1572"/>
      <c r="AV291" s="1572"/>
      <c r="AW291" s="1572"/>
      <c r="AX291" s="1572"/>
      <c r="AY291" s="1572"/>
      <c r="AZ291" s="1572"/>
      <c r="BA291" s="1572"/>
      <c r="BB291" s="1572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1">
        <v>12</v>
      </c>
      <c r="BW291" s="1101">
        <v>12</v>
      </c>
      <c r="BX291" s="1101">
        <v>12</v>
      </c>
      <c r="BY291" s="1101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314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2"/>
      <c r="U292" s="1572"/>
      <c r="V292" s="1572"/>
      <c r="W292" s="1572"/>
      <c r="X292" s="1572"/>
      <c r="Y292" s="1572"/>
      <c r="Z292" s="1572"/>
      <c r="AA292" s="1572"/>
      <c r="AB292" s="1572"/>
      <c r="AC292" s="1572"/>
      <c r="AD292" s="1572"/>
      <c r="AE292" s="1572"/>
      <c r="AF292" s="1572"/>
      <c r="AG292" s="1572"/>
      <c r="AH292" s="1572"/>
      <c r="AI292" s="1572"/>
      <c r="AJ292" s="1572"/>
      <c r="AK292" s="1569"/>
      <c r="AL292" s="1572"/>
      <c r="AM292" s="1572"/>
      <c r="AN292" s="1572"/>
      <c r="AO292" s="1572"/>
      <c r="AP292" s="1572"/>
      <c r="AQ292" s="1572"/>
      <c r="AR292" s="1572"/>
      <c r="AS292" s="1572"/>
      <c r="AT292" s="1572"/>
      <c r="AU292" s="1572"/>
      <c r="AV292" s="1572"/>
      <c r="AW292" s="1572"/>
      <c r="AX292" s="1572"/>
      <c r="AY292" s="1572"/>
      <c r="AZ292" s="1572"/>
      <c r="BA292" s="1572"/>
      <c r="BB292" s="1572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315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3" t="str">
        <f t="shared" ref="T293:AJ293" si="490">IF(T290="","",T289*T290*T291*T292)</f>
        <v/>
      </c>
      <c r="U293" s="1573" t="str">
        <f t="shared" si="490"/>
        <v/>
      </c>
      <c r="V293" s="1573" t="str">
        <f t="shared" si="490"/>
        <v/>
      </c>
      <c r="W293" s="1573" t="str">
        <f t="shared" si="490"/>
        <v/>
      </c>
      <c r="X293" s="1573" t="str">
        <f t="shared" si="490"/>
        <v/>
      </c>
      <c r="Y293" s="1573" t="str">
        <f t="shared" si="490"/>
        <v/>
      </c>
      <c r="Z293" s="1573" t="str">
        <f t="shared" si="490"/>
        <v/>
      </c>
      <c r="AA293" s="1573" t="str">
        <f t="shared" si="490"/>
        <v/>
      </c>
      <c r="AB293" s="1573" t="str">
        <f t="shared" si="490"/>
        <v/>
      </c>
      <c r="AC293" s="1573" t="str">
        <f t="shared" si="490"/>
        <v/>
      </c>
      <c r="AD293" s="1573" t="str">
        <f t="shared" si="490"/>
        <v/>
      </c>
      <c r="AE293" s="1573" t="str">
        <f t="shared" si="490"/>
        <v/>
      </c>
      <c r="AF293" s="1573" t="str">
        <f t="shared" si="490"/>
        <v/>
      </c>
      <c r="AG293" s="1573" t="str">
        <f t="shared" si="490"/>
        <v/>
      </c>
      <c r="AH293" s="1573" t="str">
        <f t="shared" si="490"/>
        <v/>
      </c>
      <c r="AI293" s="1573" t="str">
        <f t="shared" si="490"/>
        <v/>
      </c>
      <c r="AJ293" s="1573" t="str">
        <f t="shared" si="490"/>
        <v/>
      </c>
      <c r="AK293" s="1569"/>
      <c r="AL293" s="1573" t="str">
        <f t="shared" ref="AL293:BB293" si="491">IF(AL290="","",AL289*AL290*AL291*AL292)</f>
        <v/>
      </c>
      <c r="AM293" s="1573" t="str">
        <f t="shared" si="491"/>
        <v/>
      </c>
      <c r="AN293" s="1573" t="str">
        <f t="shared" si="491"/>
        <v/>
      </c>
      <c r="AO293" s="1573" t="str">
        <f t="shared" si="491"/>
        <v/>
      </c>
      <c r="AP293" s="1573" t="str">
        <f t="shared" si="491"/>
        <v/>
      </c>
      <c r="AQ293" s="1573" t="str">
        <f t="shared" si="491"/>
        <v/>
      </c>
      <c r="AR293" s="1573" t="str">
        <f t="shared" si="491"/>
        <v/>
      </c>
      <c r="AS293" s="1573" t="str">
        <f t="shared" si="491"/>
        <v/>
      </c>
      <c r="AT293" s="1573" t="str">
        <f t="shared" si="491"/>
        <v/>
      </c>
      <c r="AU293" s="1573" t="str">
        <f t="shared" si="491"/>
        <v/>
      </c>
      <c r="AV293" s="1573" t="str">
        <f t="shared" si="491"/>
        <v/>
      </c>
      <c r="AW293" s="1573" t="str">
        <f t="shared" si="491"/>
        <v/>
      </c>
      <c r="AX293" s="1573" t="str">
        <f t="shared" si="491"/>
        <v/>
      </c>
      <c r="AY293" s="1573" t="str">
        <f t="shared" si="491"/>
        <v/>
      </c>
      <c r="AZ293" s="1573" t="str">
        <f t="shared" si="491"/>
        <v/>
      </c>
      <c r="BA293" s="1573" t="str">
        <f t="shared" si="491"/>
        <v/>
      </c>
      <c r="BB293" s="1573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444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1"/>
      <c r="U294" s="1571"/>
      <c r="V294" s="1571"/>
      <c r="W294" s="1571"/>
      <c r="X294" s="1571"/>
      <c r="Y294" s="1571"/>
      <c r="Z294" s="1571"/>
      <c r="AA294" s="1571"/>
      <c r="AB294" s="1571"/>
      <c r="AC294" s="1571"/>
      <c r="AD294" s="1571"/>
      <c r="AE294" s="1571"/>
      <c r="AF294" s="1571"/>
      <c r="AG294" s="1571"/>
      <c r="AH294" s="1571"/>
      <c r="AI294" s="1571"/>
      <c r="AJ294" s="1571"/>
      <c r="AK294" s="1569"/>
      <c r="AL294" s="1571"/>
      <c r="AM294" s="1571"/>
      <c r="AN294" s="1571"/>
      <c r="AO294" s="1571"/>
      <c r="AP294" s="1571"/>
      <c r="AQ294" s="1571"/>
      <c r="AR294" s="1571"/>
      <c r="AS294" s="1571"/>
      <c r="AT294" s="1571"/>
      <c r="AU294" s="1571"/>
      <c r="AV294" s="1571"/>
      <c r="AW294" s="1571"/>
      <c r="AX294" s="1571"/>
      <c r="AY294" s="1571"/>
      <c r="AZ294" s="1571"/>
      <c r="BA294" s="1571"/>
      <c r="BB294" s="1571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297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1"/>
      <c r="U295" s="1571"/>
      <c r="V295" s="1571"/>
      <c r="W295" s="1571"/>
      <c r="X295" s="1571"/>
      <c r="Y295" s="1571"/>
      <c r="Z295" s="1571"/>
      <c r="AA295" s="1571"/>
      <c r="AB295" s="1571"/>
      <c r="AC295" s="1571"/>
      <c r="AD295" s="1571"/>
      <c r="AE295" s="1571"/>
      <c r="AF295" s="1571"/>
      <c r="AG295" s="1571"/>
      <c r="AH295" s="1571"/>
      <c r="AI295" s="1571"/>
      <c r="AJ295" s="1571"/>
      <c r="AK295" s="1569"/>
      <c r="AL295" s="1571"/>
      <c r="AM295" s="1571"/>
      <c r="AN295" s="1571"/>
      <c r="AO295" s="1571"/>
      <c r="AP295" s="1571"/>
      <c r="AQ295" s="1571"/>
      <c r="AR295" s="1571"/>
      <c r="AS295" s="1571"/>
      <c r="AT295" s="1571"/>
      <c r="AU295" s="1571"/>
      <c r="AV295" s="1571"/>
      <c r="AW295" s="1571"/>
      <c r="AX295" s="1571"/>
      <c r="AY295" s="1571"/>
      <c r="AZ295" s="1571"/>
      <c r="BA295" s="1571"/>
      <c r="BB295" s="1571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298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2"/>
      <c r="U296" s="1572"/>
      <c r="V296" s="1572"/>
      <c r="W296" s="1572"/>
      <c r="X296" s="1572"/>
      <c r="Y296" s="1572"/>
      <c r="Z296" s="1572"/>
      <c r="AA296" s="1572"/>
      <c r="AB296" s="1572"/>
      <c r="AC296" s="1572"/>
      <c r="AD296" s="1572"/>
      <c r="AE296" s="1572"/>
      <c r="AF296" s="1572"/>
      <c r="AG296" s="1572"/>
      <c r="AH296" s="1572"/>
      <c r="AI296" s="1572"/>
      <c r="AJ296" s="1572"/>
      <c r="AK296" s="1569"/>
      <c r="AL296" s="1572"/>
      <c r="AM296" s="1572"/>
      <c r="AN296" s="1572"/>
      <c r="AO296" s="1572"/>
      <c r="AP296" s="1572"/>
      <c r="AQ296" s="1572"/>
      <c r="AR296" s="1572"/>
      <c r="AS296" s="1572"/>
      <c r="AT296" s="1572"/>
      <c r="AU296" s="1572"/>
      <c r="AV296" s="1572"/>
      <c r="AW296" s="1572"/>
      <c r="AX296" s="1572"/>
      <c r="AY296" s="1572"/>
      <c r="AZ296" s="1572"/>
      <c r="BA296" s="1572"/>
      <c r="BB296" s="1572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283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2"/>
      <c r="U297" s="1572"/>
      <c r="V297" s="1572"/>
      <c r="W297" s="1572"/>
      <c r="X297" s="1572"/>
      <c r="Y297" s="1572"/>
      <c r="Z297" s="1572"/>
      <c r="AA297" s="1572"/>
      <c r="AB297" s="1572"/>
      <c r="AC297" s="1572"/>
      <c r="AD297" s="1572"/>
      <c r="AE297" s="1572"/>
      <c r="AF297" s="1572"/>
      <c r="AG297" s="1572"/>
      <c r="AH297" s="1572"/>
      <c r="AI297" s="1572"/>
      <c r="AJ297" s="1572"/>
      <c r="AK297" s="1569"/>
      <c r="AL297" s="1572"/>
      <c r="AM297" s="1572"/>
      <c r="AN297" s="1572"/>
      <c r="AO297" s="1572"/>
      <c r="AP297" s="1572"/>
      <c r="AQ297" s="1572"/>
      <c r="AR297" s="1572"/>
      <c r="AS297" s="1572"/>
      <c r="AT297" s="1572"/>
      <c r="AU297" s="1572"/>
      <c r="AV297" s="1572"/>
      <c r="AW297" s="1572"/>
      <c r="AX297" s="1572"/>
      <c r="AY297" s="1572"/>
      <c r="AZ297" s="1572"/>
      <c r="BA297" s="1572"/>
      <c r="BB297" s="1572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314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2"/>
      <c r="U298" s="1572"/>
      <c r="V298" s="1572"/>
      <c r="W298" s="1572"/>
      <c r="X298" s="1572"/>
      <c r="Y298" s="1572"/>
      <c r="Z298" s="1572"/>
      <c r="AA298" s="1572"/>
      <c r="AB298" s="1572"/>
      <c r="AC298" s="1572"/>
      <c r="AD298" s="1572"/>
      <c r="AE298" s="1572"/>
      <c r="AF298" s="1572"/>
      <c r="AG298" s="1572"/>
      <c r="AH298" s="1572"/>
      <c r="AI298" s="1572"/>
      <c r="AJ298" s="1572"/>
      <c r="AK298" s="1569"/>
      <c r="AL298" s="1572"/>
      <c r="AM298" s="1572"/>
      <c r="AN298" s="1572"/>
      <c r="AO298" s="1572"/>
      <c r="AP298" s="1572"/>
      <c r="AQ298" s="1572"/>
      <c r="AR298" s="1572"/>
      <c r="AS298" s="1572"/>
      <c r="AT298" s="1572"/>
      <c r="AU298" s="1572"/>
      <c r="AV298" s="1572"/>
      <c r="AW298" s="1572"/>
      <c r="AX298" s="1572"/>
      <c r="AY298" s="1572"/>
      <c r="AZ298" s="1572"/>
      <c r="BA298" s="1572"/>
      <c r="BB298" s="1572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315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3" t="str">
        <f t="shared" ref="T299:AJ299" si="521">IF(T296="","",T295*T296*T297*T298)</f>
        <v/>
      </c>
      <c r="U299" s="1573" t="str">
        <f t="shared" si="521"/>
        <v/>
      </c>
      <c r="V299" s="1573" t="str">
        <f t="shared" si="521"/>
        <v/>
      </c>
      <c r="W299" s="1573" t="str">
        <f t="shared" si="521"/>
        <v/>
      </c>
      <c r="X299" s="1573" t="str">
        <f t="shared" si="521"/>
        <v/>
      </c>
      <c r="Y299" s="1573" t="str">
        <f t="shared" si="521"/>
        <v/>
      </c>
      <c r="Z299" s="1573" t="str">
        <f t="shared" si="521"/>
        <v/>
      </c>
      <c r="AA299" s="1573" t="str">
        <f t="shared" si="521"/>
        <v/>
      </c>
      <c r="AB299" s="1573" t="str">
        <f t="shared" si="521"/>
        <v/>
      </c>
      <c r="AC299" s="1573" t="str">
        <f t="shared" si="521"/>
        <v/>
      </c>
      <c r="AD299" s="1573" t="str">
        <f t="shared" si="521"/>
        <v/>
      </c>
      <c r="AE299" s="1573" t="str">
        <f t="shared" si="521"/>
        <v/>
      </c>
      <c r="AF299" s="1573" t="str">
        <f t="shared" si="521"/>
        <v/>
      </c>
      <c r="AG299" s="1573" t="str">
        <f t="shared" si="521"/>
        <v/>
      </c>
      <c r="AH299" s="1573" t="str">
        <f t="shared" si="521"/>
        <v/>
      </c>
      <c r="AI299" s="1573" t="str">
        <f t="shared" si="521"/>
        <v/>
      </c>
      <c r="AJ299" s="1573" t="str">
        <f t="shared" si="521"/>
        <v/>
      </c>
      <c r="AK299" s="1569"/>
      <c r="AL299" s="1573" t="str">
        <f t="shared" ref="AL299:BB299" si="522">IF(AL296="","",AL295*AL296*AL297*AL298)</f>
        <v/>
      </c>
      <c r="AM299" s="1573" t="str">
        <f t="shared" si="522"/>
        <v/>
      </c>
      <c r="AN299" s="1573" t="str">
        <f t="shared" si="522"/>
        <v/>
      </c>
      <c r="AO299" s="1573" t="str">
        <f t="shared" si="522"/>
        <v/>
      </c>
      <c r="AP299" s="1573" t="str">
        <f t="shared" si="522"/>
        <v/>
      </c>
      <c r="AQ299" s="1573" t="str">
        <f t="shared" si="522"/>
        <v/>
      </c>
      <c r="AR299" s="1573" t="str">
        <f t="shared" si="522"/>
        <v/>
      </c>
      <c r="AS299" s="1573" t="str">
        <f t="shared" si="522"/>
        <v/>
      </c>
      <c r="AT299" s="1573" t="str">
        <f t="shared" si="522"/>
        <v/>
      </c>
      <c r="AU299" s="1573" t="str">
        <f t="shared" si="522"/>
        <v/>
      </c>
      <c r="AV299" s="1573" t="str">
        <f t="shared" si="522"/>
        <v/>
      </c>
      <c r="AW299" s="1573" t="str">
        <f t="shared" si="522"/>
        <v/>
      </c>
      <c r="AX299" s="1573" t="str">
        <f t="shared" si="522"/>
        <v/>
      </c>
      <c r="AY299" s="1573" t="str">
        <f t="shared" si="522"/>
        <v/>
      </c>
      <c r="AZ299" s="1573" t="str">
        <f t="shared" si="522"/>
        <v/>
      </c>
      <c r="BA299" s="1573" t="str">
        <f t="shared" si="522"/>
        <v/>
      </c>
      <c r="BB299" s="1573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478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74">
        <f t="shared" ref="T300:AJ300" si="525">SUM(T257,T263,T269,T275,T281,T287,T293,T299)</f>
        <v>7680</v>
      </c>
      <c r="U300" s="1574">
        <f t="shared" si="525"/>
        <v>7680</v>
      </c>
      <c r="V300" s="1574">
        <f t="shared" si="525"/>
        <v>11520</v>
      </c>
      <c r="W300" s="1574">
        <f t="shared" si="525"/>
        <v>26040</v>
      </c>
      <c r="X300" s="1574">
        <f t="shared" si="525"/>
        <v>26040</v>
      </c>
      <c r="Y300" s="1574">
        <f t="shared" si="525"/>
        <v>32652</v>
      </c>
      <c r="Z300" s="1574">
        <f t="shared" si="525"/>
        <v>36000</v>
      </c>
      <c r="AA300" s="1574">
        <f t="shared" si="525"/>
        <v>26040</v>
      </c>
      <c r="AB300" s="1574">
        <f t="shared" si="525"/>
        <v>29760</v>
      </c>
      <c r="AC300" s="1574">
        <f t="shared" si="525"/>
        <v>37080</v>
      </c>
      <c r="AD300" s="1574">
        <f t="shared" si="525"/>
        <v>0</v>
      </c>
      <c r="AE300" s="1574">
        <f t="shared" si="525"/>
        <v>0</v>
      </c>
      <c r="AF300" s="1574">
        <f t="shared" si="525"/>
        <v>0</v>
      </c>
      <c r="AG300" s="1574">
        <f t="shared" si="525"/>
        <v>0</v>
      </c>
      <c r="AH300" s="1574">
        <f t="shared" si="525"/>
        <v>0</v>
      </c>
      <c r="AI300" s="1574">
        <f t="shared" si="525"/>
        <v>0</v>
      </c>
      <c r="AJ300" s="1574">
        <f t="shared" si="525"/>
        <v>0</v>
      </c>
      <c r="AK300" s="1575"/>
      <c r="AL300" s="1574">
        <f t="shared" ref="AL300:BB300" si="526">SUM(AL257,AL263,AL269,AL275,AL281,AL287,AL293,AL299)</f>
        <v>26640</v>
      </c>
      <c r="AM300" s="1574">
        <f t="shared" si="526"/>
        <v>32520</v>
      </c>
      <c r="AN300" s="1574">
        <f t="shared" si="526"/>
        <v>28680</v>
      </c>
      <c r="AO300" s="1574">
        <f t="shared" si="526"/>
        <v>35040</v>
      </c>
      <c r="AP300" s="1574">
        <f t="shared" si="526"/>
        <v>35880</v>
      </c>
      <c r="AQ300" s="1574">
        <f t="shared" si="526"/>
        <v>29760</v>
      </c>
      <c r="AR300" s="1574">
        <f t="shared" si="526"/>
        <v>36720</v>
      </c>
      <c r="AS300" s="1574">
        <f t="shared" si="526"/>
        <v>36840</v>
      </c>
      <c r="AT300" s="1574">
        <f t="shared" si="526"/>
        <v>18360</v>
      </c>
      <c r="AU300" s="1574">
        <f t="shared" si="526"/>
        <v>23400</v>
      </c>
      <c r="AV300" s="1574">
        <f t="shared" si="526"/>
        <v>0</v>
      </c>
      <c r="AW300" s="1574">
        <f t="shared" si="526"/>
        <v>0</v>
      </c>
      <c r="AX300" s="1574">
        <f t="shared" si="526"/>
        <v>0</v>
      </c>
      <c r="AY300" s="1574">
        <f t="shared" si="526"/>
        <v>0</v>
      </c>
      <c r="AZ300" s="1574">
        <f t="shared" si="526"/>
        <v>0</v>
      </c>
      <c r="BA300" s="1574">
        <f t="shared" si="526"/>
        <v>0</v>
      </c>
      <c r="BB300" s="1574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68"/>
      <c r="U301" s="1568"/>
      <c r="V301" s="1568"/>
      <c r="W301" s="1568"/>
      <c r="X301" s="1568"/>
      <c r="Y301" s="1568"/>
      <c r="Z301" s="1568"/>
      <c r="AA301" s="1568"/>
      <c r="AB301" s="1568"/>
      <c r="AC301" s="1568"/>
      <c r="AD301" s="1568"/>
      <c r="AE301" s="1568"/>
      <c r="AF301" s="1568"/>
      <c r="AG301" s="1568"/>
      <c r="AH301" s="1568"/>
      <c r="AI301" s="1568"/>
      <c r="AJ301" s="1568"/>
      <c r="AK301" s="1569"/>
      <c r="AL301" s="1568"/>
      <c r="AM301" s="1568"/>
      <c r="AN301" s="1568"/>
      <c r="AO301" s="1568"/>
      <c r="AP301" s="1568"/>
      <c r="AQ301" s="1568"/>
      <c r="AR301" s="1568"/>
      <c r="AS301" s="1568"/>
      <c r="AT301" s="1568"/>
      <c r="AU301" s="1568"/>
      <c r="AV301" s="1568"/>
      <c r="AW301" s="1568"/>
      <c r="AX301" s="1568"/>
      <c r="AY301" s="1568"/>
      <c r="AZ301" s="1568"/>
      <c r="BA301" s="1568"/>
      <c r="BB301" s="1568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479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0"/>
      <c r="U302" s="1570"/>
      <c r="V302" s="1570"/>
      <c r="W302" s="1570"/>
      <c r="X302" s="1570"/>
      <c r="Y302" s="1570"/>
      <c r="Z302" s="1570"/>
      <c r="AA302" s="1570"/>
      <c r="AB302" s="1570"/>
      <c r="AC302" s="1570"/>
      <c r="AD302" s="1570"/>
      <c r="AE302" s="1570"/>
      <c r="AF302" s="1570"/>
      <c r="AG302" s="1570"/>
      <c r="AH302" s="1570"/>
      <c r="AI302" s="1570"/>
      <c r="AJ302" s="1570"/>
      <c r="AK302" s="1569"/>
      <c r="AL302" s="1570"/>
      <c r="AM302" s="1570"/>
      <c r="AN302" s="1570"/>
      <c r="AO302" s="1570"/>
      <c r="AP302" s="1570"/>
      <c r="AQ302" s="1570"/>
      <c r="AR302" s="1570"/>
      <c r="AS302" s="1570"/>
      <c r="AT302" s="1570"/>
      <c r="AU302" s="1570"/>
      <c r="AV302" s="1570"/>
      <c r="AW302" s="1570"/>
      <c r="AX302" s="1570"/>
      <c r="AY302" s="1570"/>
      <c r="AZ302" s="1570"/>
      <c r="BA302" s="1570"/>
      <c r="BB302" s="15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480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1"/>
      <c r="U303" s="1571"/>
      <c r="V303" s="1571"/>
      <c r="W303" s="1571"/>
      <c r="X303" s="1571"/>
      <c r="Y303" s="1571"/>
      <c r="Z303" s="1571"/>
      <c r="AA303" s="1571"/>
      <c r="AB303" s="1571"/>
      <c r="AC303" s="1571"/>
      <c r="AD303" s="1571"/>
      <c r="AE303" s="1571"/>
      <c r="AF303" s="1571"/>
      <c r="AG303" s="1571"/>
      <c r="AH303" s="1571"/>
      <c r="AI303" s="1571"/>
      <c r="AJ303" s="1571"/>
      <c r="AK303" s="1569"/>
      <c r="AL303" s="1571"/>
      <c r="AM303" s="1571"/>
      <c r="AN303" s="1571"/>
      <c r="AO303" s="1571"/>
      <c r="AP303" s="1571"/>
      <c r="AQ303" s="1571"/>
      <c r="AR303" s="1571"/>
      <c r="AS303" s="1571"/>
      <c r="AT303" s="1571"/>
      <c r="AU303" s="1571"/>
      <c r="AV303" s="1571"/>
      <c r="AW303" s="1571"/>
      <c r="AX303" s="1571"/>
      <c r="AY303" s="1571"/>
      <c r="AZ303" s="1571"/>
      <c r="BA303" s="1571"/>
      <c r="BB303" s="1571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297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1"/>
      <c r="U304" s="1571"/>
      <c r="V304" s="1571">
        <v>1</v>
      </c>
      <c r="W304" s="1571"/>
      <c r="X304" s="1571"/>
      <c r="Y304" s="1571"/>
      <c r="Z304" s="1571"/>
      <c r="AA304" s="1571"/>
      <c r="AB304" s="1571"/>
      <c r="AC304" s="1571"/>
      <c r="AD304" s="1571"/>
      <c r="AE304" s="1571"/>
      <c r="AF304" s="1572"/>
      <c r="AG304" s="1572"/>
      <c r="AH304" s="1572"/>
      <c r="AI304" s="1572"/>
      <c r="AJ304" s="1572"/>
      <c r="AK304" s="1569"/>
      <c r="AL304" s="1571"/>
      <c r="AM304" s="1571"/>
      <c r="AN304" s="1571"/>
      <c r="AO304" s="1571"/>
      <c r="AP304" s="1571"/>
      <c r="AQ304" s="1571">
        <v>1</v>
      </c>
      <c r="AR304" s="1571"/>
      <c r="AS304" s="1571"/>
      <c r="AT304" s="1571"/>
      <c r="AU304" s="1571"/>
      <c r="AV304" s="1571"/>
      <c r="AW304" s="1571"/>
      <c r="AX304" s="1571"/>
      <c r="AY304" s="1572"/>
      <c r="AZ304" s="1571"/>
      <c r="BA304" s="1572"/>
      <c r="BB304" s="1572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298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2"/>
      <c r="U305" s="1572"/>
      <c r="V305" s="1572">
        <v>8</v>
      </c>
      <c r="W305" s="1572"/>
      <c r="X305" s="1572"/>
      <c r="Y305" s="1572"/>
      <c r="Z305" s="1572"/>
      <c r="AA305" s="1572"/>
      <c r="AB305" s="1572"/>
      <c r="AC305" s="1572"/>
      <c r="AD305" s="1572"/>
      <c r="AE305" s="1572"/>
      <c r="AF305" s="1572"/>
      <c r="AG305" s="1572"/>
      <c r="AH305" s="1572"/>
      <c r="AI305" s="1572"/>
      <c r="AJ305" s="1572"/>
      <c r="AK305" s="1569"/>
      <c r="AL305" s="1572"/>
      <c r="AM305" s="1572"/>
      <c r="AN305" s="1572"/>
      <c r="AO305" s="1572"/>
      <c r="AP305" s="1572"/>
      <c r="AQ305" s="1572">
        <v>8</v>
      </c>
      <c r="AR305" s="1572"/>
      <c r="AS305" s="1572"/>
      <c r="AT305" s="1572"/>
      <c r="AU305" s="1572"/>
      <c r="AV305" s="1572"/>
      <c r="AW305" s="1572"/>
      <c r="AX305" s="1572"/>
      <c r="AY305" s="1572"/>
      <c r="AZ305" s="1572"/>
      <c r="BA305" s="1572"/>
      <c r="BB305" s="1572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283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2"/>
      <c r="U306" s="1572"/>
      <c r="V306" s="1572">
        <v>12</v>
      </c>
      <c r="W306" s="1572"/>
      <c r="X306" s="1572"/>
      <c r="Y306" s="1572"/>
      <c r="Z306" s="1572"/>
      <c r="AA306" s="1572"/>
      <c r="AB306" s="1572"/>
      <c r="AC306" s="1572"/>
      <c r="AD306" s="1572"/>
      <c r="AE306" s="1572"/>
      <c r="AF306" s="1572"/>
      <c r="AG306" s="1572"/>
      <c r="AH306" s="1572"/>
      <c r="AI306" s="1572"/>
      <c r="AJ306" s="1572"/>
      <c r="AK306" s="1569"/>
      <c r="AL306" s="1572"/>
      <c r="AM306" s="1572"/>
      <c r="AN306" s="1572"/>
      <c r="AO306" s="1572"/>
      <c r="AP306" s="1572"/>
      <c r="AQ306" s="1572">
        <v>12</v>
      </c>
      <c r="AR306" s="1572"/>
      <c r="AS306" s="1572"/>
      <c r="AT306" s="1572"/>
      <c r="AU306" s="1572"/>
      <c r="AV306" s="1572"/>
      <c r="AW306" s="1572"/>
      <c r="AX306" s="1572"/>
      <c r="AY306" s="1572"/>
      <c r="AZ306" s="1572"/>
      <c r="BA306" s="1572"/>
      <c r="BB306" s="1572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314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2"/>
      <c r="U307" s="1572"/>
      <c r="V307" s="1572">
        <f>600/8</f>
        <v>75</v>
      </c>
      <c r="W307" s="1572"/>
      <c r="X307" s="1572"/>
      <c r="Y307" s="1572"/>
      <c r="Z307" s="1572"/>
      <c r="AA307" s="1572"/>
      <c r="AB307" s="1572"/>
      <c r="AC307" s="1572"/>
      <c r="AD307" s="1572"/>
      <c r="AE307" s="1572"/>
      <c r="AF307" s="1572"/>
      <c r="AG307" s="1572"/>
      <c r="AH307" s="1572"/>
      <c r="AI307" s="1572"/>
      <c r="AJ307" s="1572"/>
      <c r="AK307" s="1569"/>
      <c r="AL307" s="1572"/>
      <c r="AM307" s="1572"/>
      <c r="AN307" s="1572"/>
      <c r="AO307" s="1572"/>
      <c r="AP307" s="1572"/>
      <c r="AQ307" s="1572">
        <f>600/(8*12)</f>
        <v>6.25</v>
      </c>
      <c r="AR307" s="1572"/>
      <c r="AS307" s="1572"/>
      <c r="AT307" s="1572"/>
      <c r="AU307" s="1572"/>
      <c r="AV307" s="1572"/>
      <c r="AW307" s="1572"/>
      <c r="AX307" s="1572"/>
      <c r="AY307" s="1572"/>
      <c r="AZ307" s="1572"/>
      <c r="BA307" s="1572"/>
      <c r="BB307" s="1572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315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3" t="str">
        <f t="shared" ref="T308:AJ308" si="533">IF(T305="","",T304*T305*T306*T307)</f>
        <v/>
      </c>
      <c r="U308" s="1573" t="str">
        <f t="shared" si="533"/>
        <v/>
      </c>
      <c r="V308" s="1573">
        <f t="shared" si="533"/>
        <v>7200</v>
      </c>
      <c r="W308" s="1573" t="str">
        <f t="shared" si="533"/>
        <v/>
      </c>
      <c r="X308" s="1573" t="str">
        <f t="shared" si="533"/>
        <v/>
      </c>
      <c r="Y308" s="1573" t="str">
        <f t="shared" si="533"/>
        <v/>
      </c>
      <c r="Z308" s="1573" t="str">
        <f t="shared" si="533"/>
        <v/>
      </c>
      <c r="AA308" s="1573" t="str">
        <f t="shared" si="533"/>
        <v/>
      </c>
      <c r="AB308" s="1573" t="str">
        <f t="shared" si="533"/>
        <v/>
      </c>
      <c r="AC308" s="1573" t="str">
        <f t="shared" si="533"/>
        <v/>
      </c>
      <c r="AD308" s="1573" t="str">
        <f t="shared" si="533"/>
        <v/>
      </c>
      <c r="AE308" s="1573" t="str">
        <f t="shared" si="533"/>
        <v/>
      </c>
      <c r="AF308" s="1573" t="str">
        <f t="shared" si="533"/>
        <v/>
      </c>
      <c r="AG308" s="1573" t="str">
        <f t="shared" si="533"/>
        <v/>
      </c>
      <c r="AH308" s="1573" t="str">
        <f t="shared" si="533"/>
        <v/>
      </c>
      <c r="AI308" s="1573" t="str">
        <f t="shared" si="533"/>
        <v/>
      </c>
      <c r="AJ308" s="1573" t="str">
        <f t="shared" si="533"/>
        <v/>
      </c>
      <c r="AK308" s="1569"/>
      <c r="AL308" s="1573" t="str">
        <f t="shared" ref="AL308:BB308" si="534">IF(AL305="","",AL304*AL305*AL306*AL307)</f>
        <v/>
      </c>
      <c r="AM308" s="1573" t="str">
        <f t="shared" si="534"/>
        <v/>
      </c>
      <c r="AN308" s="1573" t="str">
        <f t="shared" si="534"/>
        <v/>
      </c>
      <c r="AO308" s="1573" t="str">
        <f t="shared" si="534"/>
        <v/>
      </c>
      <c r="AP308" s="1573" t="str">
        <f t="shared" si="534"/>
        <v/>
      </c>
      <c r="AQ308" s="1573">
        <f t="shared" si="534"/>
        <v>600</v>
      </c>
      <c r="AR308" s="1573" t="str">
        <f t="shared" si="534"/>
        <v/>
      </c>
      <c r="AS308" s="1573" t="str">
        <f t="shared" si="534"/>
        <v/>
      </c>
      <c r="AT308" s="1573" t="str">
        <f t="shared" si="534"/>
        <v/>
      </c>
      <c r="AU308" s="1573" t="str">
        <f t="shared" si="534"/>
        <v/>
      </c>
      <c r="AV308" s="1573" t="str">
        <f t="shared" si="534"/>
        <v/>
      </c>
      <c r="AW308" s="1573" t="str">
        <f t="shared" si="534"/>
        <v/>
      </c>
      <c r="AX308" s="1573" t="str">
        <f t="shared" si="534"/>
        <v/>
      </c>
      <c r="AY308" s="1573" t="str">
        <f t="shared" si="534"/>
        <v/>
      </c>
      <c r="AZ308" s="1573" t="str">
        <f t="shared" si="534"/>
        <v/>
      </c>
      <c r="BA308" s="1573" t="str">
        <f t="shared" si="534"/>
        <v/>
      </c>
      <c r="BB308" s="1573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481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1"/>
      <c r="U309" s="1571"/>
      <c r="V309" s="1571"/>
      <c r="W309" s="1571"/>
      <c r="X309" s="1571"/>
      <c r="Y309" s="1571"/>
      <c r="Z309" s="1571"/>
      <c r="AA309" s="1571"/>
      <c r="AB309" s="1571"/>
      <c r="AC309" s="1571"/>
      <c r="AD309" s="1571"/>
      <c r="AE309" s="1571"/>
      <c r="AF309" s="1571"/>
      <c r="AG309" s="1571"/>
      <c r="AH309" s="1571"/>
      <c r="AI309" s="1571"/>
      <c r="AJ309" s="1571"/>
      <c r="AK309" s="1569"/>
      <c r="AL309" s="1571"/>
      <c r="AM309" s="1571"/>
      <c r="AN309" s="1571"/>
      <c r="AO309" s="1571"/>
      <c r="AP309" s="1571"/>
      <c r="AQ309" s="1571"/>
      <c r="AR309" s="1571"/>
      <c r="AS309" s="1571"/>
      <c r="AT309" s="1571"/>
      <c r="AU309" s="1571"/>
      <c r="AV309" s="1571"/>
      <c r="AW309" s="1571"/>
      <c r="AX309" s="1571"/>
      <c r="AY309" s="1571"/>
      <c r="AZ309" s="1571"/>
      <c r="BA309" s="1571"/>
      <c r="BB309" s="1571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297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1"/>
      <c r="U310" s="1571"/>
      <c r="V310" s="1571"/>
      <c r="W310" s="1571"/>
      <c r="X310" s="1571"/>
      <c r="Y310" s="1571"/>
      <c r="Z310" s="1571"/>
      <c r="AA310" s="1571"/>
      <c r="AB310" s="1571"/>
      <c r="AC310" s="1571"/>
      <c r="AD310" s="1571"/>
      <c r="AE310" s="1571"/>
      <c r="AF310" s="1571"/>
      <c r="AG310" s="1571"/>
      <c r="AH310" s="1571"/>
      <c r="AI310" s="1571"/>
      <c r="AJ310" s="1571"/>
      <c r="AK310" s="1569"/>
      <c r="AL310" s="1571"/>
      <c r="AM310" s="1571"/>
      <c r="AN310" s="1571"/>
      <c r="AO310" s="1571"/>
      <c r="AP310" s="1571"/>
      <c r="AQ310" s="1571">
        <v>1</v>
      </c>
      <c r="AR310" s="1571"/>
      <c r="AS310" s="1571"/>
      <c r="AT310" s="1571"/>
      <c r="AU310" s="1571"/>
      <c r="AV310" s="1571"/>
      <c r="AW310" s="1571"/>
      <c r="AX310" s="1571"/>
      <c r="AY310" s="1571"/>
      <c r="AZ310" s="1571"/>
      <c r="BA310" s="1571"/>
      <c r="BB310" s="1571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298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2"/>
      <c r="U311" s="1572"/>
      <c r="V311" s="1572"/>
      <c r="W311" s="1572"/>
      <c r="X311" s="1572"/>
      <c r="Y311" s="1572"/>
      <c r="Z311" s="1572"/>
      <c r="AA311" s="1572"/>
      <c r="AB311" s="1572"/>
      <c r="AC311" s="1572"/>
      <c r="AD311" s="1572"/>
      <c r="AE311" s="1572"/>
      <c r="AF311" s="1572"/>
      <c r="AG311" s="1572"/>
      <c r="AH311" s="1572"/>
      <c r="AI311" s="1572"/>
      <c r="AJ311" s="1572"/>
      <c r="AK311" s="1569"/>
      <c r="AL311" s="1572"/>
      <c r="AM311" s="1572"/>
      <c r="AN311" s="1572"/>
      <c r="AO311" s="1572"/>
      <c r="AP311" s="1572"/>
      <c r="AQ311" s="1572">
        <v>22</v>
      </c>
      <c r="AR311" s="1572"/>
      <c r="AS311" s="1572"/>
      <c r="AT311" s="1572"/>
      <c r="AU311" s="1572"/>
      <c r="AV311" s="1572"/>
      <c r="AW311" s="1572"/>
      <c r="AX311" s="1572"/>
      <c r="AY311" s="1572"/>
      <c r="AZ311" s="1572"/>
      <c r="BA311" s="1572"/>
      <c r="BB311" s="1572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283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2"/>
      <c r="U312" s="1572"/>
      <c r="V312" s="1572"/>
      <c r="W312" s="1572"/>
      <c r="X312" s="1572"/>
      <c r="Y312" s="1572"/>
      <c r="Z312" s="1572"/>
      <c r="AA312" s="1572"/>
      <c r="AB312" s="1572"/>
      <c r="AC312" s="1572"/>
      <c r="AD312" s="1572"/>
      <c r="AE312" s="1572"/>
      <c r="AF312" s="1572"/>
      <c r="AG312" s="1572"/>
      <c r="AH312" s="1572"/>
      <c r="AI312" s="1572"/>
      <c r="AJ312" s="1572"/>
      <c r="AK312" s="1569"/>
      <c r="AL312" s="1572"/>
      <c r="AM312" s="1572"/>
      <c r="AN312" s="1572"/>
      <c r="AO312" s="1572"/>
      <c r="AP312" s="1572"/>
      <c r="AQ312" s="1572">
        <v>12</v>
      </c>
      <c r="AR312" s="1572"/>
      <c r="AS312" s="1572"/>
      <c r="AT312" s="1572"/>
      <c r="AU312" s="1572"/>
      <c r="AV312" s="1572"/>
      <c r="AW312" s="1572"/>
      <c r="AX312" s="1572"/>
      <c r="AY312" s="1572"/>
      <c r="AZ312" s="1572"/>
      <c r="BA312" s="1572"/>
      <c r="BB312" s="1572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314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2"/>
      <c r="U313" s="1572"/>
      <c r="V313" s="1572"/>
      <c r="W313" s="1572"/>
      <c r="X313" s="1572"/>
      <c r="Y313" s="1572"/>
      <c r="Z313" s="1572"/>
      <c r="AA313" s="1572"/>
      <c r="AB313" s="1572"/>
      <c r="AC313" s="1572"/>
      <c r="AD313" s="1572"/>
      <c r="AE313" s="1572"/>
      <c r="AF313" s="1572"/>
      <c r="AG313" s="1572"/>
      <c r="AH313" s="1572"/>
      <c r="AI313" s="1572"/>
      <c r="AJ313" s="1572"/>
      <c r="AK313" s="1569"/>
      <c r="AL313" s="1572"/>
      <c r="AM313" s="1572"/>
      <c r="AN313" s="1572"/>
      <c r="AO313" s="1572"/>
      <c r="AP313" s="1572"/>
      <c r="AQ313" s="1572">
        <v>6.8</v>
      </c>
      <c r="AR313" s="1572"/>
      <c r="AS313" s="1572"/>
      <c r="AT313" s="1572"/>
      <c r="AU313" s="1572"/>
      <c r="AV313" s="1572"/>
      <c r="AW313" s="1572"/>
      <c r="AX313" s="1572"/>
      <c r="AY313" s="1572"/>
      <c r="AZ313" s="1572"/>
      <c r="BA313" s="1572"/>
      <c r="BB313" s="1572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315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3" t="str">
        <f t="shared" ref="T314:AJ314" si="541">IF(T311="","",T310*T311*T312*T313)</f>
        <v/>
      </c>
      <c r="U314" s="1573" t="str">
        <f t="shared" si="541"/>
        <v/>
      </c>
      <c r="V314" s="1573" t="str">
        <f t="shared" si="541"/>
        <v/>
      </c>
      <c r="W314" s="1573" t="str">
        <f t="shared" si="541"/>
        <v/>
      </c>
      <c r="X314" s="1573" t="str">
        <f t="shared" si="541"/>
        <v/>
      </c>
      <c r="Y314" s="1573" t="str">
        <f t="shared" si="541"/>
        <v/>
      </c>
      <c r="Z314" s="1573" t="str">
        <f t="shared" si="541"/>
        <v/>
      </c>
      <c r="AA314" s="1573" t="str">
        <f t="shared" si="541"/>
        <v/>
      </c>
      <c r="AB314" s="1573" t="str">
        <f t="shared" si="541"/>
        <v/>
      </c>
      <c r="AC314" s="1573" t="str">
        <f t="shared" si="541"/>
        <v/>
      </c>
      <c r="AD314" s="1573" t="str">
        <f t="shared" si="541"/>
        <v/>
      </c>
      <c r="AE314" s="1573" t="str">
        <f t="shared" si="541"/>
        <v/>
      </c>
      <c r="AF314" s="1573" t="str">
        <f t="shared" si="541"/>
        <v/>
      </c>
      <c r="AG314" s="1573" t="str">
        <f t="shared" si="541"/>
        <v/>
      </c>
      <c r="AH314" s="1573" t="str">
        <f t="shared" si="541"/>
        <v/>
      </c>
      <c r="AI314" s="1573" t="str">
        <f t="shared" si="541"/>
        <v/>
      </c>
      <c r="AJ314" s="1573" t="str">
        <f t="shared" si="541"/>
        <v/>
      </c>
      <c r="AK314" s="1569"/>
      <c r="AL314" s="1573" t="str">
        <f t="shared" ref="AL314:BB314" si="542">IF(AL311="","",AL310*AL311*AL312*AL313)</f>
        <v/>
      </c>
      <c r="AM314" s="1573" t="str">
        <f t="shared" si="542"/>
        <v/>
      </c>
      <c r="AN314" s="1573" t="str">
        <f t="shared" si="542"/>
        <v/>
      </c>
      <c r="AO314" s="1573" t="str">
        <f t="shared" si="542"/>
        <v/>
      </c>
      <c r="AP314" s="1573" t="str">
        <f t="shared" si="542"/>
        <v/>
      </c>
      <c r="AQ314" s="1573">
        <f t="shared" si="542"/>
        <v>1795.2</v>
      </c>
      <c r="AR314" s="1573" t="str">
        <f t="shared" si="542"/>
        <v/>
      </c>
      <c r="AS314" s="1573" t="str">
        <f t="shared" si="542"/>
        <v/>
      </c>
      <c r="AT314" s="1573" t="str">
        <f t="shared" si="542"/>
        <v/>
      </c>
      <c r="AU314" s="1573" t="str">
        <f t="shared" si="542"/>
        <v/>
      </c>
      <c r="AV314" s="1573" t="str">
        <f t="shared" si="542"/>
        <v/>
      </c>
      <c r="AW314" s="1573" t="str">
        <f t="shared" si="542"/>
        <v/>
      </c>
      <c r="AX314" s="1573" t="str">
        <f t="shared" si="542"/>
        <v/>
      </c>
      <c r="AY314" s="1573" t="str">
        <f t="shared" si="542"/>
        <v/>
      </c>
      <c r="AZ314" s="1573" t="str">
        <f t="shared" si="542"/>
        <v/>
      </c>
      <c r="BA314" s="1573" t="str">
        <f t="shared" si="542"/>
        <v/>
      </c>
      <c r="BB314" s="1573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444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1"/>
      <c r="U315" s="1571"/>
      <c r="V315" s="1571"/>
      <c r="W315" s="1571"/>
      <c r="X315" s="1571"/>
      <c r="Y315" s="1571"/>
      <c r="Z315" s="1571"/>
      <c r="AA315" s="1571"/>
      <c r="AB315" s="1571"/>
      <c r="AC315" s="1571"/>
      <c r="AD315" s="1571"/>
      <c r="AE315" s="1571"/>
      <c r="AF315" s="1571"/>
      <c r="AG315" s="1571"/>
      <c r="AH315" s="1571"/>
      <c r="AI315" s="1571"/>
      <c r="AJ315" s="1571"/>
      <c r="AK315" s="1569"/>
      <c r="AL315" s="1571"/>
      <c r="AM315" s="1571"/>
      <c r="AN315" s="1571"/>
      <c r="AO315" s="1571"/>
      <c r="AP315" s="1571"/>
      <c r="AQ315" s="1571"/>
      <c r="AR315" s="1571"/>
      <c r="AS315" s="1571"/>
      <c r="AT315" s="1571"/>
      <c r="AU315" s="1571"/>
      <c r="AV315" s="1571"/>
      <c r="AW315" s="1571"/>
      <c r="AX315" s="1571"/>
      <c r="AY315" s="1571"/>
      <c r="AZ315" s="1571"/>
      <c r="BA315" s="1571"/>
      <c r="BB315" s="1571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297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1"/>
      <c r="U316" s="1571"/>
      <c r="V316" s="1571"/>
      <c r="W316" s="1571"/>
      <c r="X316" s="1571"/>
      <c r="Y316" s="1571"/>
      <c r="Z316" s="1571"/>
      <c r="AA316" s="1571"/>
      <c r="AB316" s="1571"/>
      <c r="AC316" s="1571"/>
      <c r="AD316" s="1571"/>
      <c r="AE316" s="1571"/>
      <c r="AF316" s="1571"/>
      <c r="AG316" s="1571"/>
      <c r="AH316" s="1571"/>
      <c r="AI316" s="1571"/>
      <c r="AJ316" s="1571"/>
      <c r="AK316" s="1569"/>
      <c r="AL316" s="1571"/>
      <c r="AM316" s="1571"/>
      <c r="AN316" s="1571"/>
      <c r="AO316" s="1571"/>
      <c r="AP316" s="1571"/>
      <c r="AQ316" s="1571">
        <v>1</v>
      </c>
      <c r="AR316" s="1571">
        <v>1</v>
      </c>
      <c r="AS316" s="1571"/>
      <c r="AT316" s="1571"/>
      <c r="AU316" s="1571"/>
      <c r="AV316" s="1571"/>
      <c r="AW316" s="1571"/>
      <c r="AX316" s="1571"/>
      <c r="AY316" s="1571"/>
      <c r="AZ316" s="1571"/>
      <c r="BA316" s="1571"/>
      <c r="BB316" s="1571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298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2"/>
      <c r="U317" s="1572"/>
      <c r="V317" s="1572"/>
      <c r="W317" s="1572"/>
      <c r="X317" s="1572"/>
      <c r="Y317" s="1572"/>
      <c r="Z317" s="1572"/>
      <c r="AA317" s="1572"/>
      <c r="AB317" s="1572"/>
      <c r="AC317" s="1572"/>
      <c r="AD317" s="1572"/>
      <c r="AE317" s="1572"/>
      <c r="AF317" s="1572"/>
      <c r="AG317" s="1572"/>
      <c r="AH317" s="1572"/>
      <c r="AI317" s="1572"/>
      <c r="AJ317" s="1572"/>
      <c r="AK317" s="1569"/>
      <c r="AL317" s="1572"/>
      <c r="AM317" s="1572"/>
      <c r="AN317" s="1572"/>
      <c r="AO317" s="1572"/>
      <c r="AP317" s="1572"/>
      <c r="AQ317" s="1572">
        <v>8</v>
      </c>
      <c r="AR317" s="1572">
        <v>1</v>
      </c>
      <c r="AS317" s="1572"/>
      <c r="AT317" s="1572"/>
      <c r="AU317" s="1572"/>
      <c r="AV317" s="1572"/>
      <c r="AW317" s="1572"/>
      <c r="AX317" s="1572"/>
      <c r="AY317" s="1572"/>
      <c r="AZ317" s="1572"/>
      <c r="BA317" s="1572"/>
      <c r="BB317" s="1572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283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2"/>
      <c r="U318" s="1572"/>
      <c r="V318" s="1572"/>
      <c r="W318" s="1572"/>
      <c r="X318" s="1572"/>
      <c r="Y318" s="1572"/>
      <c r="Z318" s="1572"/>
      <c r="AA318" s="1572"/>
      <c r="AB318" s="1572"/>
      <c r="AC318" s="1572"/>
      <c r="AD318" s="1572"/>
      <c r="AE318" s="1572"/>
      <c r="AF318" s="1572"/>
      <c r="AG318" s="1572"/>
      <c r="AH318" s="1572"/>
      <c r="AI318" s="1572"/>
      <c r="AJ318" s="1572"/>
      <c r="AK318" s="1569"/>
      <c r="AL318" s="1572"/>
      <c r="AM318" s="1572"/>
      <c r="AN318" s="1572"/>
      <c r="AO318" s="1572"/>
      <c r="AP318" s="1572"/>
      <c r="AQ318" s="1572">
        <v>12</v>
      </c>
      <c r="AR318" s="1572">
        <v>12</v>
      </c>
      <c r="AS318" s="1572"/>
      <c r="AT318" s="1572"/>
      <c r="AU318" s="1572"/>
      <c r="AV318" s="1572"/>
      <c r="AW318" s="1572"/>
      <c r="AX318" s="1572"/>
      <c r="AY318" s="1572"/>
      <c r="AZ318" s="1572"/>
      <c r="BA318" s="1572"/>
      <c r="BB318" s="1572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314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2"/>
      <c r="U319" s="1572"/>
      <c r="V319" s="1572"/>
      <c r="W319" s="1572"/>
      <c r="X319" s="1572"/>
      <c r="Y319" s="1572"/>
      <c r="Z319" s="1572"/>
      <c r="AA319" s="1572"/>
      <c r="AB319" s="1572"/>
      <c r="AC319" s="1572"/>
      <c r="AD319" s="1572"/>
      <c r="AE319" s="1572"/>
      <c r="AF319" s="1572"/>
      <c r="AG319" s="1572"/>
      <c r="AH319" s="1572"/>
      <c r="AI319" s="1572"/>
      <c r="AJ319" s="1572"/>
      <c r="AK319" s="1569"/>
      <c r="AL319" s="1572"/>
      <c r="AM319" s="1572"/>
      <c r="AN319" s="1572"/>
      <c r="AO319" s="1572"/>
      <c r="AP319" s="1572"/>
      <c r="AQ319" s="1572">
        <v>6</v>
      </c>
      <c r="AR319" s="1572">
        <v>500</v>
      </c>
      <c r="AS319" s="1572"/>
      <c r="AT319" s="1572"/>
      <c r="AU319" s="1572"/>
      <c r="AV319" s="1572"/>
      <c r="AW319" s="1572"/>
      <c r="AX319" s="1572"/>
      <c r="AY319" s="1572"/>
      <c r="AZ319" s="1572"/>
      <c r="BA319" s="1572"/>
      <c r="BB319" s="1572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315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3" t="str">
        <f t="shared" ref="T320:AJ320" si="549">IF(T317="","",T316*T317*T318*T319)</f>
        <v/>
      </c>
      <c r="U320" s="1573" t="str">
        <f t="shared" si="549"/>
        <v/>
      </c>
      <c r="V320" s="1573" t="str">
        <f t="shared" si="549"/>
        <v/>
      </c>
      <c r="W320" s="1573" t="str">
        <f t="shared" si="549"/>
        <v/>
      </c>
      <c r="X320" s="1573" t="str">
        <f t="shared" si="549"/>
        <v/>
      </c>
      <c r="Y320" s="1573" t="str">
        <f t="shared" si="549"/>
        <v/>
      </c>
      <c r="Z320" s="1573" t="str">
        <f t="shared" si="549"/>
        <v/>
      </c>
      <c r="AA320" s="1573" t="str">
        <f t="shared" si="549"/>
        <v/>
      </c>
      <c r="AB320" s="1573" t="str">
        <f t="shared" si="549"/>
        <v/>
      </c>
      <c r="AC320" s="1573" t="str">
        <f t="shared" si="549"/>
        <v/>
      </c>
      <c r="AD320" s="1573" t="str">
        <f t="shared" si="549"/>
        <v/>
      </c>
      <c r="AE320" s="1573" t="str">
        <f t="shared" si="549"/>
        <v/>
      </c>
      <c r="AF320" s="1573" t="str">
        <f t="shared" si="549"/>
        <v/>
      </c>
      <c r="AG320" s="1573" t="str">
        <f t="shared" si="549"/>
        <v/>
      </c>
      <c r="AH320" s="1573" t="str">
        <f t="shared" si="549"/>
        <v/>
      </c>
      <c r="AI320" s="1573" t="str">
        <f t="shared" si="549"/>
        <v/>
      </c>
      <c r="AJ320" s="1573" t="str">
        <f t="shared" si="549"/>
        <v/>
      </c>
      <c r="AK320" s="1569"/>
      <c r="AL320" s="1573" t="str">
        <f t="shared" ref="AL320:BB320" si="550">IF(AL317="","",AL316*AL317*AL318*AL319)</f>
        <v/>
      </c>
      <c r="AM320" s="1573" t="str">
        <f t="shared" si="550"/>
        <v/>
      </c>
      <c r="AN320" s="1573" t="str">
        <f t="shared" si="550"/>
        <v/>
      </c>
      <c r="AO320" s="1573" t="str">
        <f t="shared" si="550"/>
        <v/>
      </c>
      <c r="AP320" s="1573" t="str">
        <f t="shared" si="550"/>
        <v/>
      </c>
      <c r="AQ320" s="1573">
        <f t="shared" si="550"/>
        <v>576</v>
      </c>
      <c r="AR320" s="1573">
        <f t="shared" si="550"/>
        <v>6000</v>
      </c>
      <c r="AS320" s="1573" t="str">
        <f t="shared" si="550"/>
        <v/>
      </c>
      <c r="AT320" s="1573" t="str">
        <f t="shared" si="550"/>
        <v/>
      </c>
      <c r="AU320" s="1573" t="str">
        <f t="shared" si="550"/>
        <v/>
      </c>
      <c r="AV320" s="1573" t="str">
        <f t="shared" si="550"/>
        <v/>
      </c>
      <c r="AW320" s="1573" t="str">
        <f t="shared" si="550"/>
        <v/>
      </c>
      <c r="AX320" s="1573" t="str">
        <f t="shared" si="550"/>
        <v/>
      </c>
      <c r="AY320" s="1573" t="str">
        <f t="shared" si="550"/>
        <v/>
      </c>
      <c r="AZ320" s="1573" t="str">
        <f t="shared" si="550"/>
        <v/>
      </c>
      <c r="BA320" s="1573" t="str">
        <f t="shared" si="550"/>
        <v/>
      </c>
      <c r="BB320" s="1573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444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1"/>
      <c r="U321" s="1571"/>
      <c r="V321" s="1571"/>
      <c r="W321" s="1571"/>
      <c r="X321" s="1571"/>
      <c r="Y321" s="1571"/>
      <c r="Z321" s="1571"/>
      <c r="AA321" s="1571"/>
      <c r="AB321" s="1571"/>
      <c r="AC321" s="1571"/>
      <c r="AD321" s="1571"/>
      <c r="AE321" s="1571"/>
      <c r="AF321" s="1571"/>
      <c r="AG321" s="1571"/>
      <c r="AH321" s="1571"/>
      <c r="AI321" s="1571"/>
      <c r="AJ321" s="1571"/>
      <c r="AK321" s="1569"/>
      <c r="AL321" s="1571"/>
      <c r="AM321" s="1571"/>
      <c r="AN321" s="1571"/>
      <c r="AO321" s="1571"/>
      <c r="AP321" s="1571"/>
      <c r="AQ321" s="1571"/>
      <c r="AR321" s="1571"/>
      <c r="AS321" s="1571"/>
      <c r="AT321" s="1571"/>
      <c r="AU321" s="1571"/>
      <c r="AV321" s="1571"/>
      <c r="AW321" s="1571"/>
      <c r="AX321" s="1571"/>
      <c r="AY321" s="1571"/>
      <c r="AZ321" s="1571"/>
      <c r="BA321" s="1571"/>
      <c r="BB321" s="1571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297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1"/>
      <c r="U322" s="1571"/>
      <c r="V322" s="1571"/>
      <c r="W322" s="1571"/>
      <c r="X322" s="1571"/>
      <c r="Y322" s="1571"/>
      <c r="Z322" s="1571"/>
      <c r="AA322" s="1571"/>
      <c r="AB322" s="1571"/>
      <c r="AC322" s="1571"/>
      <c r="AD322" s="1571"/>
      <c r="AE322" s="1571"/>
      <c r="AF322" s="1571"/>
      <c r="AG322" s="1571"/>
      <c r="AH322" s="1571"/>
      <c r="AI322" s="1571"/>
      <c r="AJ322" s="1571"/>
      <c r="AK322" s="1569"/>
      <c r="AL322" s="1571"/>
      <c r="AM322" s="1571"/>
      <c r="AN322" s="1571"/>
      <c r="AO322" s="1571"/>
      <c r="AP322" s="1571"/>
      <c r="AQ322" s="1571"/>
      <c r="AR322" s="1571"/>
      <c r="AS322" s="1571"/>
      <c r="AT322" s="1571"/>
      <c r="AU322" s="1571"/>
      <c r="AV322" s="1571"/>
      <c r="AW322" s="1571"/>
      <c r="AX322" s="1571"/>
      <c r="AY322" s="1571"/>
      <c r="AZ322" s="1571"/>
      <c r="BA322" s="1571"/>
      <c r="BB322" s="1571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298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2"/>
      <c r="U323" s="1572"/>
      <c r="V323" s="1572"/>
      <c r="W323" s="1572"/>
      <c r="X323" s="1572"/>
      <c r="Y323" s="1572"/>
      <c r="Z323" s="1572"/>
      <c r="AA323" s="1572"/>
      <c r="AB323" s="1572"/>
      <c r="AC323" s="1572"/>
      <c r="AD323" s="1572"/>
      <c r="AE323" s="1572"/>
      <c r="AF323" s="1572"/>
      <c r="AG323" s="1572"/>
      <c r="AH323" s="1572"/>
      <c r="AI323" s="1572"/>
      <c r="AJ323" s="1572"/>
      <c r="AK323" s="1569"/>
      <c r="AL323" s="1572"/>
      <c r="AM323" s="1572"/>
      <c r="AN323" s="1572"/>
      <c r="AO323" s="1572"/>
      <c r="AP323" s="1572"/>
      <c r="AQ323" s="1572"/>
      <c r="AR323" s="1572"/>
      <c r="AS323" s="1572"/>
      <c r="AT323" s="1572"/>
      <c r="AU323" s="1572"/>
      <c r="AV323" s="1572"/>
      <c r="AW323" s="1572"/>
      <c r="AX323" s="1572"/>
      <c r="AY323" s="1572"/>
      <c r="AZ323" s="1572"/>
      <c r="BA323" s="1572"/>
      <c r="BB323" s="1572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283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2"/>
      <c r="U324" s="1572"/>
      <c r="V324" s="1572"/>
      <c r="W324" s="1572"/>
      <c r="X324" s="1572"/>
      <c r="Y324" s="1572"/>
      <c r="Z324" s="1572"/>
      <c r="AA324" s="1572"/>
      <c r="AB324" s="1572"/>
      <c r="AC324" s="1572"/>
      <c r="AD324" s="1572"/>
      <c r="AE324" s="1572"/>
      <c r="AF324" s="1572"/>
      <c r="AG324" s="1572"/>
      <c r="AH324" s="1572"/>
      <c r="AI324" s="1572"/>
      <c r="AJ324" s="1572"/>
      <c r="AK324" s="1569"/>
      <c r="AL324" s="1572"/>
      <c r="AM324" s="1572"/>
      <c r="AN324" s="1572"/>
      <c r="AO324" s="1572"/>
      <c r="AP324" s="1572"/>
      <c r="AQ324" s="1572"/>
      <c r="AR324" s="1572"/>
      <c r="AS324" s="1572"/>
      <c r="AT324" s="1572"/>
      <c r="AU324" s="1572"/>
      <c r="AV324" s="1572"/>
      <c r="AW324" s="1572"/>
      <c r="AX324" s="1572"/>
      <c r="AY324" s="1572"/>
      <c r="AZ324" s="1572"/>
      <c r="BA324" s="1572"/>
      <c r="BB324" s="1572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314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2"/>
      <c r="U325" s="1572"/>
      <c r="V325" s="1572"/>
      <c r="W325" s="1572"/>
      <c r="X325" s="1572"/>
      <c r="Y325" s="1572"/>
      <c r="Z325" s="1572"/>
      <c r="AA325" s="1572"/>
      <c r="AB325" s="1572"/>
      <c r="AC325" s="1572"/>
      <c r="AD325" s="1572"/>
      <c r="AE325" s="1572"/>
      <c r="AF325" s="1572"/>
      <c r="AG325" s="1572"/>
      <c r="AH325" s="1572"/>
      <c r="AI325" s="1572"/>
      <c r="AJ325" s="1572"/>
      <c r="AK325" s="1569"/>
      <c r="AL325" s="1572"/>
      <c r="AM325" s="1572"/>
      <c r="AN325" s="1572"/>
      <c r="AO325" s="1572"/>
      <c r="AP325" s="1572"/>
      <c r="AQ325" s="1572"/>
      <c r="AR325" s="1572"/>
      <c r="AS325" s="1572"/>
      <c r="AT325" s="1572"/>
      <c r="AU325" s="1572"/>
      <c r="AV325" s="1572"/>
      <c r="AW325" s="1572"/>
      <c r="AX325" s="1572"/>
      <c r="AY325" s="1572"/>
      <c r="AZ325" s="1572"/>
      <c r="BA325" s="1572"/>
      <c r="BB325" s="1572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315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3" t="str">
        <f t="shared" ref="T326:AJ326" si="580">IF(T323="","",T322*T323*T324*T325)</f>
        <v/>
      </c>
      <c r="U326" s="1573" t="str">
        <f t="shared" si="580"/>
        <v/>
      </c>
      <c r="V326" s="1573" t="str">
        <f t="shared" si="580"/>
        <v/>
      </c>
      <c r="W326" s="1573" t="str">
        <f t="shared" si="580"/>
        <v/>
      </c>
      <c r="X326" s="1573" t="str">
        <f t="shared" si="580"/>
        <v/>
      </c>
      <c r="Y326" s="1573" t="str">
        <f t="shared" si="580"/>
        <v/>
      </c>
      <c r="Z326" s="1573" t="str">
        <f t="shared" si="580"/>
        <v/>
      </c>
      <c r="AA326" s="1573" t="str">
        <f t="shared" si="580"/>
        <v/>
      </c>
      <c r="AB326" s="1573" t="str">
        <f t="shared" si="580"/>
        <v/>
      </c>
      <c r="AC326" s="1573" t="str">
        <f t="shared" si="580"/>
        <v/>
      </c>
      <c r="AD326" s="1573" t="str">
        <f t="shared" si="580"/>
        <v/>
      </c>
      <c r="AE326" s="1573" t="str">
        <f t="shared" si="580"/>
        <v/>
      </c>
      <c r="AF326" s="1573" t="str">
        <f t="shared" si="580"/>
        <v/>
      </c>
      <c r="AG326" s="1573" t="str">
        <f t="shared" si="580"/>
        <v/>
      </c>
      <c r="AH326" s="1573" t="str">
        <f t="shared" si="580"/>
        <v/>
      </c>
      <c r="AI326" s="1573" t="str">
        <f t="shared" si="580"/>
        <v/>
      </c>
      <c r="AJ326" s="1573" t="str">
        <f t="shared" si="580"/>
        <v/>
      </c>
      <c r="AK326" s="1569"/>
      <c r="AL326" s="1573" t="str">
        <f t="shared" ref="AL326:BB326" si="581">IF(AL323="","",AL322*AL323*AL324*AL325)</f>
        <v/>
      </c>
      <c r="AM326" s="1573" t="str">
        <f t="shared" si="581"/>
        <v/>
      </c>
      <c r="AN326" s="1573" t="str">
        <f t="shared" si="581"/>
        <v/>
      </c>
      <c r="AO326" s="1573" t="str">
        <f t="shared" si="581"/>
        <v/>
      </c>
      <c r="AP326" s="1573" t="str">
        <f t="shared" si="581"/>
        <v/>
      </c>
      <c r="AQ326" s="1573" t="str">
        <f t="shared" si="581"/>
        <v/>
      </c>
      <c r="AR326" s="1573" t="str">
        <f t="shared" si="581"/>
        <v/>
      </c>
      <c r="AS326" s="1573" t="str">
        <f t="shared" si="581"/>
        <v/>
      </c>
      <c r="AT326" s="1573" t="str">
        <f t="shared" si="581"/>
        <v/>
      </c>
      <c r="AU326" s="1573" t="str">
        <f t="shared" si="581"/>
        <v/>
      </c>
      <c r="AV326" s="1573" t="str">
        <f t="shared" si="581"/>
        <v/>
      </c>
      <c r="AW326" s="1573" t="str">
        <f t="shared" si="581"/>
        <v/>
      </c>
      <c r="AX326" s="1573" t="str">
        <f t="shared" si="581"/>
        <v/>
      </c>
      <c r="AY326" s="1573" t="str">
        <f t="shared" si="581"/>
        <v/>
      </c>
      <c r="AZ326" s="1573" t="str">
        <f t="shared" si="581"/>
        <v/>
      </c>
      <c r="BA326" s="1573" t="str">
        <f t="shared" si="581"/>
        <v/>
      </c>
      <c r="BB326" s="1573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482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74">
        <f t="shared" ref="T327:AJ327" si="584">SUM(T308,T314,T320,T326)</f>
        <v>0</v>
      </c>
      <c r="U327" s="1574">
        <f t="shared" si="584"/>
        <v>0</v>
      </c>
      <c r="V327" s="1574">
        <f t="shared" si="584"/>
        <v>7200</v>
      </c>
      <c r="W327" s="1574">
        <f t="shared" si="584"/>
        <v>0</v>
      </c>
      <c r="X327" s="1574">
        <f t="shared" si="584"/>
        <v>0</v>
      </c>
      <c r="Y327" s="1574">
        <f t="shared" si="584"/>
        <v>0</v>
      </c>
      <c r="Z327" s="1574">
        <f t="shared" si="584"/>
        <v>0</v>
      </c>
      <c r="AA327" s="1574">
        <f t="shared" si="584"/>
        <v>0</v>
      </c>
      <c r="AB327" s="1574">
        <f t="shared" si="584"/>
        <v>0</v>
      </c>
      <c r="AC327" s="1574">
        <f t="shared" si="584"/>
        <v>0</v>
      </c>
      <c r="AD327" s="1574">
        <f t="shared" si="584"/>
        <v>0</v>
      </c>
      <c r="AE327" s="1574">
        <f t="shared" si="584"/>
        <v>0</v>
      </c>
      <c r="AF327" s="1574">
        <f t="shared" si="584"/>
        <v>0</v>
      </c>
      <c r="AG327" s="1574">
        <f t="shared" si="584"/>
        <v>0</v>
      </c>
      <c r="AH327" s="1574">
        <f t="shared" si="584"/>
        <v>0</v>
      </c>
      <c r="AI327" s="1574">
        <f t="shared" si="584"/>
        <v>0</v>
      </c>
      <c r="AJ327" s="1574">
        <f t="shared" si="584"/>
        <v>0</v>
      </c>
      <c r="AK327" s="1575"/>
      <c r="AL327" s="1574">
        <f t="shared" ref="AL327:BB327" si="585">SUM(AL308,AL314,AL320,AL326)</f>
        <v>0</v>
      </c>
      <c r="AM327" s="1574">
        <f t="shared" si="585"/>
        <v>0</v>
      </c>
      <c r="AN327" s="1574">
        <f t="shared" si="585"/>
        <v>0</v>
      </c>
      <c r="AO327" s="1574">
        <f t="shared" si="585"/>
        <v>0</v>
      </c>
      <c r="AP327" s="1574">
        <f t="shared" si="585"/>
        <v>0</v>
      </c>
      <c r="AQ327" s="1574">
        <f t="shared" si="585"/>
        <v>2971.2</v>
      </c>
      <c r="AR327" s="1574">
        <f t="shared" si="585"/>
        <v>6000</v>
      </c>
      <c r="AS327" s="1574">
        <f t="shared" si="585"/>
        <v>0</v>
      </c>
      <c r="AT327" s="1574">
        <f t="shared" si="585"/>
        <v>0</v>
      </c>
      <c r="AU327" s="1574">
        <f t="shared" si="585"/>
        <v>0</v>
      </c>
      <c r="AV327" s="1574">
        <f t="shared" si="585"/>
        <v>0</v>
      </c>
      <c r="AW327" s="1574">
        <f t="shared" si="585"/>
        <v>0</v>
      </c>
      <c r="AX327" s="1574">
        <f t="shared" si="585"/>
        <v>0</v>
      </c>
      <c r="AY327" s="1574">
        <f t="shared" si="585"/>
        <v>0</v>
      </c>
      <c r="AZ327" s="1574">
        <f t="shared" si="585"/>
        <v>0</v>
      </c>
      <c r="BA327" s="1574">
        <f t="shared" si="585"/>
        <v>0</v>
      </c>
      <c r="BB327" s="1574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67"/>
      <c r="U328" s="1567"/>
      <c r="V328" s="1567"/>
      <c r="W328" s="1567"/>
      <c r="X328" s="1567"/>
      <c r="Y328" s="1567"/>
      <c r="Z328" s="1567"/>
      <c r="AA328" s="1567"/>
      <c r="AB328" s="1567"/>
      <c r="AC328" s="1567"/>
      <c r="AD328" s="1567"/>
      <c r="AE328" s="1567"/>
      <c r="AF328" s="1567"/>
      <c r="AG328" s="1567"/>
      <c r="AH328" s="1567"/>
      <c r="AI328" s="1567"/>
      <c r="AJ328" s="1567"/>
      <c r="AK328" s="1567"/>
      <c r="AL328" s="1567"/>
      <c r="AM328" s="1567"/>
      <c r="AN328" s="1567"/>
      <c r="AO328" s="1567"/>
      <c r="AP328" s="1567"/>
      <c r="AQ328" s="1567"/>
      <c r="AR328" s="1567"/>
      <c r="AS328" s="1567"/>
      <c r="AT328" s="1567"/>
      <c r="AU328" s="1567"/>
      <c r="AV328" s="1567"/>
      <c r="AW328" s="1567"/>
      <c r="AX328" s="1567"/>
      <c r="AY328" s="1567"/>
      <c r="AZ328" s="1567"/>
      <c r="BA328" s="1567"/>
      <c r="BB328" s="1567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67"/>
      <c r="U329" s="1567"/>
      <c r="V329" s="1567"/>
      <c r="W329" s="1567"/>
      <c r="X329" s="1567"/>
      <c r="Y329" s="1567"/>
      <c r="Z329" s="1567"/>
      <c r="AA329" s="1567"/>
      <c r="AB329" s="1567"/>
      <c r="AC329" s="1567"/>
      <c r="AD329" s="1567"/>
      <c r="AE329" s="1567"/>
      <c r="AF329" s="1567"/>
      <c r="AG329" s="1567"/>
      <c r="AH329" s="1567"/>
      <c r="AI329" s="1567"/>
      <c r="AJ329" s="1567"/>
      <c r="AK329" s="1567"/>
      <c r="AL329" s="1567"/>
      <c r="AM329" s="1567"/>
      <c r="AN329" s="1567"/>
      <c r="AO329" s="1567"/>
      <c r="AP329" s="1567"/>
      <c r="AQ329" s="1567"/>
      <c r="AR329" s="1567"/>
      <c r="AS329" s="1567"/>
      <c r="AT329" s="1567"/>
      <c r="AU329" s="1567"/>
      <c r="AV329" s="1567"/>
      <c r="AW329" s="1567"/>
      <c r="AX329" s="1567"/>
      <c r="AY329" s="1567"/>
      <c r="AZ329" s="1567"/>
      <c r="BA329" s="1567"/>
      <c r="BB329" s="1567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67"/>
      <c r="U330" s="1567"/>
      <c r="V330" s="1567"/>
      <c r="W330" s="1567"/>
      <c r="X330" s="1567"/>
      <c r="Y330" s="1567"/>
      <c r="Z330" s="1567"/>
      <c r="AA330" s="1567"/>
      <c r="AB330" s="1567"/>
      <c r="AC330" s="1567"/>
      <c r="AD330" s="1567"/>
      <c r="AE330" s="1567"/>
      <c r="AF330" s="1567"/>
      <c r="AG330" s="1567"/>
      <c r="AH330" s="1567"/>
      <c r="AI330" s="1567"/>
      <c r="AJ330" s="1567"/>
      <c r="AK330" s="1567"/>
      <c r="AL330" s="1567"/>
      <c r="AM330" s="1567"/>
      <c r="AN330" s="1567"/>
      <c r="AO330" s="1567"/>
      <c r="AP330" s="1567"/>
      <c r="AQ330" s="1567"/>
      <c r="AR330" s="1567"/>
      <c r="AS330" s="1567"/>
      <c r="AT330" s="1567"/>
      <c r="AU330" s="1567"/>
      <c r="AV330" s="1567"/>
      <c r="AW330" s="1567"/>
      <c r="AX330" s="1567"/>
      <c r="AY330" s="1567"/>
      <c r="AZ330" s="1567"/>
      <c r="BA330" s="1567"/>
      <c r="BB330" s="1567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67"/>
      <c r="U331" s="1567"/>
      <c r="V331" s="1567"/>
      <c r="W331" s="1567"/>
      <c r="X331" s="1567"/>
      <c r="Y331" s="1567"/>
      <c r="Z331" s="1567"/>
      <c r="AA331" s="1567"/>
      <c r="AB331" s="1567"/>
      <c r="AC331" s="1567"/>
      <c r="AD331" s="1567"/>
      <c r="AE331" s="1567"/>
      <c r="AF331" s="1567"/>
      <c r="AG331" s="1567"/>
      <c r="AH331" s="1567"/>
      <c r="AI331" s="1567"/>
      <c r="AJ331" s="1567"/>
      <c r="AK331" s="1567"/>
      <c r="AL331" s="1567"/>
      <c r="AM331" s="1567"/>
      <c r="AN331" s="1567"/>
      <c r="AO331" s="1567"/>
      <c r="AP331" s="1567"/>
      <c r="AQ331" s="1567"/>
      <c r="AR331" s="1567"/>
      <c r="AS331" s="1567"/>
      <c r="AT331" s="1567"/>
      <c r="AU331" s="1567"/>
      <c r="AV331" s="1567"/>
      <c r="AW331" s="1567"/>
      <c r="AX331" s="1567"/>
      <c r="AY331" s="1567"/>
      <c r="AZ331" s="1567"/>
      <c r="BA331" s="1567"/>
      <c r="BB331" s="1567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67"/>
      <c r="U332" s="1567"/>
      <c r="V332" s="1567"/>
      <c r="W332" s="1567"/>
      <c r="X332" s="1567"/>
      <c r="Y332" s="1567"/>
      <c r="Z332" s="1567"/>
      <c r="AA332" s="1567"/>
      <c r="AB332" s="1567"/>
      <c r="AC332" s="1567"/>
      <c r="AD332" s="1567"/>
      <c r="AE332" s="1567"/>
      <c r="AF332" s="1567"/>
      <c r="AG332" s="1567"/>
      <c r="AH332" s="1567"/>
      <c r="AI332" s="1567"/>
      <c r="AJ332" s="1567"/>
      <c r="AK332" s="1567"/>
      <c r="AL332" s="1567"/>
      <c r="AM332" s="1567"/>
      <c r="AN332" s="1567"/>
      <c r="AO332" s="1567"/>
      <c r="AP332" s="1567"/>
      <c r="AQ332" s="1567"/>
      <c r="AR332" s="1567"/>
      <c r="AS332" s="1567"/>
      <c r="AT332" s="1567"/>
      <c r="AU332" s="1567"/>
      <c r="AV332" s="1567"/>
      <c r="AW332" s="1567"/>
      <c r="AX332" s="1567"/>
      <c r="AY332" s="1567"/>
      <c r="AZ332" s="1567"/>
      <c r="BA332" s="1567"/>
      <c r="BB332" s="1567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67"/>
      <c r="U333" s="1567"/>
      <c r="V333" s="1567"/>
      <c r="W333" s="1567"/>
      <c r="X333" s="1567"/>
      <c r="Y333" s="1567"/>
      <c r="Z333" s="1567"/>
      <c r="AA333" s="1567"/>
      <c r="AB333" s="1567"/>
      <c r="AC333" s="1567"/>
      <c r="AD333" s="1567"/>
      <c r="AE333" s="1567"/>
      <c r="AF333" s="1567"/>
      <c r="AG333" s="1567"/>
      <c r="AH333" s="1567"/>
      <c r="AI333" s="1567"/>
      <c r="AJ333" s="1567"/>
      <c r="AK333" s="1567"/>
      <c r="AL333" s="1567"/>
      <c r="AM333" s="1567"/>
      <c r="AN333" s="1567"/>
      <c r="AO333" s="1567"/>
      <c r="AP333" s="1567"/>
      <c r="AQ333" s="1567"/>
      <c r="AR333" s="1567"/>
      <c r="AS333" s="1567"/>
      <c r="AT333" s="1567"/>
      <c r="AU333" s="1567"/>
      <c r="AV333" s="1567"/>
      <c r="AW333" s="1567"/>
      <c r="AX333" s="1567"/>
      <c r="AY333" s="1567"/>
      <c r="AZ333" s="1567"/>
      <c r="BA333" s="1567"/>
      <c r="BB333" s="1567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67"/>
      <c r="U334" s="1567"/>
      <c r="V334" s="1567"/>
      <c r="W334" s="1567"/>
      <c r="X334" s="1567"/>
      <c r="Y334" s="1567"/>
      <c r="Z334" s="1567"/>
      <c r="AA334" s="1567"/>
      <c r="AB334" s="1567"/>
      <c r="AC334" s="1567"/>
      <c r="AD334" s="1567"/>
      <c r="AE334" s="1567"/>
      <c r="AF334" s="1567"/>
      <c r="AG334" s="1567"/>
      <c r="AH334" s="1567"/>
      <c r="AI334" s="1567"/>
      <c r="AJ334" s="1567"/>
      <c r="AK334" s="1567"/>
      <c r="AL334" s="1567"/>
      <c r="AM334" s="1567"/>
      <c r="AN334" s="1567"/>
      <c r="AO334" s="1567"/>
      <c r="AP334" s="1567"/>
      <c r="AQ334" s="1567"/>
      <c r="AR334" s="1567"/>
      <c r="AS334" s="1567"/>
      <c r="AT334" s="1567"/>
      <c r="AU334" s="1567"/>
      <c r="AV334" s="1567"/>
      <c r="AW334" s="1567"/>
      <c r="AX334" s="1567"/>
      <c r="AY334" s="1567"/>
      <c r="AZ334" s="1567"/>
      <c r="BA334" s="1567"/>
      <c r="BB334" s="1567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67"/>
      <c r="U335" s="1567"/>
      <c r="V335" s="1567"/>
      <c r="W335" s="1567"/>
      <c r="X335" s="1567"/>
      <c r="Y335" s="1567"/>
      <c r="Z335" s="1567"/>
      <c r="AA335" s="1567"/>
      <c r="AB335" s="1567"/>
      <c r="AC335" s="1567"/>
      <c r="AD335" s="1567"/>
      <c r="AE335" s="1567"/>
      <c r="AF335" s="1567"/>
      <c r="AG335" s="1567"/>
      <c r="AH335" s="1567"/>
      <c r="AI335" s="1567"/>
      <c r="AJ335" s="1567"/>
      <c r="AK335" s="1567"/>
      <c r="AL335" s="1567"/>
      <c r="AM335" s="1567"/>
      <c r="AN335" s="1567"/>
      <c r="AO335" s="1567"/>
      <c r="AP335" s="1567"/>
      <c r="AQ335" s="1567"/>
      <c r="AR335" s="1567"/>
      <c r="AS335" s="1567"/>
      <c r="AT335" s="1567"/>
      <c r="AU335" s="1567"/>
      <c r="AV335" s="1567"/>
      <c r="AW335" s="1567"/>
      <c r="AX335" s="1567"/>
      <c r="AY335" s="1567"/>
      <c r="AZ335" s="1567"/>
      <c r="BA335" s="1567"/>
      <c r="BB335" s="1567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67"/>
      <c r="U336" s="1567"/>
      <c r="V336" s="1567"/>
      <c r="W336" s="1567"/>
      <c r="X336" s="1567"/>
      <c r="Y336" s="1567"/>
      <c r="Z336" s="1567"/>
      <c r="AA336" s="1567"/>
      <c r="AB336" s="1567"/>
      <c r="AC336" s="1567"/>
      <c r="AD336" s="1567"/>
      <c r="AE336" s="1567"/>
      <c r="AF336" s="1567"/>
      <c r="AG336" s="1567"/>
      <c r="AH336" s="1567"/>
      <c r="AI336" s="1567"/>
      <c r="AJ336" s="1567"/>
      <c r="AK336" s="1567"/>
      <c r="AL336" s="1567"/>
      <c r="AM336" s="1567"/>
      <c r="AN336" s="1567"/>
      <c r="AO336" s="1567"/>
      <c r="AP336" s="1567"/>
      <c r="AQ336" s="1567"/>
      <c r="AR336" s="1567"/>
      <c r="AS336" s="1567"/>
      <c r="AT336" s="1567"/>
      <c r="AU336" s="1567"/>
      <c r="AV336" s="1567"/>
      <c r="AW336" s="1567"/>
      <c r="AX336" s="1567"/>
      <c r="AY336" s="1567"/>
      <c r="AZ336" s="1567"/>
      <c r="BA336" s="1567"/>
      <c r="BB336" s="1567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67"/>
      <c r="U337" s="1567"/>
      <c r="V337" s="1567"/>
      <c r="W337" s="1567"/>
      <c r="X337" s="1567"/>
      <c r="Y337" s="1567"/>
      <c r="Z337" s="1567"/>
      <c r="AA337" s="1567"/>
      <c r="AB337" s="1567"/>
      <c r="AC337" s="1567"/>
      <c r="AD337" s="1567"/>
      <c r="AE337" s="1567"/>
      <c r="AF337" s="1567"/>
      <c r="AG337" s="1567"/>
      <c r="AH337" s="1567"/>
      <c r="AI337" s="1567"/>
      <c r="AJ337" s="1567"/>
      <c r="AK337" s="1567"/>
      <c r="AL337" s="1567"/>
      <c r="AM337" s="1567"/>
      <c r="AN337" s="1567"/>
      <c r="AO337" s="1567"/>
      <c r="AP337" s="1567"/>
      <c r="AQ337" s="1567"/>
      <c r="AR337" s="1567"/>
      <c r="AS337" s="1567"/>
      <c r="AT337" s="1567"/>
      <c r="AU337" s="1567"/>
      <c r="AV337" s="1567"/>
      <c r="AW337" s="1567"/>
      <c r="AX337" s="1567"/>
      <c r="AY337" s="1567"/>
      <c r="AZ337" s="1567"/>
      <c r="BA337" s="1567"/>
      <c r="BB337" s="156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67"/>
      <c r="U338" s="1567"/>
      <c r="V338" s="1567"/>
      <c r="W338" s="1567"/>
      <c r="X338" s="1567"/>
      <c r="Y338" s="1567"/>
      <c r="Z338" s="1567"/>
      <c r="AA338" s="1567"/>
      <c r="AB338" s="1567"/>
      <c r="AC338" s="1567"/>
      <c r="AD338" s="1567"/>
      <c r="AE338" s="1567"/>
      <c r="AF338" s="1567"/>
      <c r="AG338" s="1567"/>
      <c r="AH338" s="1567"/>
      <c r="AI338" s="1567"/>
      <c r="AJ338" s="1567"/>
      <c r="AK338" s="1567"/>
      <c r="AL338" s="1567"/>
      <c r="AM338" s="1567"/>
      <c r="AN338" s="1567"/>
      <c r="AO338" s="1567"/>
      <c r="AP338" s="1567"/>
      <c r="AQ338" s="1567"/>
      <c r="AR338" s="1567"/>
      <c r="AS338" s="1567"/>
      <c r="AT338" s="1567"/>
      <c r="AU338" s="1567"/>
      <c r="AV338" s="1567"/>
      <c r="AW338" s="1567"/>
      <c r="AX338" s="1567"/>
      <c r="AY338" s="1567"/>
      <c r="AZ338" s="1567"/>
      <c r="BA338" s="1567"/>
      <c r="BB338" s="1567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67"/>
      <c r="U339" s="1567"/>
      <c r="V339" s="1567"/>
      <c r="W339" s="1567"/>
      <c r="X339" s="1567"/>
      <c r="Y339" s="1567"/>
      <c r="Z339" s="1567"/>
      <c r="AA339" s="1567"/>
      <c r="AB339" s="1567"/>
      <c r="AC339" s="1567"/>
      <c r="AD339" s="1567"/>
      <c r="AE339" s="1567"/>
      <c r="AF339" s="1567"/>
      <c r="AG339" s="1567"/>
      <c r="AH339" s="1567"/>
      <c r="AI339" s="1567"/>
      <c r="AJ339" s="1567"/>
      <c r="AK339" s="1567"/>
      <c r="AL339" s="1567"/>
      <c r="AM339" s="1567"/>
      <c r="AN339" s="1567"/>
      <c r="AO339" s="1567"/>
      <c r="AP339" s="1567"/>
      <c r="AQ339" s="1567"/>
      <c r="AR339" s="1567"/>
      <c r="AS339" s="1567"/>
      <c r="AT339" s="1567"/>
      <c r="AU339" s="1567"/>
      <c r="AV339" s="1567"/>
      <c r="AW339" s="1567"/>
      <c r="AX339" s="1567"/>
      <c r="AY339" s="1567"/>
      <c r="AZ339" s="1567"/>
      <c r="BA339" s="1567"/>
      <c r="BB339" s="1567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67"/>
      <c r="U340" s="1567"/>
      <c r="V340" s="1567"/>
      <c r="W340" s="1567"/>
      <c r="X340" s="1567"/>
      <c r="Y340" s="1567"/>
      <c r="Z340" s="1567"/>
      <c r="AA340" s="1567"/>
      <c r="AB340" s="1567"/>
      <c r="AC340" s="1567"/>
      <c r="AD340" s="1567"/>
      <c r="AE340" s="1567"/>
      <c r="AF340" s="1567"/>
      <c r="AG340" s="1567"/>
      <c r="AH340" s="1567"/>
      <c r="AI340" s="1567"/>
      <c r="AJ340" s="1567"/>
      <c r="AK340" s="1567"/>
      <c r="AL340" s="1567"/>
      <c r="AM340" s="1567"/>
      <c r="AN340" s="1567"/>
      <c r="AO340" s="1567"/>
      <c r="AP340" s="1567"/>
      <c r="AQ340" s="1567"/>
      <c r="AR340" s="1567"/>
      <c r="AS340" s="1567"/>
      <c r="AT340" s="1567"/>
      <c r="AU340" s="1567"/>
      <c r="AV340" s="1567"/>
      <c r="AW340" s="1567"/>
      <c r="AX340" s="1567"/>
      <c r="AY340" s="1567"/>
      <c r="AZ340" s="1567"/>
      <c r="BA340" s="1567"/>
      <c r="BB340" s="1567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67"/>
      <c r="U341" s="1567"/>
      <c r="V341" s="1567"/>
      <c r="W341" s="1567"/>
      <c r="X341" s="1567"/>
      <c r="Y341" s="1567"/>
      <c r="Z341" s="1567"/>
      <c r="AA341" s="1567"/>
      <c r="AB341" s="1567"/>
      <c r="AC341" s="1567"/>
      <c r="AD341" s="1567"/>
      <c r="AE341" s="1567"/>
      <c r="AF341" s="1567"/>
      <c r="AG341" s="1567"/>
      <c r="AH341" s="1567"/>
      <c r="AI341" s="1567"/>
      <c r="AJ341" s="1567"/>
      <c r="AK341" s="1567"/>
      <c r="AL341" s="1567"/>
      <c r="AM341" s="1567"/>
      <c r="AN341" s="1567"/>
      <c r="AO341" s="1567"/>
      <c r="AP341" s="1567"/>
      <c r="AQ341" s="1567"/>
      <c r="AR341" s="1567"/>
      <c r="AS341" s="1567"/>
      <c r="AT341" s="1567"/>
      <c r="AU341" s="1567"/>
      <c r="AV341" s="1567"/>
      <c r="AW341" s="1567"/>
      <c r="AX341" s="1567"/>
      <c r="AY341" s="1567"/>
      <c r="AZ341" s="1567"/>
      <c r="BA341" s="1567"/>
      <c r="BB341" s="1567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67"/>
      <c r="U342" s="1567"/>
      <c r="V342" s="1567"/>
      <c r="W342" s="1567"/>
      <c r="X342" s="1567"/>
      <c r="Y342" s="1567"/>
      <c r="Z342" s="1567"/>
      <c r="AA342" s="1567"/>
      <c r="AB342" s="1567"/>
      <c r="AC342" s="1567"/>
      <c r="AD342" s="1567"/>
      <c r="AE342" s="1567"/>
      <c r="AF342" s="1567"/>
      <c r="AG342" s="1567"/>
      <c r="AH342" s="1567"/>
      <c r="AI342" s="1567"/>
      <c r="AJ342" s="1567"/>
      <c r="AK342" s="1567"/>
      <c r="AL342" s="1567"/>
      <c r="AM342" s="1567"/>
      <c r="AN342" s="1567"/>
      <c r="AO342" s="1567"/>
      <c r="AP342" s="1567"/>
      <c r="AQ342" s="1567"/>
      <c r="AR342" s="1567"/>
      <c r="AS342" s="1567"/>
      <c r="AT342" s="1567"/>
      <c r="AU342" s="1567"/>
      <c r="AV342" s="1567"/>
      <c r="AW342" s="1567"/>
      <c r="AX342" s="1567"/>
      <c r="AY342" s="1567"/>
      <c r="AZ342" s="1567"/>
      <c r="BA342" s="1567"/>
      <c r="BB342" s="1567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67"/>
      <c r="U343" s="1567"/>
      <c r="V343" s="1567"/>
      <c r="W343" s="1567"/>
      <c r="X343" s="1567"/>
      <c r="Y343" s="1567"/>
      <c r="Z343" s="1567"/>
      <c r="AA343" s="1567"/>
      <c r="AB343" s="1567"/>
      <c r="AC343" s="1567"/>
      <c r="AD343" s="1567"/>
      <c r="AE343" s="1567"/>
      <c r="AF343" s="1567"/>
      <c r="AG343" s="1567"/>
      <c r="AH343" s="1567"/>
      <c r="AI343" s="1567"/>
      <c r="AJ343" s="1567"/>
      <c r="AK343" s="1567"/>
      <c r="AL343" s="1567"/>
      <c r="AM343" s="1567"/>
      <c r="AN343" s="1567"/>
      <c r="AO343" s="1567"/>
      <c r="AP343" s="1567"/>
      <c r="AQ343" s="1567"/>
      <c r="AR343" s="1567"/>
      <c r="AS343" s="1567"/>
      <c r="AT343" s="1567"/>
      <c r="AU343" s="1567"/>
      <c r="AV343" s="1567"/>
      <c r="AW343" s="1567"/>
      <c r="AX343" s="1567"/>
      <c r="AY343" s="1567"/>
      <c r="AZ343" s="1567"/>
      <c r="BA343" s="1567"/>
      <c r="BB343" s="1567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67"/>
      <c r="U344" s="1567"/>
      <c r="V344" s="1567"/>
      <c r="W344" s="1567"/>
      <c r="X344" s="1567"/>
      <c r="Y344" s="1567"/>
      <c r="Z344" s="1567"/>
      <c r="AA344" s="1567"/>
      <c r="AB344" s="1567"/>
      <c r="AC344" s="1567"/>
      <c r="AD344" s="1567"/>
      <c r="AE344" s="1567"/>
      <c r="AF344" s="1567"/>
      <c r="AG344" s="1567"/>
      <c r="AH344" s="1567"/>
      <c r="AI344" s="1567"/>
      <c r="AJ344" s="1567"/>
      <c r="AK344" s="1567"/>
      <c r="AL344" s="1567"/>
      <c r="AM344" s="1567"/>
      <c r="AN344" s="1567"/>
      <c r="AO344" s="1567"/>
      <c r="AP344" s="1567"/>
      <c r="AQ344" s="1567"/>
      <c r="AR344" s="1567"/>
      <c r="AS344" s="1567"/>
      <c r="AT344" s="1567"/>
      <c r="AU344" s="1567"/>
      <c r="AV344" s="1567"/>
      <c r="AW344" s="1567"/>
      <c r="AX344" s="1567"/>
      <c r="AY344" s="1567"/>
      <c r="AZ344" s="1567"/>
      <c r="BA344" s="1567"/>
      <c r="BB344" s="1567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67"/>
      <c r="U345" s="1567"/>
      <c r="V345" s="1567"/>
      <c r="W345" s="1567"/>
      <c r="X345" s="1567"/>
      <c r="Y345" s="1567"/>
      <c r="Z345" s="1567"/>
      <c r="AA345" s="1567"/>
      <c r="AB345" s="1567"/>
      <c r="AC345" s="1567"/>
      <c r="AD345" s="1567"/>
      <c r="AE345" s="1567"/>
      <c r="AF345" s="1567"/>
      <c r="AG345" s="1567"/>
      <c r="AH345" s="1567"/>
      <c r="AI345" s="1567"/>
      <c r="AJ345" s="1567"/>
      <c r="AK345" s="1567"/>
      <c r="AL345" s="1567"/>
      <c r="AM345" s="1567"/>
      <c r="AN345" s="1567"/>
      <c r="AO345" s="1567"/>
      <c r="AP345" s="1567"/>
      <c r="AQ345" s="1567"/>
      <c r="AR345" s="1567"/>
      <c r="AS345" s="1567"/>
      <c r="AT345" s="1567"/>
      <c r="AU345" s="1567"/>
      <c r="AV345" s="1567"/>
      <c r="AW345" s="1567"/>
      <c r="AX345" s="1567"/>
      <c r="AY345" s="1567"/>
      <c r="AZ345" s="1567"/>
      <c r="BA345" s="1567"/>
      <c r="BB345" s="1567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67"/>
      <c r="U346" s="1567"/>
      <c r="V346" s="1567"/>
      <c r="W346" s="1567"/>
      <c r="X346" s="1567"/>
      <c r="Y346" s="1567"/>
      <c r="Z346" s="1567"/>
      <c r="AA346" s="1567"/>
      <c r="AB346" s="1567"/>
      <c r="AC346" s="1567"/>
      <c r="AD346" s="1567"/>
      <c r="AE346" s="1567"/>
      <c r="AF346" s="1567"/>
      <c r="AG346" s="1567"/>
      <c r="AH346" s="1567"/>
      <c r="AI346" s="1567"/>
      <c r="AJ346" s="1567"/>
      <c r="AK346" s="1567"/>
      <c r="AL346" s="1567"/>
      <c r="AM346" s="1567"/>
      <c r="AN346" s="1567"/>
      <c r="AO346" s="1567"/>
      <c r="AP346" s="1567"/>
      <c r="AQ346" s="1567"/>
      <c r="AR346" s="1567"/>
      <c r="AS346" s="1567"/>
      <c r="AT346" s="1567"/>
      <c r="AU346" s="1567"/>
      <c r="AV346" s="1567"/>
      <c r="AW346" s="1567"/>
      <c r="AX346" s="1567"/>
      <c r="AY346" s="1567"/>
      <c r="AZ346" s="1567"/>
      <c r="BA346" s="1567"/>
      <c r="BB346" s="1567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483</v>
      </c>
      <c r="B1" s="60"/>
      <c r="C1" s="60"/>
      <c r="D1" s="1385" t="s">
        <v>713</v>
      </c>
      <c r="E1" s="1386"/>
      <c r="F1" s="1386"/>
      <c r="G1" s="1383">
        <f>Data!$G$1</f>
        <v>8800</v>
      </c>
      <c r="H1" s="1384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603" t="s">
        <v>47</v>
      </c>
      <c r="CE6" s="1603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4" t="s">
        <v>48</v>
      </c>
      <c r="CT6" s="1604"/>
      <c r="CU6" s="1605" t="s">
        <v>47</v>
      </c>
      <c r="CV6" s="1605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601" t="s">
        <v>48</v>
      </c>
      <c r="DK6" s="160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486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260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257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181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183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258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227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488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260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257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181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183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258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227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489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260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257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181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183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258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227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260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257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181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183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258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227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491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260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181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183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258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227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492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493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494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495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260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257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181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183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258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252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496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256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181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183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258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252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497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256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257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181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183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258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252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498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256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257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181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183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258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252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499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256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181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183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258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252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500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501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7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502</v>
      </c>
      <c r="B1" s="60"/>
      <c r="C1" s="60"/>
      <c r="D1" s="1425" t="s">
        <v>713</v>
      </c>
      <c r="E1" s="1426"/>
      <c r="F1" s="1426"/>
      <c r="G1" s="1418">
        <f>Data!G1</f>
        <v>8800</v>
      </c>
      <c r="H1" s="1419" t="str">
        <f>Data!H1</f>
        <v>kJ</v>
      </c>
      <c r="I1" s="1427"/>
      <c r="J1" s="1428" t="s">
        <v>737</v>
      </c>
      <c r="K1" s="142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4"/>
      <c r="U1" s="1404"/>
      <c r="V1" s="1404"/>
      <c r="W1" s="1404"/>
      <c r="X1" s="1404"/>
      <c r="Y1" s="1404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4"/>
      <c r="U2" s="1404"/>
      <c r="V2" s="1404"/>
      <c r="W2" s="1404"/>
      <c r="X2" s="1404"/>
      <c r="Y2" s="1404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603" t="s">
        <v>47</v>
      </c>
      <c r="CE6" s="1603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4" t="s">
        <v>48</v>
      </c>
      <c r="CT6" s="1604"/>
      <c r="CU6" s="1605" t="s">
        <v>47</v>
      </c>
      <c r="CV6" s="1605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601" t="s">
        <v>48</v>
      </c>
      <c r="DK6" s="160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503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924</v>
      </c>
      <c r="B10" s="666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 t="s">
        <v>267</v>
      </c>
      <c r="N10" s="284" t="s">
        <v>267</v>
      </c>
      <c r="O10" s="284" t="s">
        <v>267</v>
      </c>
      <c r="P10" s="284" t="s">
        <v>267</v>
      </c>
      <c r="Q10" s="284" t="s">
        <v>267</v>
      </c>
      <c r="R10" s="284" t="s">
        <v>267</v>
      </c>
      <c r="S10" s="992"/>
      <c r="T10" s="284" t="s">
        <v>504</v>
      </c>
      <c r="U10" s="284" t="s">
        <v>504</v>
      </c>
      <c r="V10" s="284" t="s">
        <v>504</v>
      </c>
      <c r="W10" s="284" t="s">
        <v>504</v>
      </c>
      <c r="X10" s="284" t="s">
        <v>504</v>
      </c>
      <c r="Y10" s="284" t="s">
        <v>504</v>
      </c>
      <c r="Z10" s="284" t="s">
        <v>504</v>
      </c>
      <c r="AA10" s="284" t="s">
        <v>504</v>
      </c>
      <c r="AB10" s="284" t="s">
        <v>504</v>
      </c>
      <c r="AC10" s="284" t="s">
        <v>504</v>
      </c>
      <c r="AD10" s="284" t="s">
        <v>504</v>
      </c>
      <c r="AE10" s="284" t="s">
        <v>504</v>
      </c>
      <c r="AF10" s="284" t="s">
        <v>504</v>
      </c>
      <c r="AG10" s="284" t="s">
        <v>504</v>
      </c>
      <c r="AH10" s="284" t="s">
        <v>504</v>
      </c>
      <c r="AI10" s="284" t="s">
        <v>504</v>
      </c>
      <c r="AJ10" s="284" t="s">
        <v>504</v>
      </c>
      <c r="AK10" s="992"/>
      <c r="AL10" s="284" t="s">
        <v>504</v>
      </c>
      <c r="AM10" s="284" t="s">
        <v>504</v>
      </c>
      <c r="AN10" s="284" t="s">
        <v>504</v>
      </c>
      <c r="AO10" s="284" t="s">
        <v>504</v>
      </c>
      <c r="AP10" s="284" t="s">
        <v>504</v>
      </c>
      <c r="AQ10" s="284" t="s">
        <v>504</v>
      </c>
      <c r="AR10" s="284" t="s">
        <v>504</v>
      </c>
      <c r="AS10" s="284" t="s">
        <v>504</v>
      </c>
      <c r="AT10" s="284" t="s">
        <v>504</v>
      </c>
      <c r="AU10" s="284" t="s">
        <v>504</v>
      </c>
      <c r="AV10" s="284" t="s">
        <v>504</v>
      </c>
      <c r="AW10" s="284" t="s">
        <v>504</v>
      </c>
      <c r="AX10" s="284" t="s">
        <v>504</v>
      </c>
      <c r="AY10" s="284" t="s">
        <v>504</v>
      </c>
      <c r="AZ10" s="284" t="s">
        <v>504</v>
      </c>
      <c r="BA10" s="284" t="s">
        <v>504</v>
      </c>
      <c r="BB10" s="284" t="s">
        <v>504</v>
      </c>
      <c r="BC10" s="992"/>
      <c r="BD10" s="284" t="s">
        <v>504</v>
      </c>
      <c r="BE10" s="284" t="s">
        <v>504</v>
      </c>
      <c r="BF10" s="284" t="s">
        <v>504</v>
      </c>
      <c r="BG10" s="284" t="s">
        <v>504</v>
      </c>
      <c r="BH10" s="284" t="s">
        <v>504</v>
      </c>
      <c r="BI10" s="284" t="s">
        <v>504</v>
      </c>
      <c r="BJ10" s="284" t="s">
        <v>504</v>
      </c>
      <c r="BK10" s="284" t="s">
        <v>504</v>
      </c>
      <c r="BL10" s="284" t="s">
        <v>504</v>
      </c>
      <c r="BM10" s="284" t="s">
        <v>504</v>
      </c>
      <c r="BN10" s="284" t="s">
        <v>504</v>
      </c>
      <c r="BO10" s="284" t="s">
        <v>504</v>
      </c>
      <c r="BP10" s="284" t="s">
        <v>504</v>
      </c>
      <c r="BQ10" s="284" t="s">
        <v>504</v>
      </c>
      <c r="BR10" s="284" t="s">
        <v>504</v>
      </c>
      <c r="BS10" s="284" t="s">
        <v>504</v>
      </c>
      <c r="BT10" s="284" t="s">
        <v>504</v>
      </c>
      <c r="BU10" s="992"/>
      <c r="BV10" s="284" t="s">
        <v>504</v>
      </c>
      <c r="BW10" s="284" t="s">
        <v>504</v>
      </c>
      <c r="BX10" s="284" t="s">
        <v>504</v>
      </c>
      <c r="BY10" s="284" t="s">
        <v>504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266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267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292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252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296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288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286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714</v>
      </c>
      <c r="B19" s="262" t="s">
        <v>281</v>
      </c>
      <c r="C19" s="262" t="s">
        <v>281</v>
      </c>
      <c r="D19" s="262" t="s">
        <v>281</v>
      </c>
      <c r="E19" s="262" t="s">
        <v>281</v>
      </c>
      <c r="F19" s="262" t="s">
        <v>281</v>
      </c>
      <c r="G19" s="262" t="s">
        <v>281</v>
      </c>
      <c r="H19" s="262" t="s">
        <v>281</v>
      </c>
      <c r="I19" s="262" t="s">
        <v>281</v>
      </c>
      <c r="J19" s="262" t="s">
        <v>281</v>
      </c>
      <c r="K19" s="262" t="s">
        <v>281</v>
      </c>
      <c r="L19" s="262" t="s">
        <v>281</v>
      </c>
      <c r="M19" s="262" t="s">
        <v>281</v>
      </c>
      <c r="N19" s="262" t="s">
        <v>281</v>
      </c>
      <c r="O19" s="262" t="s">
        <v>281</v>
      </c>
      <c r="P19" s="262" t="s">
        <v>281</v>
      </c>
      <c r="Q19" s="262" t="s">
        <v>281</v>
      </c>
      <c r="R19" s="262" t="s">
        <v>281</v>
      </c>
      <c r="S19" s="591"/>
      <c r="T19" s="262" t="s">
        <v>281</v>
      </c>
      <c r="U19" s="262" t="s">
        <v>281</v>
      </c>
      <c r="V19" s="262" t="s">
        <v>281</v>
      </c>
      <c r="W19" s="262" t="s">
        <v>281</v>
      </c>
      <c r="X19" s="262" t="s">
        <v>281</v>
      </c>
      <c r="Y19" s="262" t="s">
        <v>281</v>
      </c>
      <c r="Z19" s="262" t="s">
        <v>281</v>
      </c>
      <c r="AA19" s="262" t="s">
        <v>281</v>
      </c>
      <c r="AB19" s="262" t="s">
        <v>281</v>
      </c>
      <c r="AC19" s="262" t="s">
        <v>281</v>
      </c>
      <c r="AD19" s="262" t="s">
        <v>281</v>
      </c>
      <c r="AE19" s="262" t="s">
        <v>281</v>
      </c>
      <c r="AF19" s="262" t="s">
        <v>281</v>
      </c>
      <c r="AG19" s="262" t="s">
        <v>281</v>
      </c>
      <c r="AH19" s="262" t="s">
        <v>281</v>
      </c>
      <c r="AI19" s="262" t="s">
        <v>281</v>
      </c>
      <c r="AJ19" s="262" t="s">
        <v>281</v>
      </c>
      <c r="AK19" s="591"/>
      <c r="AL19" s="262" t="s">
        <v>281</v>
      </c>
      <c r="AM19" s="262" t="s">
        <v>281</v>
      </c>
      <c r="AN19" s="262" t="s">
        <v>281</v>
      </c>
      <c r="AO19" s="262" t="s">
        <v>281</v>
      </c>
      <c r="AP19" s="262" t="s">
        <v>281</v>
      </c>
      <c r="AQ19" s="262" t="s">
        <v>281</v>
      </c>
      <c r="AR19" s="262" t="s">
        <v>281</v>
      </c>
      <c r="AS19" s="262" t="s">
        <v>281</v>
      </c>
      <c r="AT19" s="262" t="s">
        <v>281</v>
      </c>
      <c r="AU19" s="262" t="s">
        <v>281</v>
      </c>
      <c r="AV19" s="262" t="s">
        <v>281</v>
      </c>
      <c r="AW19" s="262" t="s">
        <v>281</v>
      </c>
      <c r="AX19" s="262" t="s">
        <v>281</v>
      </c>
      <c r="AY19" s="262" t="s">
        <v>281</v>
      </c>
      <c r="AZ19" s="262" t="s">
        <v>281</v>
      </c>
      <c r="BA19" s="262" t="s">
        <v>281</v>
      </c>
      <c r="BB19" s="262" t="s">
        <v>281</v>
      </c>
      <c r="BC19" s="591"/>
      <c r="BD19" s="262" t="s">
        <v>281</v>
      </c>
      <c r="BE19" s="262" t="s">
        <v>281</v>
      </c>
      <c r="BF19" s="262" t="s">
        <v>281</v>
      </c>
      <c r="BG19" s="262" t="s">
        <v>281</v>
      </c>
      <c r="BH19" s="262" t="s">
        <v>281</v>
      </c>
      <c r="BI19" s="262" t="s">
        <v>281</v>
      </c>
      <c r="BJ19" s="262" t="s">
        <v>281</v>
      </c>
      <c r="BK19" s="262" t="s">
        <v>281</v>
      </c>
      <c r="BL19" s="262" t="s">
        <v>281</v>
      </c>
      <c r="BM19" s="262" t="s">
        <v>281</v>
      </c>
      <c r="BN19" s="262" t="s">
        <v>281</v>
      </c>
      <c r="BO19" s="262" t="s">
        <v>281</v>
      </c>
      <c r="BP19" s="262" t="s">
        <v>281</v>
      </c>
      <c r="BQ19" s="262" t="s">
        <v>281</v>
      </c>
      <c r="BR19" s="262" t="s">
        <v>281</v>
      </c>
      <c r="BS19" s="262" t="s">
        <v>281</v>
      </c>
      <c r="BT19" s="262" t="s">
        <v>281</v>
      </c>
      <c r="BU19" s="591"/>
      <c r="BV19" s="262" t="s">
        <v>281</v>
      </c>
      <c r="BW19" s="262" t="s">
        <v>281</v>
      </c>
      <c r="BX19" s="262" t="s">
        <v>281</v>
      </c>
      <c r="BY19" s="262" t="s">
        <v>281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>
        <f t="shared" si="41"/>
        <v>0</v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>
        <f t="shared" si="50"/>
        <v>0</v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267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>
        <f t="shared" si="41"/>
        <v>0</v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>
        <f t="shared" si="50"/>
        <v>0</v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284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227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>
        <f t="shared" si="41"/>
        <v>0</v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296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>
        <f t="shared" si="50"/>
        <v>0</v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285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286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715</v>
      </c>
      <c r="B28" s="262" t="s">
        <v>281</v>
      </c>
      <c r="C28" s="262" t="s">
        <v>281</v>
      </c>
      <c r="D28" s="262" t="s">
        <v>281</v>
      </c>
      <c r="E28" s="262" t="s">
        <v>281</v>
      </c>
      <c r="F28" s="262" t="s">
        <v>281</v>
      </c>
      <c r="G28" s="262" t="s">
        <v>281</v>
      </c>
      <c r="H28" s="262" t="s">
        <v>281</v>
      </c>
      <c r="I28" s="262" t="s">
        <v>281</v>
      </c>
      <c r="J28" s="262" t="s">
        <v>281</v>
      </c>
      <c r="K28" s="629" t="s">
        <v>281</v>
      </c>
      <c r="L28" s="262" t="s">
        <v>281</v>
      </c>
      <c r="M28" s="629" t="s">
        <v>281</v>
      </c>
      <c r="N28" s="262" t="s">
        <v>281</v>
      </c>
      <c r="O28" s="629" t="s">
        <v>281</v>
      </c>
      <c r="P28" s="262" t="s">
        <v>281</v>
      </c>
      <c r="Q28" s="629" t="s">
        <v>281</v>
      </c>
      <c r="R28" s="262" t="s">
        <v>281</v>
      </c>
      <c r="S28" s="591"/>
      <c r="T28" s="262" t="s">
        <v>281</v>
      </c>
      <c r="U28" s="262" t="s">
        <v>281</v>
      </c>
      <c r="V28" s="262" t="s">
        <v>281</v>
      </c>
      <c r="W28" s="262" t="s">
        <v>281</v>
      </c>
      <c r="X28" s="262" t="s">
        <v>281</v>
      </c>
      <c r="Y28" s="262" t="s">
        <v>281</v>
      </c>
      <c r="Z28" s="262" t="s">
        <v>281</v>
      </c>
      <c r="AA28" s="262" t="s">
        <v>281</v>
      </c>
      <c r="AB28" s="262" t="s">
        <v>281</v>
      </c>
      <c r="AC28" s="629" t="s">
        <v>281</v>
      </c>
      <c r="AD28" s="262" t="s">
        <v>281</v>
      </c>
      <c r="AE28" s="629" t="s">
        <v>281</v>
      </c>
      <c r="AF28" s="262" t="s">
        <v>281</v>
      </c>
      <c r="AG28" s="629" t="s">
        <v>281</v>
      </c>
      <c r="AH28" s="262" t="s">
        <v>281</v>
      </c>
      <c r="AI28" s="629" t="s">
        <v>281</v>
      </c>
      <c r="AJ28" s="262" t="s">
        <v>281</v>
      </c>
      <c r="AK28" s="591"/>
      <c r="AL28" s="262" t="s">
        <v>281</v>
      </c>
      <c r="AM28" s="262" t="s">
        <v>281</v>
      </c>
      <c r="AN28" s="262" t="s">
        <v>281</v>
      </c>
      <c r="AO28" s="262" t="s">
        <v>281</v>
      </c>
      <c r="AP28" s="262" t="s">
        <v>281</v>
      </c>
      <c r="AQ28" s="262" t="s">
        <v>281</v>
      </c>
      <c r="AR28" s="262" t="s">
        <v>281</v>
      </c>
      <c r="AS28" s="262" t="s">
        <v>281</v>
      </c>
      <c r="AT28" s="262" t="s">
        <v>281</v>
      </c>
      <c r="AU28" s="262" t="s">
        <v>281</v>
      </c>
      <c r="AV28" s="262" t="s">
        <v>281</v>
      </c>
      <c r="AW28" s="262" t="s">
        <v>281</v>
      </c>
      <c r="AX28" s="262" t="s">
        <v>281</v>
      </c>
      <c r="AY28" s="262" t="s">
        <v>281</v>
      </c>
      <c r="AZ28" s="262" t="s">
        <v>281</v>
      </c>
      <c r="BA28" s="262" t="s">
        <v>281</v>
      </c>
      <c r="BB28" s="262" t="s">
        <v>281</v>
      </c>
      <c r="BC28" s="591"/>
      <c r="BD28" s="262" t="s">
        <v>281</v>
      </c>
      <c r="BE28" s="262" t="s">
        <v>281</v>
      </c>
      <c r="BF28" s="262" t="s">
        <v>281</v>
      </c>
      <c r="BG28" s="262" t="s">
        <v>281</v>
      </c>
      <c r="BH28" s="262" t="s">
        <v>281</v>
      </c>
      <c r="BI28" s="262" t="s">
        <v>281</v>
      </c>
      <c r="BJ28" s="262" t="s">
        <v>281</v>
      </c>
      <c r="BK28" s="262" t="s">
        <v>281</v>
      </c>
      <c r="BL28" s="262" t="s">
        <v>281</v>
      </c>
      <c r="BM28" s="629" t="s">
        <v>281</v>
      </c>
      <c r="BN28" s="262" t="s">
        <v>281</v>
      </c>
      <c r="BO28" s="629" t="s">
        <v>281</v>
      </c>
      <c r="BP28" s="262" t="s">
        <v>281</v>
      </c>
      <c r="BQ28" s="629" t="s">
        <v>281</v>
      </c>
      <c r="BR28" s="262" t="s">
        <v>281</v>
      </c>
      <c r="BS28" s="629" t="s">
        <v>281</v>
      </c>
      <c r="BT28" s="262" t="s">
        <v>281</v>
      </c>
      <c r="BU28" s="591"/>
      <c r="BV28" s="262" t="s">
        <v>281</v>
      </c>
      <c r="BW28" s="262" t="s">
        <v>281</v>
      </c>
      <c r="BX28" s="262" t="s">
        <v>281</v>
      </c>
      <c r="BY28" s="262" t="s">
        <v>281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297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282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>
        <f t="shared" si="81"/>
        <v>0</v>
      </c>
      <c r="CL30" s="145">
        <f t="shared" si="81"/>
        <v>0</v>
      </c>
      <c r="CM30" s="145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>
        <f t="shared" si="89"/>
        <v>0</v>
      </c>
      <c r="DC30" s="540">
        <f t="shared" si="90"/>
        <v>0</v>
      </c>
      <c r="DD30" s="540">
        <f t="shared" si="91"/>
        <v>0</v>
      </c>
      <c r="DE30" s="539">
        <f t="shared" si="92"/>
        <v>2.5</v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283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>
        <f t="shared" si="81"/>
        <v>12</v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>
        <f t="shared" si="90"/>
        <v>12</v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267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>
        <f t="shared" si="81"/>
        <v>0</v>
      </c>
      <c r="CL32" s="145">
        <f t="shared" si="81"/>
        <v>0</v>
      </c>
      <c r="CM32" s="145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>
        <f t="shared" si="89"/>
        <v>0</v>
      </c>
      <c r="DC32" s="540">
        <f t="shared" si="90"/>
        <v>0</v>
      </c>
      <c r="DD32" s="540">
        <f t="shared" si="91"/>
        <v>0</v>
      </c>
      <c r="DE32" s="539">
        <f t="shared" si="92"/>
        <v>150</v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284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227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>
        <f t="shared" si="81"/>
        <v>0</v>
      </c>
      <c r="CL34" s="524">
        <f t="shared" si="81"/>
        <v>0</v>
      </c>
      <c r="CM34" s="524">
        <f t="shared" si="81"/>
        <v>0</v>
      </c>
      <c r="CN34" s="523">
        <f t="shared" si="81"/>
        <v>8.651894458281445E-2</v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296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>
        <f t="shared" si="89"/>
        <v>0</v>
      </c>
      <c r="DC34" s="528">
        <f t="shared" si="90"/>
        <v>0</v>
      </c>
      <c r="DD34" s="528">
        <f t="shared" si="91"/>
        <v>0</v>
      </c>
      <c r="DE34" s="527">
        <f t="shared" si="92"/>
        <v>8.651894458281445E-2</v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285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286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716</v>
      </c>
      <c r="B37" s="629" t="s">
        <v>267</v>
      </c>
      <c r="C37" s="629" t="s">
        <v>267</v>
      </c>
      <c r="D37" s="629" t="s">
        <v>267</v>
      </c>
      <c r="E37" s="629" t="s">
        <v>267</v>
      </c>
      <c r="F37" s="629" t="s">
        <v>267</v>
      </c>
      <c r="G37" s="629" t="s">
        <v>267</v>
      </c>
      <c r="H37" s="629" t="s">
        <v>267</v>
      </c>
      <c r="I37" s="629" t="s">
        <v>267</v>
      </c>
      <c r="J37" s="629" t="s">
        <v>267</v>
      </c>
      <c r="K37" s="629" t="s">
        <v>267</v>
      </c>
      <c r="L37" s="629" t="s">
        <v>267</v>
      </c>
      <c r="M37" s="629" t="s">
        <v>267</v>
      </c>
      <c r="N37" s="629" t="s">
        <v>267</v>
      </c>
      <c r="O37" s="629" t="s">
        <v>267</v>
      </c>
      <c r="P37" s="629" t="s">
        <v>267</v>
      </c>
      <c r="Q37" s="629" t="s">
        <v>267</v>
      </c>
      <c r="R37" s="629" t="s">
        <v>267</v>
      </c>
      <c r="S37" s="627"/>
      <c r="T37" s="629" t="s">
        <v>267</v>
      </c>
      <c r="U37" s="629" t="s">
        <v>267</v>
      </c>
      <c r="V37" s="629" t="s">
        <v>267</v>
      </c>
      <c r="W37" s="629" t="s">
        <v>267</v>
      </c>
      <c r="X37" s="629" t="s">
        <v>267</v>
      </c>
      <c r="Y37" s="629" t="s">
        <v>267</v>
      </c>
      <c r="Z37" s="629" t="s">
        <v>267</v>
      </c>
      <c r="AA37" s="629" t="s">
        <v>267</v>
      </c>
      <c r="AB37" s="629" t="s">
        <v>267</v>
      </c>
      <c r="AC37" s="629" t="s">
        <v>267</v>
      </c>
      <c r="AD37" s="629" t="s">
        <v>267</v>
      </c>
      <c r="AE37" s="629" t="s">
        <v>267</v>
      </c>
      <c r="AF37" s="629" t="s">
        <v>267</v>
      </c>
      <c r="AG37" s="629" t="s">
        <v>267</v>
      </c>
      <c r="AH37" s="629" t="s">
        <v>267</v>
      </c>
      <c r="AI37" s="629" t="s">
        <v>267</v>
      </c>
      <c r="AJ37" s="629" t="s">
        <v>267</v>
      </c>
      <c r="AK37" s="627"/>
      <c r="AL37" s="629" t="s">
        <v>267</v>
      </c>
      <c r="AM37" s="629" t="s">
        <v>267</v>
      </c>
      <c r="AN37" s="629" t="s">
        <v>267</v>
      </c>
      <c r="AO37" s="629" t="s">
        <v>267</v>
      </c>
      <c r="AP37" s="629" t="s">
        <v>267</v>
      </c>
      <c r="AQ37" s="629" t="s">
        <v>267</v>
      </c>
      <c r="AR37" s="629" t="s">
        <v>267</v>
      </c>
      <c r="AS37" s="629" t="s">
        <v>267</v>
      </c>
      <c r="AT37" s="629" t="s">
        <v>267</v>
      </c>
      <c r="AU37" s="629" t="s">
        <v>267</v>
      </c>
      <c r="AV37" s="629" t="s">
        <v>267</v>
      </c>
      <c r="AW37" s="629" t="s">
        <v>267</v>
      </c>
      <c r="AX37" s="629" t="s">
        <v>267</v>
      </c>
      <c r="AY37" s="629" t="s">
        <v>267</v>
      </c>
      <c r="AZ37" s="629" t="s">
        <v>267</v>
      </c>
      <c r="BA37" s="629" t="s">
        <v>267</v>
      </c>
      <c r="BB37" s="629" t="s">
        <v>267</v>
      </c>
      <c r="BC37" s="627"/>
      <c r="BD37" s="629" t="s">
        <v>267</v>
      </c>
      <c r="BE37" s="629" t="s">
        <v>267</v>
      </c>
      <c r="BF37" s="629" t="s">
        <v>267</v>
      </c>
      <c r="BG37" s="629" t="s">
        <v>267</v>
      </c>
      <c r="BH37" s="629" t="s">
        <v>267</v>
      </c>
      <c r="BI37" s="629" t="s">
        <v>267</v>
      </c>
      <c r="BJ37" s="629" t="s">
        <v>267</v>
      </c>
      <c r="BK37" s="629" t="s">
        <v>267</v>
      </c>
      <c r="BL37" s="629" t="s">
        <v>267</v>
      </c>
      <c r="BM37" s="629" t="s">
        <v>267</v>
      </c>
      <c r="BN37" s="629" t="s">
        <v>267</v>
      </c>
      <c r="BO37" s="629" t="s">
        <v>267</v>
      </c>
      <c r="BP37" s="629" t="s">
        <v>267</v>
      </c>
      <c r="BQ37" s="629" t="s">
        <v>267</v>
      </c>
      <c r="BR37" s="629" t="s">
        <v>267</v>
      </c>
      <c r="BS37" s="629" t="s">
        <v>267</v>
      </c>
      <c r="BT37" s="629" t="s">
        <v>267</v>
      </c>
      <c r="BU37" s="627"/>
      <c r="BV37" s="629" t="s">
        <v>267</v>
      </c>
      <c r="BW37" s="629" t="s">
        <v>267</v>
      </c>
      <c r="BX37" s="629" t="s">
        <v>267</v>
      </c>
      <c r="BY37" s="629" t="s">
        <v>267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266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282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1</v>
      </c>
      <c r="DH39" s="539">
        <f t="shared" si="135"/>
        <v>1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283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10</v>
      </c>
      <c r="CZ40" s="539">
        <f t="shared" si="127"/>
        <v>10</v>
      </c>
      <c r="DA40" s="539">
        <f t="shared" si="128"/>
        <v>10</v>
      </c>
      <c r="DB40" s="540">
        <f t="shared" si="129"/>
        <v>12</v>
      </c>
      <c r="DC40" s="540">
        <f t="shared" si="130"/>
        <v>12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267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50</v>
      </c>
      <c r="CZ41" s="539">
        <f t="shared" si="127"/>
        <v>50</v>
      </c>
      <c r="DA41" s="539">
        <f t="shared" si="128"/>
        <v>50</v>
      </c>
      <c r="DB41" s="540">
        <f t="shared" si="129"/>
        <v>60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60</v>
      </c>
      <c r="DH41" s="539">
        <f t="shared" si="135"/>
        <v>60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284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227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2.0085548511264574E-2</v>
      </c>
      <c r="CI43" s="523">
        <f t="shared" si="121"/>
        <v>2.2094103362391031E-2</v>
      </c>
      <c r="CJ43" s="523">
        <f t="shared" si="121"/>
        <v>2.2094103362391031E-2</v>
      </c>
      <c r="CK43" s="524">
        <f t="shared" si="121"/>
        <v>2.2094103362391031E-2</v>
      </c>
      <c r="CL43" s="524">
        <f t="shared" si="121"/>
        <v>2.4102658213517487E-2</v>
      </c>
      <c r="CM43" s="524">
        <f t="shared" si="121"/>
        <v>2.761762920298879E-2</v>
      </c>
      <c r="CN43" s="523">
        <f t="shared" si="121"/>
        <v>3.314115504358655E-2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3.7875605764098916E-2</v>
      </c>
      <c r="CR43" s="523" t="str">
        <f t="shared" si="121"/>
        <v/>
      </c>
      <c r="CS43" s="522" t="str">
        <f t="shared" si="121"/>
        <v/>
      </c>
      <c r="CT43" s="1296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2.0085548511264574E-2</v>
      </c>
      <c r="CZ43" s="527">
        <f t="shared" si="127"/>
        <v>2.2094103362391031E-2</v>
      </c>
      <c r="DA43" s="527">
        <f t="shared" si="128"/>
        <v>2.2094103362391031E-2</v>
      </c>
      <c r="DB43" s="528">
        <f t="shared" si="129"/>
        <v>2.2094103362391031E-2</v>
      </c>
      <c r="DC43" s="528">
        <f t="shared" si="130"/>
        <v>2.4102658213517487E-2</v>
      </c>
      <c r="DD43" s="528">
        <f t="shared" si="131"/>
        <v>2.761762920298879E-2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3.7875605764098916E-2</v>
      </c>
      <c r="DH43" s="527">
        <f t="shared" si="135"/>
        <v>3.7875605764098916E-2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285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5">
        <f t="shared" si="121"/>
        <v>22</v>
      </c>
      <c r="CL44" s="145">
        <f t="shared" si="121"/>
        <v>22</v>
      </c>
      <c r="CM44" s="145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20</v>
      </c>
      <c r="CZ44" s="539">
        <f t="shared" si="127"/>
        <v>21</v>
      </c>
      <c r="DA44" s="539">
        <f t="shared" si="128"/>
        <v>21</v>
      </c>
      <c r="DB44" s="540">
        <f t="shared" si="129"/>
        <v>22</v>
      </c>
      <c r="DC44" s="540">
        <f t="shared" si="130"/>
        <v>22</v>
      </c>
      <c r="DD44" s="540">
        <f t="shared" si="131"/>
        <v>22</v>
      </c>
      <c r="DE44" s="539">
        <f t="shared" si="132"/>
        <v>23</v>
      </c>
      <c r="DF44" s="539">
        <f t="shared" si="133"/>
        <v>23</v>
      </c>
      <c r="DG44" s="539">
        <f t="shared" si="134"/>
        <v>25</v>
      </c>
      <c r="DH44" s="539">
        <f t="shared" si="135"/>
        <v>25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286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5">
        <f t="shared" si="121"/>
        <v>1200</v>
      </c>
      <c r="CL45" s="145">
        <f t="shared" si="121"/>
        <v>1260</v>
      </c>
      <c r="CM45" s="145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1100</v>
      </c>
      <c r="CZ45" s="539">
        <f t="shared" si="127"/>
        <v>1100</v>
      </c>
      <c r="DA45" s="539">
        <f t="shared" si="128"/>
        <v>1150</v>
      </c>
      <c r="DB45" s="540">
        <f t="shared" si="129"/>
        <v>1200</v>
      </c>
      <c r="DC45" s="540">
        <f t="shared" si="130"/>
        <v>1260</v>
      </c>
      <c r="DD45" s="540">
        <f t="shared" si="131"/>
        <v>1260</v>
      </c>
      <c r="DE45" s="539">
        <f t="shared" si="132"/>
        <v>1320</v>
      </c>
      <c r="DF45" s="539">
        <f t="shared" si="133"/>
        <v>1380</v>
      </c>
      <c r="DG45" s="539">
        <f t="shared" si="134"/>
        <v>1500</v>
      </c>
      <c r="DH45" s="539">
        <f t="shared" si="135"/>
        <v>1500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915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>
        <f t="shared" si="160"/>
        <v>0.35</v>
      </c>
      <c r="CM47" s="145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40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>
        <f t="shared" si="161"/>
        <v>1</v>
      </c>
      <c r="CM48" s="145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>
        <f t="shared" si="170"/>
        <v>1</v>
      </c>
      <c r="DD48" s="540">
        <f t="shared" si="171"/>
        <v>1</v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>
        <f t="shared" si="161"/>
        <v>6</v>
      </c>
      <c r="CM49" s="145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>
        <f t="shared" si="170"/>
        <v>6</v>
      </c>
      <c r="DD49" s="540">
        <f t="shared" si="171"/>
        <v>6</v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267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>
        <f t="shared" si="161"/>
        <v>2.0999999999999996</v>
      </c>
      <c r="CM50" s="145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>
        <f t="shared" si="170"/>
        <v>2.0999999999999996</v>
      </c>
      <c r="DD50" s="540">
        <f t="shared" si="171"/>
        <v>60</v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292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>
        <f t="shared" si="161"/>
        <v>24242</v>
      </c>
      <c r="CM51" s="145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>
        <f t="shared" si="170"/>
        <v>24242</v>
      </c>
      <c r="DD51" s="540">
        <f t="shared" si="171"/>
        <v>24242</v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252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>
        <f t="shared" si="161"/>
        <v>2.2641967621419672E-3</v>
      </c>
      <c r="CM52" s="524">
        <f t="shared" si="161"/>
        <v>5.6604919053549196E-2</v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296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>
        <f t="shared" si="170"/>
        <v>2.2641967621419672E-3</v>
      </c>
      <c r="DD52" s="528">
        <f t="shared" si="171"/>
        <v>5.6604919053549196E-2</v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288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>
        <f t="shared" si="161"/>
        <v>9</v>
      </c>
      <c r="CM53" s="145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>
        <f t="shared" si="170"/>
        <v>9</v>
      </c>
      <c r="DD53" s="540">
        <f t="shared" si="171"/>
        <v>57</v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286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>
        <f t="shared" si="161"/>
        <v>119.69999999999997</v>
      </c>
      <c r="CM54" s="145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>
        <f t="shared" si="170"/>
        <v>119.69999999999997</v>
      </c>
      <c r="DD54" s="540">
        <f t="shared" si="171"/>
        <v>540</v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939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 t="s">
        <v>338</v>
      </c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15">
        <v>1</v>
      </c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>
        <f t="shared" si="196"/>
        <v>1</v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1</v>
      </c>
      <c r="DP56" s="947"/>
      <c r="DQ56" s="948"/>
      <c r="DR56" s="948"/>
      <c r="DS56" s="949"/>
      <c r="DU56" s="60"/>
    </row>
    <row r="57" spans="1:125" ht="12.75" customHeight="1">
      <c r="A57" s="945" t="s">
        <v>282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>
        <v>5</v>
      </c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>
        <f t="shared" si="197"/>
        <v>5</v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>
        <f t="shared" si="206"/>
        <v>5</v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1</v>
      </c>
      <c r="DP57" s="947"/>
      <c r="DQ57" s="948"/>
      <c r="DR57" s="948"/>
      <c r="DS57" s="949"/>
      <c r="DU57" s="60"/>
    </row>
    <row r="58" spans="1:125" ht="12.75" customHeight="1">
      <c r="A58" s="872" t="s">
        <v>283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>
        <v>12</v>
      </c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>
        <f t="shared" si="197"/>
        <v>12</v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>
        <f t="shared" si="206"/>
        <v>12</v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1</v>
      </c>
      <c r="DP58" s="947"/>
      <c r="DQ58" s="948"/>
      <c r="DR58" s="948"/>
      <c r="DS58" s="949"/>
      <c r="DU58" s="60"/>
    </row>
    <row r="59" spans="1:125" ht="12.75" customHeight="1">
      <c r="A59" s="996" t="s">
        <v>267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>
        <f t="shared" si="223"/>
        <v>60</v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>
        <f t="shared" si="197"/>
        <v>60</v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>
        <f t="shared" si="206"/>
        <v>60</v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1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292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>
        <v>2040</v>
      </c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>
        <f t="shared" si="197"/>
        <v>2040</v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>
        <f t="shared" si="206"/>
        <v>2040</v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0</v>
      </c>
      <c r="DO60" s="830">
        <f t="shared" si="218"/>
        <v>1</v>
      </c>
      <c r="DP60" s="947"/>
      <c r="DQ60" s="948"/>
      <c r="DR60" s="948"/>
      <c r="DS60" s="949"/>
      <c r="DU60" s="60"/>
    </row>
    <row r="61" spans="1:125" ht="12.75" customHeight="1">
      <c r="A61" s="872" t="s">
        <v>252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>
        <f t="shared" si="227"/>
        <v>5.4438711972958553E-3</v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>
        <f t="shared" si="197"/>
        <v>5.4438711972958553E-3</v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296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>
        <f t="shared" si="206"/>
        <v>5.4438711972958553E-3</v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1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288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>
        <v>12</v>
      </c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>
        <f t="shared" si="197"/>
        <v>12</v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>
        <f t="shared" si="206"/>
        <v>12</v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1</v>
      </c>
      <c r="DP62" s="959"/>
      <c r="DQ62" s="284"/>
      <c r="DR62" s="284"/>
      <c r="DS62" s="960"/>
      <c r="DU62" s="60"/>
    </row>
    <row r="63" spans="1:125" ht="12.75" customHeight="1">
      <c r="A63" s="872" t="s">
        <v>286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>
        <f t="shared" si="231"/>
        <v>720</v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>
        <f t="shared" si="197"/>
        <v>720</v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>
        <f t="shared" si="206"/>
        <v>720</v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1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918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267</v>
      </c>
      <c r="AN64" s="940"/>
      <c r="AO64" s="284" t="s">
        <v>267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267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292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5">
        <f t="shared" si="233"/>
        <v>15200</v>
      </c>
      <c r="CL69" s="145">
        <f t="shared" si="233"/>
        <v>15200</v>
      </c>
      <c r="CM69" s="145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9">
        <f t="shared" si="233"/>
        <v>15200</v>
      </c>
      <c r="CU69" s="537">
        <f t="shared" si="234"/>
        <v>15200</v>
      </c>
      <c r="CV69" s="538">
        <f t="shared" si="235"/>
        <v>15200</v>
      </c>
      <c r="CW69" s="539">
        <f t="shared" si="236"/>
        <v>15200</v>
      </c>
      <c r="CX69" s="539">
        <f t="shared" si="237"/>
        <v>15200</v>
      </c>
      <c r="CY69" s="539">
        <f t="shared" si="238"/>
        <v>15200</v>
      </c>
      <c r="CZ69" s="539">
        <f t="shared" si="239"/>
        <v>15200</v>
      </c>
      <c r="DA69" s="539">
        <f t="shared" si="240"/>
        <v>15200</v>
      </c>
      <c r="DB69" s="540">
        <f t="shared" si="241"/>
        <v>15200</v>
      </c>
      <c r="DC69" s="540">
        <f t="shared" si="242"/>
        <v>15200</v>
      </c>
      <c r="DD69" s="540">
        <f t="shared" si="243"/>
        <v>15200</v>
      </c>
      <c r="DE69" s="539">
        <f t="shared" si="244"/>
        <v>15200</v>
      </c>
      <c r="DF69" s="539">
        <f t="shared" si="245"/>
        <v>15200</v>
      </c>
      <c r="DG69" s="539">
        <f t="shared" si="246"/>
        <v>15200</v>
      </c>
      <c r="DH69" s="539">
        <f t="shared" si="247"/>
        <v>15200</v>
      </c>
      <c r="DI69" s="539">
        <f t="shared" si="248"/>
        <v>15200</v>
      </c>
      <c r="DJ69" s="538">
        <f t="shared" si="249"/>
        <v>15200</v>
      </c>
      <c r="DK69" s="537">
        <f t="shared" si="250"/>
        <v>15200</v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252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296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288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286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505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4.3319476961394772E-2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2.0085548511264574E-2</v>
      </c>
      <c r="CL73" s="524">
        <f t="shared" si="276"/>
        <v>2.2094103362391031E-2</v>
      </c>
      <c r="CM73" s="524">
        <f t="shared" si="276"/>
        <v>2.2094103362391031E-2</v>
      </c>
      <c r="CN73" s="523">
        <f t="shared" si="276"/>
        <v>2.2094103362391031E-2</v>
      </c>
      <c r="CO73" s="523">
        <f t="shared" si="276"/>
        <v>2.4102658213517487E-2</v>
      </c>
      <c r="CP73" s="523">
        <f t="shared" si="276"/>
        <v>3.7875605764098916E-2</v>
      </c>
      <c r="CQ73" s="523">
        <f t="shared" si="276"/>
        <v>4.0139802526240886E-2</v>
      </c>
      <c r="CR73" s="523">
        <f t="shared" si="276"/>
        <v>4.3319476961394772E-2</v>
      </c>
      <c r="CS73" s="522">
        <f t="shared" si="276"/>
        <v>8.9746074097135753E-2</v>
      </c>
      <c r="CT73" s="1296">
        <f t="shared" si="276"/>
        <v>0.11413657378580325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2.0085548511264574E-2</v>
      </c>
      <c r="DC73" s="528">
        <f t="shared" si="242"/>
        <v>2.2094103362391031E-2</v>
      </c>
      <c r="DD73" s="528">
        <f t="shared" si="243"/>
        <v>2.2094103362391031E-2</v>
      </c>
      <c r="DE73" s="527">
        <f t="shared" si="244"/>
        <v>2.2094103362391031E-2</v>
      </c>
      <c r="DF73" s="527">
        <f t="shared" si="245"/>
        <v>2.4102658213517487E-2</v>
      </c>
      <c r="DG73" s="527">
        <f t="shared" si="246"/>
        <v>3.7875605764098916E-2</v>
      </c>
      <c r="DH73" s="527">
        <f t="shared" si="247"/>
        <v>4.0139802526240886E-2</v>
      </c>
      <c r="DI73" s="527">
        <f t="shared" si="248"/>
        <v>4.3319476961394772E-2</v>
      </c>
      <c r="DJ73" s="526">
        <f t="shared" si="249"/>
        <v>8.9746074097135753E-2</v>
      </c>
      <c r="DK73" s="525">
        <f t="shared" si="250"/>
        <v>0.11413657378580325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506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1980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1100</v>
      </c>
      <c r="CL74" s="145">
        <f t="shared" si="276"/>
        <v>1100</v>
      </c>
      <c r="CM74" s="145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9">
        <f t="shared" si="276"/>
        <v>1980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1100</v>
      </c>
      <c r="DC74" s="540">
        <f t="shared" si="242"/>
        <v>1100</v>
      </c>
      <c r="DD74" s="540">
        <f t="shared" si="243"/>
        <v>1150</v>
      </c>
      <c r="DE74" s="539">
        <f t="shared" si="244"/>
        <v>1200</v>
      </c>
      <c r="DF74" s="539">
        <f t="shared" si="245"/>
        <v>1379.7</v>
      </c>
      <c r="DG74" s="539">
        <f t="shared" si="246"/>
        <v>1380</v>
      </c>
      <c r="DH74" s="539">
        <f t="shared" si="247"/>
        <v>1500</v>
      </c>
      <c r="DI74" s="539">
        <f t="shared" si="248"/>
        <v>1500</v>
      </c>
      <c r="DJ74" s="538">
        <f t="shared" si="249"/>
        <v>1860</v>
      </c>
      <c r="DK74" s="537">
        <f t="shared" si="250"/>
        <v>1980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4"/>
      <c r="U75" s="1404"/>
      <c r="V75" s="1404"/>
      <c r="W75" s="1404"/>
      <c r="X75" s="1404"/>
      <c r="Y75" s="1404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4"/>
      <c r="U76" s="1404"/>
      <c r="V76" s="1404"/>
      <c r="W76" s="1404"/>
      <c r="X76" s="1404"/>
      <c r="Y76" s="1404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4"/>
      <c r="U77" s="1404"/>
      <c r="V77" s="1404"/>
      <c r="W77" s="1404"/>
      <c r="X77" s="1404"/>
      <c r="Y77" s="1404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4"/>
      <c r="U78" s="1404"/>
      <c r="V78" s="1404"/>
      <c r="W78" s="1404"/>
      <c r="X78" s="1404"/>
      <c r="Y78" s="1404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4"/>
      <c r="U79" s="1404"/>
      <c r="V79" s="1404"/>
      <c r="W79" s="1404"/>
      <c r="X79" s="1404"/>
      <c r="Y79" s="1404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4"/>
      <c r="U80" s="1404"/>
      <c r="V80" s="1404"/>
      <c r="W80" s="1404"/>
      <c r="X80" s="1404"/>
      <c r="Y80" s="1404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4"/>
      <c r="U81" s="1404"/>
      <c r="V81" s="1404"/>
      <c r="W81" s="1404"/>
      <c r="X81" s="1404"/>
      <c r="Y81" s="1404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4"/>
      <c r="U82" s="1404"/>
      <c r="V82" s="1404"/>
      <c r="W82" s="1404"/>
      <c r="X82" s="1404"/>
      <c r="Y82" s="1404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4"/>
      <c r="U83" s="1404"/>
      <c r="V83" s="1404"/>
      <c r="W83" s="1404"/>
      <c r="X83" s="1404"/>
      <c r="Y83" s="1404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4"/>
      <c r="U84" s="1404"/>
      <c r="V84" s="1404"/>
      <c r="W84" s="1404"/>
      <c r="X84" s="1404"/>
      <c r="Y84" s="1404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4"/>
      <c r="U85" s="1404"/>
      <c r="V85" s="1404"/>
      <c r="W85" s="1404"/>
      <c r="X85" s="1404"/>
      <c r="Y85" s="1404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4"/>
      <c r="U86" s="1404"/>
      <c r="V86" s="1404"/>
      <c r="W86" s="1404"/>
      <c r="X86" s="1404"/>
      <c r="Y86" s="1404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4"/>
      <c r="U87" s="1404"/>
      <c r="V87" s="1404"/>
      <c r="W87" s="1404"/>
      <c r="X87" s="1404"/>
      <c r="Y87" s="1404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4"/>
      <c r="U88" s="1404"/>
      <c r="V88" s="1404"/>
      <c r="W88" s="1404"/>
      <c r="X88" s="1404"/>
      <c r="Y88" s="1404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4"/>
      <c r="U89" s="1404"/>
      <c r="V89" s="1404"/>
      <c r="W89" s="1404"/>
      <c r="X89" s="1404"/>
      <c r="Y89" s="1404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220" activePane="bottomRight" state="frozen"/>
      <selection pane="topRight" activeCell="B1" sqref="B1"/>
      <selection pane="bottomLeft" activeCell="A8" sqref="A8"/>
      <selection pane="bottomRight" activeCell="F239" sqref="F23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8.332031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1584" t="s">
        <v>938</v>
      </c>
      <c r="K1" s="1585">
        <f>Data!$K$1</f>
        <v>4.1867999999999999</v>
      </c>
      <c r="L1" s="1020"/>
      <c r="M1" s="1387" t="s">
        <v>713</v>
      </c>
      <c r="N1" s="1388"/>
      <c r="O1" s="1388"/>
      <c r="P1" s="1389">
        <f>Data!$G$1</f>
        <v>8800</v>
      </c>
      <c r="Q1" s="139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484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485</v>
      </c>
      <c r="I3" s="1026"/>
      <c r="J3" s="1026"/>
      <c r="K3" s="1026"/>
      <c r="L3" s="1027"/>
      <c r="M3" s="1025" t="s">
        <v>507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508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1.3865300426933227</v>
      </c>
      <c r="E10" s="1042">
        <f>SUM(E11:E19)</f>
        <v>1.5219052253676688</v>
      </c>
      <c r="F10" s="1042">
        <f>SUM(F11:F19)</f>
        <v>1.6880054249428398</v>
      </c>
      <c r="G10" s="1041"/>
      <c r="H10" s="1043"/>
      <c r="I10" s="1043"/>
      <c r="J10" s="1043"/>
      <c r="K10" s="1043"/>
      <c r="L10" s="1041"/>
      <c r="M10" s="1042">
        <f>SUM(M11:M19)</f>
        <v>0.13219867159461507</v>
      </c>
      <c r="N10" s="1042">
        <f>SUM(N11:N19)</f>
        <v>0.14749176188104093</v>
      </c>
      <c r="O10" s="1042">
        <f>SUM(O11:O19)</f>
        <v>0.19890382251304589</v>
      </c>
      <c r="P10" s="1042">
        <f>SUM(P11:P19)</f>
        <v>0.13986217764138414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691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8"/>
      <c r="I11" s="1048"/>
      <c r="J11" s="1048"/>
      <c r="K11" s="1048"/>
      <c r="L11" s="41"/>
      <c r="M11" s="532">
        <f>SUM(M832:M835,M838:M841,M844,M847,M849)</f>
        <v>1.2464593711083438E-2</v>
      </c>
      <c r="N11" s="532">
        <f t="shared" ref="N11:P11" si="1">SUM(N832:N835,N838:N841,N844,N847,N849)</f>
        <v>2.1995641344956414E-3</v>
      </c>
      <c r="O11" s="532">
        <f t="shared" si="1"/>
        <v>0.10679796466376086</v>
      </c>
      <c r="P11" s="532">
        <f t="shared" si="1"/>
        <v>0.10122626968313272</v>
      </c>
      <c r="Q11" s="1049" t="s">
        <v>509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692</v>
      </c>
      <c r="B12" s="41"/>
      <c r="C12" s="532">
        <f>SUM(C830:C831,C836:C837,C842:C843,C845:C846,C848)</f>
        <v>0.11970715986924037</v>
      </c>
      <c r="D12" s="532">
        <f t="shared" ref="D12:F12" si="2">SUM(D830:D831,D836:D837,D842:D843,D845:D846,D848)</f>
        <v>0.20583994645080947</v>
      </c>
      <c r="E12" s="532">
        <f t="shared" si="2"/>
        <v>0.24679713496264011</v>
      </c>
      <c r="F12" s="532">
        <f t="shared" si="2"/>
        <v>0.22359404358655044</v>
      </c>
      <c r="G12" s="41"/>
      <c r="H12" s="1048"/>
      <c r="I12" s="1048"/>
      <c r="J12" s="1048"/>
      <c r="K12" s="1048"/>
      <c r="L12" s="41"/>
      <c r="M12" s="532">
        <f>SUM(M830:M831,M836:M837,M842:M843,M845:M846,M848)</f>
        <v>0</v>
      </c>
      <c r="N12" s="532">
        <f t="shared" ref="N12:P12" si="3">SUM(N830:N831,N836:N837,N842:N843,N845:N846,N848)</f>
        <v>4.7169933063511846E-2</v>
      </c>
      <c r="O12" s="532">
        <f t="shared" si="3"/>
        <v>8.2486281911581458E-3</v>
      </c>
      <c r="P12" s="532">
        <f t="shared" si="3"/>
        <v>3.0201792029887934E-2</v>
      </c>
      <c r="Q12" s="1049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4">SUM(D820:D829)</f>
        <v>3.4515284480074723E-2</v>
      </c>
      <c r="E13" s="532">
        <f t="shared" si="4"/>
        <v>5.9473770236612711E-2</v>
      </c>
      <c r="F13" s="532">
        <f t="shared" si="4"/>
        <v>0.15490546734467969</v>
      </c>
      <c r="G13" s="41"/>
      <c r="H13" s="1048"/>
      <c r="I13" s="1048"/>
      <c r="J13" s="1048"/>
      <c r="K13" s="1048"/>
      <c r="L13" s="41"/>
      <c r="M13" s="532">
        <f>SUM(M820:M829)</f>
        <v>0</v>
      </c>
      <c r="N13" s="532">
        <f t="shared" ref="N13:P13" si="5">SUM(N820:N829)</f>
        <v>0</v>
      </c>
      <c r="O13" s="532">
        <f t="shared" si="5"/>
        <v>0</v>
      </c>
      <c r="P13" s="532">
        <f t="shared" si="5"/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510</v>
      </c>
      <c r="B14" s="41"/>
      <c r="C14" s="532">
        <f>SUM(C851:C852)</f>
        <v>0</v>
      </c>
      <c r="D14" s="532">
        <f t="shared" ref="D14:F14" si="6">SUM(D851:D852)</f>
        <v>0</v>
      </c>
      <c r="E14" s="532">
        <f t="shared" si="6"/>
        <v>0</v>
      </c>
      <c r="F14" s="532">
        <f t="shared" si="6"/>
        <v>1.1706102117061022E-2</v>
      </c>
      <c r="G14" s="41"/>
      <c r="H14" s="1048"/>
      <c r="I14" s="1048"/>
      <c r="J14" s="1048"/>
      <c r="K14" s="1048"/>
      <c r="L14" s="41"/>
      <c r="M14" s="532">
        <f>SUM(M851:M852)</f>
        <v>0</v>
      </c>
      <c r="N14" s="532">
        <f t="shared" ref="N14:P14" si="7">SUM(N851:N852)</f>
        <v>0</v>
      </c>
      <c r="O14" s="532">
        <f t="shared" si="7"/>
        <v>0</v>
      </c>
      <c r="P14" s="532">
        <f t="shared" si="7"/>
        <v>-1.1706102117061022E-2</v>
      </c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511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8"/>
      <c r="I15" s="1048"/>
      <c r="J15" s="1048"/>
      <c r="K15" s="1048"/>
      <c r="L15" s="41"/>
      <c r="M15" s="532">
        <f>SUM(M854:M858)</f>
        <v>0</v>
      </c>
      <c r="N15" s="532">
        <f>SUM(N854:N858)</f>
        <v>0</v>
      </c>
      <c r="O15" s="532">
        <f>SUM(O854:O858)</f>
        <v>0</v>
      </c>
      <c r="P15" s="532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693</v>
      </c>
      <c r="B16" s="41"/>
      <c r="C16" s="532">
        <f>SUM(C859:C864,C886)</f>
        <v>0.57517989881693654</v>
      </c>
      <c r="D16" s="532">
        <f t="shared" ref="D16:F16" si="8">SUM(D859:D864,D886)</f>
        <v>0.57048734589041095</v>
      </c>
      <c r="E16" s="532">
        <f t="shared" si="8"/>
        <v>0.56457277397260275</v>
      </c>
      <c r="F16" s="532">
        <f t="shared" si="8"/>
        <v>0.60560871481942702</v>
      </c>
      <c r="G16" s="41"/>
      <c r="H16" s="1048"/>
      <c r="I16" s="1048"/>
      <c r="J16" s="1048"/>
      <c r="K16" s="1048"/>
      <c r="L16" s="41"/>
      <c r="M16" s="532">
        <f>SUM(M859:M864,M886)</f>
        <v>9.0715906068463761E-2</v>
      </c>
      <c r="N16" s="532">
        <f t="shared" ref="N16:P16" si="9">SUM(N859:N864,N886)</f>
        <v>8.9493887077181047E-2</v>
      </c>
      <c r="O16" s="532">
        <f t="shared" si="9"/>
        <v>8.9493887077181047E-2</v>
      </c>
      <c r="P16" s="532">
        <f t="shared" si="9"/>
        <v>1.3079138633843586E-2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694</v>
      </c>
      <c r="B17" s="41"/>
      <c r="C17" s="532">
        <f>SUM(C865:C885,C887:C888)</f>
        <v>0.21670470112079698</v>
      </c>
      <c r="D17" s="532">
        <f t="shared" ref="D17:F17" si="10">SUM(D865:D885,D887:D888)</f>
        <v>0.23709449533001245</v>
      </c>
      <c r="E17" s="532">
        <f t="shared" si="10"/>
        <v>0.25135953035491904</v>
      </c>
      <c r="F17" s="532">
        <f t="shared" si="10"/>
        <v>0.23866179352428391</v>
      </c>
      <c r="G17" s="41"/>
      <c r="H17" s="1048"/>
      <c r="I17" s="1048"/>
      <c r="J17" s="1048"/>
      <c r="K17" s="1048"/>
      <c r="L17" s="41"/>
      <c r="M17" s="532">
        <f>SUM(M865:M885,M887:M888)</f>
        <v>2.901817181506787E-2</v>
      </c>
      <c r="N17" s="532">
        <f t="shared" ref="N17:P17" si="11">SUM(N865:N885,N887:N888)</f>
        <v>8.6283776058524164E-3</v>
      </c>
      <c r="O17" s="532">
        <f t="shared" si="11"/>
        <v>-5.6366574190541835E-3</v>
      </c>
      <c r="P17" s="532">
        <f t="shared" si="11"/>
        <v>7.0610794115809443E-3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512</v>
      </c>
      <c r="B18" s="41"/>
      <c r="C18" s="532">
        <f>SUM(C889:C895)</f>
        <v>0.11904761904761904</v>
      </c>
      <c r="D18" s="532">
        <f t="shared" ref="D18:F18" si="12">SUM(D889:D895)</f>
        <v>0.11904761904761904</v>
      </c>
      <c r="E18" s="532">
        <f t="shared" si="12"/>
        <v>0.11904761904761904</v>
      </c>
      <c r="F18" s="532">
        <f t="shared" si="12"/>
        <v>0.10582010582010581</v>
      </c>
      <c r="G18" s="41"/>
      <c r="H18" s="1048"/>
      <c r="I18" s="1048"/>
      <c r="J18" s="1048"/>
      <c r="K18" s="1048"/>
      <c r="L18" s="41"/>
      <c r="M18" s="532">
        <f>SUM(M889:M895)</f>
        <v>0</v>
      </c>
      <c r="N18" s="532">
        <f t="shared" ref="N18:P18" si="13">SUM(N889:N895)</f>
        <v>0</v>
      </c>
      <c r="O18" s="532">
        <f t="shared" si="13"/>
        <v>0</v>
      </c>
      <c r="P18" s="532">
        <f t="shared" si="13"/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513</v>
      </c>
      <c r="B19" s="41"/>
      <c r="C19" s="532">
        <f>SUM(C896:C899)</f>
        <v>0</v>
      </c>
      <c r="D19" s="532">
        <f>SUM(D896:D899)</f>
        <v>0</v>
      </c>
      <c r="E19" s="532">
        <f t="shared" ref="E19:F19" si="14">SUM(E896:E899)</f>
        <v>4.0764573474470739E-2</v>
      </c>
      <c r="F19" s="532">
        <f t="shared" si="14"/>
        <v>7.9110766293067666E-2</v>
      </c>
      <c r="G19" s="41"/>
      <c r="H19" s="1048"/>
      <c r="I19" s="1048"/>
      <c r="J19" s="1048"/>
      <c r="K19" s="1048"/>
      <c r="L19" s="41"/>
      <c r="M19" s="532">
        <f>SUM(M896:M899)</f>
        <v>0</v>
      </c>
      <c r="N19" s="532">
        <f>SUM(N896:N899)</f>
        <v>0</v>
      </c>
      <c r="O19" s="532">
        <f t="shared" ref="O19:P19" si="15">SUM(O896:O899)</f>
        <v>0</v>
      </c>
      <c r="P19" s="532">
        <f t="shared" si="15"/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2" t="s">
        <v>134</v>
      </c>
      <c r="B20" s="1050"/>
      <c r="C20" s="1051">
        <f>SUM(C21:C30)</f>
        <v>22020</v>
      </c>
      <c r="D20" s="1051">
        <f>SUM(D21:D30)</f>
        <v>24465</v>
      </c>
      <c r="E20" s="1051">
        <f>SUM(E21:E30)</f>
        <v>34453</v>
      </c>
      <c r="F20" s="1051">
        <f>SUM(F21:F30)</f>
        <v>57746</v>
      </c>
      <c r="G20" s="1050"/>
      <c r="H20" s="1052"/>
      <c r="I20" s="1052"/>
      <c r="J20" s="1052"/>
      <c r="K20" s="1052"/>
      <c r="L20" s="1050"/>
      <c r="M20" s="1051">
        <f>SUM(M21:M30)</f>
        <v>0</v>
      </c>
      <c r="N20" s="1051">
        <f>SUM(N21:N30)</f>
        <v>-686</v>
      </c>
      <c r="O20" s="1051">
        <f>SUM(O21:O30)</f>
        <v>1027.3</v>
      </c>
      <c r="P20" s="1051">
        <f>SUM(P21:P30)</f>
        <v>651</v>
      </c>
      <c r="Q20" s="876"/>
      <c r="R20" s="882"/>
      <c r="S20" s="1014"/>
      <c r="T20" s="1014"/>
      <c r="U20" s="1046">
        <v>20</v>
      </c>
      <c r="V20" s="830"/>
    </row>
    <row r="21" spans="1:22" s="1055" customFormat="1" ht="15.75" customHeight="1">
      <c r="A21" s="689" t="s">
        <v>135</v>
      </c>
      <c r="B21" s="1050"/>
      <c r="C21" s="1053">
        <f>SUM(C931:C960)</f>
        <v>0</v>
      </c>
      <c r="D21" s="1053">
        <f>SUM(D931:D960)</f>
        <v>836</v>
      </c>
      <c r="E21" s="1053">
        <f>SUM(E931:E960)</f>
        <v>3621</v>
      </c>
      <c r="F21" s="1053">
        <f>SUM(F931:F960)</f>
        <v>5774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-686</v>
      </c>
      <c r="O21" s="1053">
        <f>SUM(O931:O960)</f>
        <v>-58.5</v>
      </c>
      <c r="P21" s="1053">
        <f>SUM(P931:P960)</f>
        <v>-1849</v>
      </c>
      <c r="Q21" s="1054"/>
      <c r="R21" s="882"/>
      <c r="S21" s="1014"/>
      <c r="T21" s="1014"/>
      <c r="U21" s="1046">
        <v>21</v>
      </c>
      <c r="V21" s="1014"/>
    </row>
    <row r="22" spans="1:22" s="1055" customFormat="1" ht="15.75" customHeight="1">
      <c r="A22" s="689" t="s">
        <v>136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3">
        <f>SUM(M904:M919)</f>
        <v>0</v>
      </c>
      <c r="N22" s="1053">
        <f>SUM(N904:N919)</f>
        <v>0</v>
      </c>
      <c r="O22" s="1053">
        <f>SUM(O904:O919)</f>
        <v>0</v>
      </c>
      <c r="P22" s="1053">
        <f>SUM(P904:P919)</f>
        <v>0</v>
      </c>
      <c r="Q22" s="1054"/>
      <c r="R22" s="882"/>
      <c r="S22" s="1014"/>
      <c r="T22" s="1014"/>
      <c r="U22" s="1046">
        <v>22</v>
      </c>
      <c r="V22" s="1014"/>
    </row>
    <row r="23" spans="1:22" s="1055" customFormat="1" ht="15.75" customHeight="1">
      <c r="A23" s="689" t="s">
        <v>137</v>
      </c>
      <c r="B23" s="1050"/>
      <c r="C23" s="1053">
        <f>SUM(C920:C930)</f>
        <v>0</v>
      </c>
      <c r="D23" s="1053">
        <f>SUM(D920:D930)</f>
        <v>500</v>
      </c>
      <c r="E23" s="1053">
        <f>SUM(E920:E930)</f>
        <v>3500</v>
      </c>
      <c r="F23" s="1053">
        <f>SUM(F920:F930)</f>
        <v>11050</v>
      </c>
      <c r="G23" s="1050"/>
      <c r="H23" s="1052"/>
      <c r="I23" s="1052"/>
      <c r="J23" s="1052"/>
      <c r="K23" s="1052"/>
      <c r="L23" s="1050"/>
      <c r="M23" s="1053">
        <f>SUM(M920:M930)</f>
        <v>0</v>
      </c>
      <c r="N23" s="1053">
        <f>SUM(N920:N930)</f>
        <v>0</v>
      </c>
      <c r="O23" s="1053">
        <f>SUM(O920:O930)</f>
        <v>1000</v>
      </c>
      <c r="P23" s="1053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5" customFormat="1" ht="15.75" customHeight="1">
      <c r="A24" s="541" t="s">
        <v>676</v>
      </c>
      <c r="B24" s="1050"/>
      <c r="C24" s="1053">
        <f>SUM(C965:C968)</f>
        <v>0</v>
      </c>
      <c r="D24" s="1053">
        <f>SUM(D965:D968)</f>
        <v>1109</v>
      </c>
      <c r="E24" s="1053">
        <f>SUM(E965:E968)</f>
        <v>752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2"/>
      <c r="S24" s="1014"/>
      <c r="T24" s="1014"/>
      <c r="U24" s="1046">
        <v>24</v>
      </c>
      <c r="V24" s="1014"/>
    </row>
    <row r="25" spans="1:22" s="1055" customFormat="1" ht="15.75" customHeight="1">
      <c r="A25" s="541" t="s">
        <v>677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0</v>
      </c>
      <c r="F25" s="1053">
        <f>SUM(F969:F971)</f>
        <v>34760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3"/>
      <c r="R25" s="882"/>
      <c r="S25" s="1014"/>
      <c r="T25" s="1014"/>
      <c r="U25" s="1046">
        <v>25</v>
      </c>
      <c r="V25" s="1014"/>
    </row>
    <row r="26" spans="1:22" s="1055" customFormat="1" ht="15.75" customHeight="1">
      <c r="A26" s="689" t="s">
        <v>138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429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85.799999999999955</v>
      </c>
      <c r="P26" s="1053">
        <f>SUM(P972:P973)</f>
        <v>0</v>
      </c>
      <c r="Q26" s="1054"/>
      <c r="R26" s="882"/>
      <c r="S26" s="1014"/>
      <c r="T26" s="1014"/>
      <c r="U26" s="1046">
        <v>26</v>
      </c>
      <c r="V26" s="1014"/>
    </row>
    <row r="27" spans="1:22" s="1055" customFormat="1" ht="15.75" customHeight="1">
      <c r="A27" s="689" t="s">
        <v>139</v>
      </c>
      <c r="B27" s="1050"/>
      <c r="C27" s="1053">
        <f>SUM(C975:C975)</f>
        <v>0</v>
      </c>
      <c r="D27" s="1053">
        <f>SUM(D975:D975)</f>
        <v>0</v>
      </c>
      <c r="E27" s="1053">
        <f>SUM(E975:E975)</f>
        <v>2160</v>
      </c>
      <c r="F27" s="1053">
        <f>SUM(F975:F975)</f>
        <v>0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0"/>
      <c r="C28" s="1053">
        <f>SUM(C977:C980)</f>
        <v>22020</v>
      </c>
      <c r="D28" s="1053">
        <f>SUM(D977:D980)</f>
        <v>22020</v>
      </c>
      <c r="E28" s="1053">
        <f>SUM(E977:E980)</f>
        <v>22391</v>
      </c>
      <c r="F28" s="1053">
        <f>SUM(F977:F980)</f>
        <v>6162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0"/>
      <c r="C29" s="1053">
        <f>SUM(C981:C984)</f>
        <v>0</v>
      </c>
      <c r="D29" s="1053">
        <f>SUM(D981:D984)</f>
        <v>0</v>
      </c>
      <c r="E29" s="1053">
        <f>SUM(E981:E984)</f>
        <v>1600</v>
      </c>
      <c r="F29" s="1053">
        <f>SUM(F981:F984)</f>
        <v>0</v>
      </c>
      <c r="G29" s="1050"/>
      <c r="H29" s="1052"/>
      <c r="I29" s="1052"/>
      <c r="J29" s="1052"/>
      <c r="K29" s="1052"/>
      <c r="L29" s="1050"/>
      <c r="M29" s="1053">
        <f>SUM(M981:M984)</f>
        <v>0</v>
      </c>
      <c r="N29" s="1053">
        <f>SUM(N981:N984)</f>
        <v>0</v>
      </c>
      <c r="O29" s="1053">
        <f>SUM(O981:O984)</f>
        <v>0</v>
      </c>
      <c r="P29" s="1053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514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0</v>
      </c>
      <c r="N30" s="1053">
        <f>SUM(N962:N964)</f>
        <v>0</v>
      </c>
      <c r="O30" s="1053">
        <f>SUM(O962:O964)</f>
        <v>0</v>
      </c>
      <c r="P30" s="1053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2" t="s">
        <v>143</v>
      </c>
      <c r="B31" s="1050"/>
      <c r="C31" s="1051">
        <f>SUM(C32:C41)</f>
        <v>20352</v>
      </c>
      <c r="D31" s="1051">
        <f>SUM(D32:D41)</f>
        <v>23112</v>
      </c>
      <c r="E31" s="1051">
        <f>SUM(E32:E41)</f>
        <v>35108</v>
      </c>
      <c r="F31" s="1051">
        <f>SUM(F32:F41)</f>
        <v>57018</v>
      </c>
      <c r="G31" s="1050"/>
      <c r="H31" s="1052"/>
      <c r="I31" s="1052"/>
      <c r="J31" s="1052"/>
      <c r="K31" s="1052"/>
      <c r="L31" s="1050"/>
      <c r="M31" s="1051">
        <f>SUM(M32:M41)</f>
        <v>46035.0899018903</v>
      </c>
      <c r="N31" s="1051">
        <f>SUM(N32:N41)</f>
        <v>44180.0899018903</v>
      </c>
      <c r="O31" s="1051">
        <f>SUM(O32:O41)</f>
        <v>36189.0899018903</v>
      </c>
      <c r="P31" s="1051">
        <f>SUM(P32:P41)</f>
        <v>25974.976139626586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6"/>
      <c r="C32" s="547">
        <f t="shared" ref="C32:F32" si="16">C988</f>
        <v>4820</v>
      </c>
      <c r="D32" s="547">
        <f t="shared" si="16"/>
        <v>4825</v>
      </c>
      <c r="E32" s="547">
        <f t="shared" si="16"/>
        <v>5180</v>
      </c>
      <c r="F32" s="547">
        <f t="shared" si="16"/>
        <v>8340</v>
      </c>
      <c r="G32" s="1056"/>
      <c r="H32" s="1057"/>
      <c r="I32" s="1057"/>
      <c r="J32" s="1057"/>
      <c r="K32" s="1057"/>
      <c r="L32" s="1056"/>
      <c r="M32" s="547">
        <f t="shared" ref="M32:P32" si="17">M988</f>
        <v>3845.2942856068212</v>
      </c>
      <c r="N32" s="547">
        <f t="shared" si="17"/>
        <v>3805.2942856068212</v>
      </c>
      <c r="O32" s="547">
        <f t="shared" si="17"/>
        <v>3685.2942856068212</v>
      </c>
      <c r="P32" s="547">
        <f t="shared" si="17"/>
        <v>1355.9560713076739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6"/>
      <c r="C33" s="547">
        <f t="shared" ref="C33:F33" si="18">SUM(C989:C991)</f>
        <v>5112</v>
      </c>
      <c r="D33" s="547">
        <f t="shared" si="18"/>
        <v>5877</v>
      </c>
      <c r="E33" s="547">
        <f t="shared" si="18"/>
        <v>7078</v>
      </c>
      <c r="F33" s="547">
        <f t="shared" si="18"/>
        <v>7768</v>
      </c>
      <c r="G33" s="1056"/>
      <c r="H33" s="1057"/>
      <c r="I33" s="1057"/>
      <c r="J33" s="1057"/>
      <c r="K33" s="1057"/>
      <c r="L33" s="1056"/>
      <c r="M33" s="547">
        <f t="shared" ref="M33:P33" si="19">SUM(M989:M991)</f>
        <v>8467.1289496168101</v>
      </c>
      <c r="N33" s="547">
        <f t="shared" si="19"/>
        <v>7702.1289496168101</v>
      </c>
      <c r="O33" s="547">
        <f t="shared" si="19"/>
        <v>6501.1289496168101</v>
      </c>
      <c r="P33" s="547">
        <f t="shared" si="19"/>
        <v>7508.5200683189123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58"/>
      <c r="C34" s="547">
        <f t="shared" ref="C34:F34" si="20">C992</f>
        <v>770</v>
      </c>
      <c r="D34" s="547">
        <f t="shared" si="20"/>
        <v>830</v>
      </c>
      <c r="E34" s="547">
        <f t="shared" si="20"/>
        <v>1850</v>
      </c>
      <c r="F34" s="547">
        <f t="shared" si="20"/>
        <v>2510</v>
      </c>
      <c r="G34" s="1058"/>
      <c r="H34" s="1059"/>
      <c r="I34" s="1059"/>
      <c r="J34" s="1059"/>
      <c r="K34" s="1059"/>
      <c r="L34" s="1058"/>
      <c r="M34" s="547">
        <f t="shared" ref="M34:P34" si="21">M992</f>
        <v>2490</v>
      </c>
      <c r="N34" s="547">
        <f t="shared" si="21"/>
        <v>2490</v>
      </c>
      <c r="O34" s="547">
        <f t="shared" si="21"/>
        <v>1470</v>
      </c>
      <c r="P34" s="547">
        <f t="shared" si="21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58"/>
      <c r="H35" s="1059"/>
      <c r="I35" s="1059"/>
      <c r="J35" s="1059"/>
      <c r="K35" s="1059"/>
      <c r="L35" s="1058"/>
      <c r="M35" s="547">
        <f>M993</f>
        <v>0</v>
      </c>
      <c r="N35" s="547">
        <f>N993</f>
        <v>0</v>
      </c>
      <c r="O35" s="547">
        <f>O993</f>
        <v>0</v>
      </c>
      <c r="P35" s="547">
        <f>P993</f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0"/>
      <c r="C36" s="547">
        <f t="shared" ref="C36:F38" si="22">C994</f>
        <v>1200</v>
      </c>
      <c r="D36" s="547">
        <f t="shared" si="22"/>
        <v>1830</v>
      </c>
      <c r="E36" s="547">
        <f t="shared" si="22"/>
        <v>3600</v>
      </c>
      <c r="F36" s="547">
        <f t="shared" si="22"/>
        <v>8450</v>
      </c>
      <c r="G36" s="1058"/>
      <c r="H36" s="1059"/>
      <c r="I36" s="1059"/>
      <c r="J36" s="1059"/>
      <c r="K36" s="1059"/>
      <c r="L36" s="1058"/>
      <c r="M36" s="547">
        <f t="shared" ref="M36:P36" si="23">M994</f>
        <v>0</v>
      </c>
      <c r="N36" s="547">
        <f t="shared" si="23"/>
        <v>0</v>
      </c>
      <c r="O36" s="547">
        <f t="shared" si="23"/>
        <v>0</v>
      </c>
      <c r="P36" s="547">
        <f t="shared" si="23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22"/>
        <v>1350</v>
      </c>
      <c r="D37" s="547">
        <f t="shared" si="22"/>
        <v>1700</v>
      </c>
      <c r="E37" s="547">
        <f t="shared" si="22"/>
        <v>2400</v>
      </c>
      <c r="F37" s="547">
        <f t="shared" si="22"/>
        <v>5000</v>
      </c>
      <c r="G37" s="1058"/>
      <c r="H37" s="1059"/>
      <c r="I37" s="1059"/>
      <c r="J37" s="1059"/>
      <c r="K37" s="1059"/>
      <c r="L37" s="1058"/>
      <c r="M37" s="547">
        <f t="shared" ref="M37:P37" si="24">M995</f>
        <v>410</v>
      </c>
      <c r="N37" s="547">
        <f t="shared" si="24"/>
        <v>60</v>
      </c>
      <c r="O37" s="547">
        <f t="shared" si="24"/>
        <v>-640</v>
      </c>
      <c r="P37" s="547">
        <f t="shared" si="24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1"/>
      <c r="C38" s="547">
        <f t="shared" si="22"/>
        <v>1250</v>
      </c>
      <c r="D38" s="547">
        <f t="shared" si="22"/>
        <v>1750</v>
      </c>
      <c r="E38" s="547">
        <f t="shared" si="22"/>
        <v>3000</v>
      </c>
      <c r="F38" s="547">
        <f t="shared" si="22"/>
        <v>6500</v>
      </c>
      <c r="G38" s="1058"/>
      <c r="H38" s="1059"/>
      <c r="I38" s="1059"/>
      <c r="J38" s="1059"/>
      <c r="K38" s="1059"/>
      <c r="L38" s="1058"/>
      <c r="M38" s="547">
        <f t="shared" ref="M38:P38" si="25">M996</f>
        <v>1150</v>
      </c>
      <c r="N38" s="547">
        <f t="shared" si="25"/>
        <v>650</v>
      </c>
      <c r="O38" s="547">
        <f t="shared" si="25"/>
        <v>-600</v>
      </c>
      <c r="P38" s="547">
        <f t="shared" si="25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1"/>
      <c r="C39" s="547">
        <f t="shared" ref="C39:F39" si="26">SUM(C802,C804)</f>
        <v>1300</v>
      </c>
      <c r="D39" s="547">
        <f t="shared" si="26"/>
        <v>1750</v>
      </c>
      <c r="E39" s="547">
        <f t="shared" si="26"/>
        <v>4900</v>
      </c>
      <c r="F39" s="547">
        <f t="shared" si="26"/>
        <v>4200</v>
      </c>
      <c r="G39" s="1058"/>
      <c r="H39" s="1059"/>
      <c r="I39" s="1059"/>
      <c r="J39" s="1059"/>
      <c r="K39" s="1059"/>
      <c r="L39" s="1058"/>
      <c r="M39" s="547">
        <f t="shared" ref="M39:P39" si="27">SUM(M802,M804)</f>
        <v>-220</v>
      </c>
      <c r="N39" s="547">
        <f t="shared" si="27"/>
        <v>-420</v>
      </c>
      <c r="O39" s="547">
        <f t="shared" si="27"/>
        <v>-2020</v>
      </c>
      <c r="P39" s="547">
        <f t="shared" si="27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943</v>
      </c>
      <c r="B40" s="1061"/>
      <c r="C40" s="547">
        <f t="shared" ref="C40:F40" si="28">SUM(C803)</f>
        <v>1200</v>
      </c>
      <c r="D40" s="547">
        <f t="shared" si="28"/>
        <v>1200</v>
      </c>
      <c r="E40" s="547">
        <f t="shared" si="28"/>
        <v>2600</v>
      </c>
      <c r="F40" s="547">
        <f t="shared" si="28"/>
        <v>8500</v>
      </c>
      <c r="G40" s="1058"/>
      <c r="H40" s="1059"/>
      <c r="I40" s="1059"/>
      <c r="J40" s="1059"/>
      <c r="K40" s="1059"/>
      <c r="L40" s="1058"/>
      <c r="M40" s="547">
        <f t="shared" ref="M40:P40" si="29">SUM(M803)</f>
        <v>-496</v>
      </c>
      <c r="N40" s="547">
        <f t="shared" si="29"/>
        <v>-496</v>
      </c>
      <c r="O40" s="547">
        <f t="shared" si="29"/>
        <v>-1896</v>
      </c>
      <c r="P40" s="547">
        <f t="shared" si="29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151</v>
      </c>
      <c r="B41" s="1061"/>
      <c r="C41" s="549">
        <f t="shared" ref="C41:F41" si="30">SUM(C805:C810)</f>
        <v>3350</v>
      </c>
      <c r="D41" s="549">
        <f t="shared" si="30"/>
        <v>3350</v>
      </c>
      <c r="E41" s="549">
        <f t="shared" si="30"/>
        <v>4500</v>
      </c>
      <c r="F41" s="549">
        <f t="shared" si="30"/>
        <v>5750</v>
      </c>
      <c r="G41" s="1058"/>
      <c r="H41" s="1059"/>
      <c r="I41" s="1059"/>
      <c r="J41" s="1059"/>
      <c r="K41" s="1059"/>
      <c r="L41" s="1058"/>
      <c r="M41" s="549">
        <f t="shared" ref="M41:P41" si="31">SUM(M805:M810)</f>
        <v>30388.666666666668</v>
      </c>
      <c r="N41" s="549">
        <f t="shared" si="31"/>
        <v>30388.666666666668</v>
      </c>
      <c r="O41" s="549">
        <f t="shared" si="31"/>
        <v>29688.666666666668</v>
      </c>
      <c r="P41" s="549">
        <f t="shared" si="31"/>
        <v>32581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152</v>
      </c>
      <c r="B42" s="1061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0.15034975183583432</v>
      </c>
      <c r="F42" s="532">
        <f>IF(F20=0,"",F32/F20)</f>
        <v>0.14442558791950957</v>
      </c>
      <c r="G42" s="41"/>
      <c r="H42" s="1048"/>
      <c r="I42" s="1048"/>
      <c r="J42" s="1048"/>
      <c r="K42" s="1048"/>
      <c r="L42" s="41"/>
      <c r="M42" s="1062"/>
      <c r="N42" s="1062"/>
      <c r="O42" s="1062"/>
      <c r="P42" s="1062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3" t="s">
        <v>374</v>
      </c>
      <c r="B43" s="927"/>
      <c r="C43" s="552">
        <f>C811</f>
        <v>1668</v>
      </c>
      <c r="D43" s="552">
        <f>D20-D31</f>
        <v>1353</v>
      </c>
      <c r="E43" s="552">
        <f>E20-E31</f>
        <v>-655</v>
      </c>
      <c r="F43" s="552">
        <f>F20-F31</f>
        <v>728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6"/>
      <c r="R43" s="865"/>
      <c r="S43" s="830"/>
      <c r="T43" s="830"/>
      <c r="U43" s="1046">
        <v>43</v>
      </c>
      <c r="V43" s="830"/>
    </row>
    <row r="44" spans="1:36" s="1069" customFormat="1" ht="15.75" customHeight="1">
      <c r="A44" s="1066" t="s">
        <v>58</v>
      </c>
      <c r="B44" s="927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69" customFormat="1" ht="15.75" customHeight="1">
      <c r="A45" s="926" t="s">
        <v>515</v>
      </c>
      <c r="B45" s="927"/>
      <c r="C45" s="1070">
        <f>IF(WB!CK9="","",WB!CK9)</f>
        <v>0.5</v>
      </c>
      <c r="D45" s="1070">
        <f>IF(WB!CK10="","",WB!CK10)</f>
        <v>0.3</v>
      </c>
      <c r="E45" s="1070">
        <f>IF(WB!CK11="","",WB!CK11)</f>
        <v>0.15</v>
      </c>
      <c r="F45" s="1070">
        <f>IF(WB!CK12="","",WB!CK12)</f>
        <v>0.05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69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1"/>
      <c r="H46" s="1071">
        <f>SUM(C46)</f>
        <v>8</v>
      </c>
      <c r="I46" s="1071">
        <f>SUM(D46)</f>
        <v>8</v>
      </c>
      <c r="J46" s="1071">
        <f>SUM(E46)</f>
        <v>8</v>
      </c>
      <c r="K46" s="1071">
        <f>SUM(F46)</f>
        <v>9</v>
      </c>
      <c r="L46" s="1061"/>
      <c r="M46" s="1072"/>
      <c r="N46" s="1072"/>
      <c r="O46" s="1072"/>
      <c r="P46" s="1072"/>
      <c r="Q46" s="1068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69" customFormat="1" ht="15.75" customHeight="1">
      <c r="A47" s="926" t="s">
        <v>516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69" customFormat="1" ht="15.75" customHeight="1">
      <c r="A48" s="926" t="s">
        <v>517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69" customFormat="1" ht="15.75" customHeight="1">
      <c r="A49" s="926" t="s">
        <v>518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69" customFormat="1" ht="15.75" customHeight="1">
      <c r="A50" s="926" t="s">
        <v>519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69" customFormat="1" ht="15.75" customHeight="1">
      <c r="A51" s="926" t="s">
        <v>159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1"/>
      <c r="H51" s="1073">
        <f t="shared" ref="H51:K52" si="32">SUM(C51)</f>
        <v>0</v>
      </c>
      <c r="I51" s="1073">
        <f t="shared" si="32"/>
        <v>0</v>
      </c>
      <c r="J51" s="1073">
        <f t="shared" si="32"/>
        <v>0</v>
      </c>
      <c r="K51" s="1073">
        <f t="shared" si="32"/>
        <v>0</v>
      </c>
      <c r="L51" s="1061"/>
      <c r="M51" s="1072"/>
      <c r="N51" s="1072"/>
      <c r="O51" s="1072"/>
      <c r="P51" s="1072"/>
      <c r="Q51" s="1068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69" customFormat="1" ht="15.75" customHeight="1">
      <c r="A52" s="1074" t="s">
        <v>160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3">
        <f t="shared" si="32"/>
        <v>2</v>
      </c>
      <c r="I52" s="1073">
        <f t="shared" si="32"/>
        <v>4</v>
      </c>
      <c r="J52" s="1073">
        <f t="shared" si="32"/>
        <v>10</v>
      </c>
      <c r="K52" s="1073">
        <f t="shared" si="32"/>
        <v>25</v>
      </c>
      <c r="L52" s="927"/>
      <c r="M52" s="948"/>
      <c r="N52" s="948"/>
      <c r="O52" s="948"/>
      <c r="P52" s="948"/>
      <c r="Q52" s="1068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69" customFormat="1" ht="15.75" customHeight="1">
      <c r="A53" s="926" t="s">
        <v>161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3"/>
      <c r="I53" s="1073"/>
      <c r="J53" s="1073"/>
      <c r="K53" s="1073"/>
      <c r="L53" s="927"/>
      <c r="M53" s="948"/>
      <c r="N53" s="948"/>
      <c r="O53" s="948"/>
      <c r="P53" s="948"/>
      <c r="Q53" s="1068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69" customFormat="1" ht="15.75" customHeight="1">
      <c r="A54" s="1074" t="s">
        <v>162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3">
        <f t="shared" ref="H54:K55" si="33">SUM(C54)</f>
        <v>3</v>
      </c>
      <c r="I54" s="1073">
        <f t="shared" si="33"/>
        <v>8</v>
      </c>
      <c r="J54" s="1073">
        <f t="shared" si="33"/>
        <v>15</v>
      </c>
      <c r="K54" s="1073">
        <f t="shared" si="33"/>
        <v>20</v>
      </c>
      <c r="L54" s="927"/>
      <c r="M54" s="948"/>
      <c r="N54" s="948"/>
      <c r="O54" s="948"/>
      <c r="P54" s="948"/>
      <c r="Q54" s="1068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69" customFormat="1" ht="15.75" customHeight="1">
      <c r="A55" s="1074" t="s">
        <v>163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3">
        <f t="shared" si="33"/>
        <v>0</v>
      </c>
      <c r="I55" s="1073">
        <f t="shared" si="33"/>
        <v>0</v>
      </c>
      <c r="J55" s="1073">
        <f t="shared" si="33"/>
        <v>0</v>
      </c>
      <c r="K55" s="1073">
        <f t="shared" si="33"/>
        <v>0</v>
      </c>
      <c r="L55" s="927"/>
      <c r="M55" s="948"/>
      <c r="N55" s="948"/>
      <c r="O55" s="948"/>
      <c r="P55" s="948"/>
      <c r="Q55" s="1068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69" customFormat="1" ht="15.75" customHeight="1">
      <c r="A56" s="1074" t="s">
        <v>164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3"/>
      <c r="I56" s="1073"/>
      <c r="J56" s="1073"/>
      <c r="K56" s="1073"/>
      <c r="L56" s="927"/>
      <c r="M56" s="948"/>
      <c r="N56" s="948"/>
      <c r="O56" s="948"/>
      <c r="P56" s="948"/>
      <c r="Q56" s="1068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69" customFormat="1" ht="15.75" customHeight="1">
      <c r="A57" s="1075" t="s">
        <v>165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3"/>
      <c r="I57" s="1073"/>
      <c r="J57" s="1073"/>
      <c r="K57" s="1073"/>
      <c r="L57" s="927"/>
      <c r="M57" s="948"/>
      <c r="N57" s="948"/>
      <c r="O57" s="948"/>
      <c r="P57" s="948"/>
      <c r="Q57" s="1068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69" customFormat="1" ht="15.75" customHeight="1">
      <c r="A58" s="1076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3"/>
      <c r="I58" s="1073"/>
      <c r="J58" s="1073"/>
      <c r="K58" s="1073"/>
      <c r="L58" s="927"/>
      <c r="M58" s="948"/>
      <c r="N58" s="948"/>
      <c r="O58" s="948"/>
      <c r="P58" s="948"/>
      <c r="Q58" s="1068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69" customFormat="1" ht="15.75" customHeight="1">
      <c r="A59" s="1074" t="str">
        <f>WB!A178</f>
        <v>Other: Donkey or Ox Carts</v>
      </c>
      <c r="B59" s="1077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3"/>
      <c r="I59" s="1073"/>
      <c r="J59" s="1073"/>
      <c r="K59" s="1073"/>
      <c r="L59" s="927"/>
      <c r="M59" s="948"/>
      <c r="N59" s="948"/>
      <c r="O59" s="948"/>
      <c r="P59" s="948"/>
      <c r="Q59" s="1068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69" customFormat="1" ht="15.75" customHeight="1">
      <c r="A60" s="1074" t="str">
        <f>WB!A182</f>
        <v>Other: Ploughs</v>
      </c>
      <c r="B60" s="1061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3"/>
      <c r="I60" s="1073"/>
      <c r="J60" s="1073"/>
      <c r="K60" s="1073"/>
      <c r="L60" s="927"/>
      <c r="M60" s="948"/>
      <c r="N60" s="948"/>
      <c r="O60" s="948"/>
      <c r="P60" s="948"/>
      <c r="Q60" s="1068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69" customFormat="1" ht="15.75" customHeight="1">
      <c r="A61" s="1074" t="str">
        <f>WB!A186</f>
        <v>Other: Vehicles</v>
      </c>
      <c r="B61" s="1078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3"/>
      <c r="I61" s="1073"/>
      <c r="J61" s="1073"/>
      <c r="K61" s="1073"/>
      <c r="L61" s="927"/>
      <c r="M61" s="948"/>
      <c r="N61" s="948"/>
      <c r="O61" s="948"/>
      <c r="P61" s="948"/>
      <c r="Q61" s="1068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69" customFormat="1" ht="15.75" customHeight="1">
      <c r="A62" s="1074" t="str">
        <f>WB!A190</f>
        <v>Other: Spaza Shop</v>
      </c>
      <c r="B62" s="1079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3"/>
      <c r="I62" s="1073"/>
      <c r="J62" s="1073"/>
      <c r="K62" s="1073"/>
      <c r="L62" s="927"/>
      <c r="M62" s="948"/>
      <c r="N62" s="948"/>
      <c r="O62" s="948"/>
      <c r="P62" s="948"/>
      <c r="Q62" s="1068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69" customFormat="1" ht="15.75" customHeight="1">
      <c r="A63" s="1080" t="str">
        <f>WB!A194</f>
        <v>Other: (horse)</v>
      </c>
      <c r="B63" s="1081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2"/>
      <c r="I63" s="1082"/>
      <c r="J63" s="1082"/>
      <c r="K63" s="1082"/>
      <c r="L63" s="927"/>
      <c r="M63" s="1083"/>
      <c r="N63" s="1083"/>
      <c r="O63" s="1083"/>
      <c r="P63" s="1083"/>
      <c r="Q63" s="1068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69" customFormat="1" ht="15.75" hidden="1" customHeight="1">
      <c r="A65" s="1354" t="s">
        <v>167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69" customFormat="1" ht="15.75" hidden="1" customHeight="1">
      <c r="A66" s="1074" t="s">
        <v>169</v>
      </c>
      <c r="B66" s="1090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78"/>
      <c r="H66" s="948"/>
      <c r="I66" s="948"/>
      <c r="J66" s="948"/>
      <c r="K66" s="948"/>
      <c r="L66" s="1078"/>
      <c r="M66" s="948"/>
      <c r="N66" s="948"/>
      <c r="O66" s="948"/>
      <c r="P66" s="948"/>
      <c r="Q66" s="1068"/>
      <c r="R66" s="1091"/>
      <c r="S66" s="1092"/>
      <c r="T66" s="1092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69" customFormat="1" ht="15.75" hidden="1" customHeight="1">
      <c r="A67" s="1093" t="s">
        <v>171</v>
      </c>
      <c r="B67" s="1078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78"/>
      <c r="H67" s="948"/>
      <c r="I67" s="948"/>
      <c r="J67" s="948"/>
      <c r="K67" s="948"/>
      <c r="L67" s="1078"/>
      <c r="M67" s="948"/>
      <c r="N67" s="948"/>
      <c r="O67" s="948"/>
      <c r="P67" s="948"/>
      <c r="Q67" s="1068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69" customFormat="1" ht="15.75" hidden="1" customHeight="1">
      <c r="A68" s="1075" t="s">
        <v>173</v>
      </c>
      <c r="B68" s="1081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1"/>
      <c r="H68" s="948"/>
      <c r="I68" s="948"/>
      <c r="J68" s="948"/>
      <c r="K68" s="948"/>
      <c r="L68" s="1081"/>
      <c r="M68" s="1094"/>
      <c r="N68" s="1094"/>
      <c r="O68" s="1094"/>
      <c r="P68" s="1094"/>
      <c r="Q68" s="1068"/>
      <c r="R68" s="1091"/>
      <c r="S68" s="1092"/>
      <c r="T68" s="1092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8"/>
      <c r="I69" s="948"/>
      <c r="J69" s="948"/>
      <c r="K69" s="948"/>
      <c r="L69" s="1079"/>
      <c r="M69" s="1094"/>
      <c r="N69" s="1094"/>
      <c r="O69" s="1094"/>
      <c r="P69" s="1094"/>
      <c r="Q69" s="1068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69" customFormat="1" ht="15.75" hidden="1" customHeight="1">
      <c r="A70" s="1075" t="s">
        <v>179</v>
      </c>
      <c r="B70" s="1081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1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2"/>
      <c r="S70" s="1014"/>
      <c r="T70" s="1014"/>
      <c r="U70" s="1046">
        <v>70</v>
      </c>
      <c r="V70" s="461"/>
    </row>
    <row r="71" spans="1:36" s="1069" customFormat="1" ht="15.75" hidden="1" customHeight="1">
      <c r="A71" s="1075" t="s">
        <v>181</v>
      </c>
      <c r="B71" s="1081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1"/>
      <c r="H71" s="948"/>
      <c r="I71" s="948"/>
      <c r="J71" s="948"/>
      <c r="K71" s="948"/>
      <c r="L71" s="1081"/>
      <c r="M71" s="1094"/>
      <c r="N71" s="1094"/>
      <c r="O71" s="1094"/>
      <c r="P71" s="1094"/>
      <c r="Q71" s="1068"/>
      <c r="R71" s="1091"/>
      <c r="S71" s="1092"/>
      <c r="T71" s="1092"/>
      <c r="U71" s="1046">
        <v>71</v>
      </c>
      <c r="V71" s="461"/>
    </row>
    <row r="72" spans="1:36" s="1069" customFormat="1" ht="15.75" hidden="1" customHeight="1">
      <c r="A72" s="1075" t="s">
        <v>183</v>
      </c>
      <c r="B72" s="1097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2"/>
      <c r="S72" s="1014"/>
      <c r="T72" s="1014"/>
      <c r="U72" s="1046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8"/>
      <c r="I73" s="948"/>
      <c r="J73" s="948"/>
      <c r="K73" s="948"/>
      <c r="L73" s="1090"/>
      <c r="M73" s="948"/>
      <c r="N73" s="948"/>
      <c r="O73" s="948"/>
      <c r="P73" s="948"/>
      <c r="Q73" s="1068"/>
      <c r="R73" s="882"/>
      <c r="S73" s="1014"/>
      <c r="T73" s="1014"/>
      <c r="U73" s="1046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9"/>
      <c r="I74" s="639"/>
      <c r="J74" s="639"/>
      <c r="K74" s="639"/>
      <c r="L74" s="1090"/>
      <c r="M74" s="948"/>
      <c r="N74" s="948"/>
      <c r="O74" s="948"/>
      <c r="P74" s="948"/>
      <c r="Q74" s="1068"/>
      <c r="R74" s="882"/>
      <c r="S74" s="1014"/>
      <c r="T74" s="1014"/>
      <c r="U74" s="1046">
        <v>74</v>
      </c>
      <c r="V74" s="461"/>
    </row>
    <row r="75" spans="1:36" s="1069" customFormat="1" ht="15.75" hidden="1" customHeight="1">
      <c r="A75" s="1093" t="s">
        <v>189</v>
      </c>
      <c r="B75" s="1102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78"/>
      <c r="H75" s="948"/>
      <c r="I75" s="948"/>
      <c r="J75" s="948"/>
      <c r="K75" s="948"/>
      <c r="L75" s="1078"/>
      <c r="M75" s="948"/>
      <c r="N75" s="948"/>
      <c r="O75" s="948"/>
      <c r="P75" s="948"/>
      <c r="Q75" s="1068"/>
      <c r="R75" s="882"/>
      <c r="S75" s="1014"/>
      <c r="T75" s="1014"/>
      <c r="U75" s="1046">
        <v>75</v>
      </c>
      <c r="V75" s="461"/>
    </row>
    <row r="76" spans="1:36" s="1069" customFormat="1" ht="15.75" hidden="1" customHeight="1">
      <c r="A76" s="1075" t="s">
        <v>173</v>
      </c>
      <c r="B76" s="1102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1"/>
      <c r="H76" s="948"/>
      <c r="I76" s="948"/>
      <c r="J76" s="948"/>
      <c r="K76" s="948"/>
      <c r="L76" s="1081"/>
      <c r="M76" s="1094"/>
      <c r="N76" s="1094"/>
      <c r="O76" s="1094"/>
      <c r="P76" s="1094"/>
      <c r="Q76" s="1068"/>
      <c r="R76" s="1091"/>
      <c r="S76" s="1092"/>
      <c r="T76" s="1092"/>
      <c r="U76" s="1046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8"/>
      <c r="I77" s="948"/>
      <c r="J77" s="948"/>
      <c r="K77" s="948"/>
      <c r="L77" s="1081"/>
      <c r="M77" s="1094"/>
      <c r="N77" s="1094"/>
      <c r="O77" s="1094"/>
      <c r="P77" s="1094"/>
      <c r="Q77" s="1068"/>
      <c r="R77" s="882"/>
      <c r="S77" s="1014"/>
      <c r="T77" s="1014"/>
      <c r="U77" s="1046">
        <v>77</v>
      </c>
      <c r="V77" s="461"/>
    </row>
    <row r="78" spans="1:36" s="1069" customFormat="1" ht="15.75" hidden="1" customHeight="1">
      <c r="A78" s="1075" t="s">
        <v>179</v>
      </c>
      <c r="B78" s="1104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1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2"/>
      <c r="S78" s="1014"/>
      <c r="T78" s="1014"/>
      <c r="U78" s="1046">
        <v>78</v>
      </c>
      <c r="V78" s="461"/>
    </row>
    <row r="79" spans="1:36" s="1069" customFormat="1" ht="15.75" hidden="1" customHeight="1">
      <c r="A79" s="1075" t="s">
        <v>181</v>
      </c>
      <c r="B79" s="1105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1"/>
      <c r="H79" s="948"/>
      <c r="I79" s="948"/>
      <c r="J79" s="948"/>
      <c r="K79" s="948"/>
      <c r="L79" s="1081"/>
      <c r="M79" s="1094"/>
      <c r="N79" s="1094"/>
      <c r="O79" s="1094"/>
      <c r="P79" s="1094"/>
      <c r="Q79" s="1068"/>
      <c r="R79" s="1091"/>
      <c r="S79" s="1092"/>
      <c r="T79" s="1092"/>
      <c r="U79" s="1046">
        <v>79</v>
      </c>
      <c r="V79" s="461"/>
    </row>
    <row r="80" spans="1:36" s="1069" customFormat="1" ht="15.75" hidden="1" customHeight="1">
      <c r="A80" s="1106" t="s">
        <v>183</v>
      </c>
      <c r="B80" s="1090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097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2"/>
      <c r="S80" s="1014"/>
      <c r="T80" s="1014"/>
      <c r="U80" s="1046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8"/>
      <c r="I81" s="948"/>
      <c r="J81" s="948"/>
      <c r="K81" s="948"/>
      <c r="L81" s="1100"/>
      <c r="M81" s="948"/>
      <c r="N81" s="948"/>
      <c r="O81" s="948"/>
      <c r="P81" s="948"/>
      <c r="Q81" s="1107"/>
      <c r="R81" s="882"/>
      <c r="S81" s="1014"/>
      <c r="T81" s="1014"/>
      <c r="U81" s="1046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9"/>
      <c r="I82" s="639"/>
      <c r="J82" s="639"/>
      <c r="K82" s="639"/>
      <c r="L82" s="1100"/>
      <c r="M82" s="1094"/>
      <c r="N82" s="1094"/>
      <c r="O82" s="1094"/>
      <c r="P82" s="1094"/>
      <c r="Q82" s="1107"/>
      <c r="R82" s="882"/>
      <c r="S82" s="1014"/>
      <c r="T82" s="1014"/>
      <c r="U82" s="1046">
        <v>82</v>
      </c>
      <c r="V82" s="461"/>
    </row>
    <row r="83" spans="1:22" ht="15.75" hidden="1" customHeight="1">
      <c r="A83" s="1099" t="s">
        <v>194</v>
      </c>
      <c r="B83" s="1061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7"/>
      <c r="T83" s="1007"/>
      <c r="U83" s="1046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2"/>
      <c r="S84" s="1014"/>
      <c r="T84" s="1014"/>
      <c r="U84" s="1046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6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6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8"/>
      <c r="I87" s="948"/>
      <c r="J87" s="948"/>
      <c r="K87" s="948"/>
      <c r="L87" s="1104"/>
      <c r="M87" s="1119"/>
      <c r="N87" s="1119"/>
      <c r="O87" s="1119"/>
      <c r="P87" s="1119"/>
      <c r="Q87" s="1120"/>
      <c r="R87" s="1091"/>
      <c r="S87" s="1092"/>
      <c r="T87" s="1092"/>
      <c r="U87" s="1046">
        <v>87</v>
      </c>
      <c r="V87" s="461"/>
    </row>
    <row r="88" spans="1:22" s="1124" customFormat="1" ht="15.75" hidden="1" customHeight="1">
      <c r="A88" s="1074" t="s">
        <v>202</v>
      </c>
      <c r="B88" s="1090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4">IF(H88="","",SUM(H88)-SUM(C88))</f>
        <v/>
      </c>
      <c r="N88" s="1098" t="str">
        <f t="shared" si="34"/>
        <v/>
      </c>
      <c r="O88" s="1098" t="str">
        <f t="shared" si="34"/>
        <v/>
      </c>
      <c r="P88" s="1098" t="str">
        <f t="shared" si="34"/>
        <v/>
      </c>
      <c r="Q88" s="1122"/>
      <c r="R88" s="882"/>
      <c r="S88" s="1014"/>
      <c r="T88" s="1014"/>
      <c r="U88" s="1046">
        <v>88</v>
      </c>
      <c r="V88" s="1123"/>
    </row>
    <row r="89" spans="1:22" ht="15.75" hidden="1" customHeight="1">
      <c r="A89" s="1074" t="s">
        <v>213</v>
      </c>
      <c r="B89" s="1078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34"/>
        <v/>
      </c>
      <c r="N89" s="1126" t="str">
        <f t="shared" si="34"/>
        <v/>
      </c>
      <c r="O89" s="1126" t="str">
        <f t="shared" si="34"/>
        <v/>
      </c>
      <c r="P89" s="1126" t="str">
        <f t="shared" si="34"/>
        <v/>
      </c>
      <c r="Q89" s="1107"/>
      <c r="R89" s="1045"/>
      <c r="S89" s="1007"/>
      <c r="T89" s="1007"/>
      <c r="U89" s="1046">
        <v>89</v>
      </c>
      <c r="V89" s="461"/>
    </row>
    <row r="90" spans="1:22" ht="15.75" hidden="1" customHeight="1">
      <c r="A90" s="1074" t="s">
        <v>214</v>
      </c>
      <c r="B90" s="1078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34"/>
        <v/>
      </c>
      <c r="N90" s="1126" t="str">
        <f t="shared" si="34"/>
        <v/>
      </c>
      <c r="O90" s="1126" t="str">
        <f t="shared" si="34"/>
        <v/>
      </c>
      <c r="P90" s="1126" t="str">
        <f t="shared" si="34"/>
        <v/>
      </c>
      <c r="Q90" s="1107"/>
      <c r="R90" s="1045"/>
      <c r="S90" s="1007"/>
      <c r="T90" s="1007"/>
      <c r="U90" s="1046">
        <v>90</v>
      </c>
      <c r="V90" s="461"/>
    </row>
    <row r="91" spans="1:22" ht="15.75" hidden="1" customHeight="1">
      <c r="A91" s="1127" t="s">
        <v>206</v>
      </c>
      <c r="B91" s="1078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8"/>
      <c r="N91" s="948"/>
      <c r="O91" s="948"/>
      <c r="P91" s="948"/>
      <c r="Q91" s="1107"/>
      <c r="R91" s="1045"/>
      <c r="S91" s="1007"/>
      <c r="T91" s="1007"/>
      <c r="U91" s="1046">
        <v>91</v>
      </c>
      <c r="V91" s="461"/>
    </row>
    <row r="92" spans="1:22" s="1069" customFormat="1" ht="15.75" customHeight="1">
      <c r="A92" s="1355" t="s">
        <v>207</v>
      </c>
      <c r="B92" s="1079"/>
      <c r="C92" s="1088"/>
      <c r="D92" s="1088"/>
      <c r="E92" s="1088"/>
      <c r="F92" s="1088"/>
      <c r="G92" s="1061"/>
      <c r="H92" s="948"/>
      <c r="I92" s="948"/>
      <c r="J92" s="948"/>
      <c r="K92" s="948"/>
      <c r="L92" s="1061"/>
      <c r="M92" s="1072"/>
      <c r="N92" s="1072"/>
      <c r="O92" s="1072"/>
      <c r="P92" s="1072"/>
      <c r="Q92" s="1068"/>
      <c r="R92" s="843"/>
      <c r="S92" s="843"/>
      <c r="T92" s="843"/>
      <c r="U92" s="1046">
        <v>92</v>
      </c>
      <c r="V92" s="461"/>
    </row>
    <row r="93" spans="1:22" s="1069" customFormat="1" ht="15.75" customHeight="1">
      <c r="A93" s="1074" t="s">
        <v>169</v>
      </c>
      <c r="B93" s="1078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78"/>
      <c r="H93" s="948"/>
      <c r="I93" s="948"/>
      <c r="J93" s="948"/>
      <c r="K93" s="948"/>
      <c r="L93" s="1078"/>
      <c r="M93" s="948"/>
      <c r="N93" s="948"/>
      <c r="O93" s="948"/>
      <c r="P93" s="948"/>
      <c r="Q93" s="1068"/>
      <c r="R93" s="1091"/>
      <c r="S93" s="1092"/>
      <c r="T93" s="1092"/>
      <c r="U93" s="1046">
        <v>93</v>
      </c>
      <c r="V93" s="461"/>
    </row>
    <row r="94" spans="1:22" s="1069" customFormat="1" ht="15.75" customHeight="1">
      <c r="A94" s="1093" t="s">
        <v>171</v>
      </c>
      <c r="B94" s="1090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78"/>
      <c r="H94" s="948"/>
      <c r="I94" s="948"/>
      <c r="J94" s="948"/>
      <c r="K94" s="948"/>
      <c r="L94" s="1078"/>
      <c r="M94" s="948"/>
      <c r="N94" s="948"/>
      <c r="O94" s="948"/>
      <c r="P94" s="948"/>
      <c r="Q94" s="1068"/>
      <c r="R94" s="882"/>
      <c r="S94" s="1014"/>
      <c r="T94" s="1014"/>
      <c r="U94" s="1046">
        <v>94</v>
      </c>
      <c r="V94" s="461"/>
    </row>
    <row r="95" spans="1:22" s="1069" customFormat="1" ht="15.75" customHeight="1">
      <c r="A95" s="1075" t="s">
        <v>173</v>
      </c>
      <c r="B95" s="1078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1"/>
      <c r="H95" s="948"/>
      <c r="I95" s="948"/>
      <c r="J95" s="948"/>
      <c r="K95" s="948"/>
      <c r="L95" s="1081"/>
      <c r="M95" s="1094"/>
      <c r="N95" s="1094"/>
      <c r="O95" s="1094"/>
      <c r="P95" s="1094"/>
      <c r="Q95" s="1068"/>
      <c r="R95" s="1091"/>
      <c r="S95" s="1092"/>
      <c r="T95" s="1092"/>
      <c r="U95" s="1046">
        <v>95</v>
      </c>
      <c r="V95" s="461"/>
    </row>
    <row r="96" spans="1:22" s="1069" customFormat="1" ht="15.75" customHeight="1">
      <c r="A96" s="1075" t="s">
        <v>177</v>
      </c>
      <c r="B96" s="1078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1">
        <f>IF(F95="","",F93*F94*F95)</f>
        <v>1620</v>
      </c>
      <c r="G96" s="1079"/>
      <c r="H96" s="948"/>
      <c r="I96" s="948"/>
      <c r="J96" s="948"/>
      <c r="K96" s="948"/>
      <c r="L96" s="1079"/>
      <c r="M96" s="1094"/>
      <c r="N96" s="1094"/>
      <c r="O96" s="1094"/>
      <c r="P96" s="1094"/>
      <c r="Q96" s="1068"/>
      <c r="R96" s="882"/>
      <c r="S96" s="1014"/>
      <c r="T96" s="1014"/>
      <c r="U96" s="1046">
        <v>96</v>
      </c>
      <c r="V96" s="461"/>
    </row>
    <row r="97" spans="1:22" s="1069" customFormat="1" ht="15.75" customHeight="1">
      <c r="A97" s="1075" t="s">
        <v>179</v>
      </c>
      <c r="B97" s="1090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1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2"/>
      <c r="S97" s="1014"/>
      <c r="T97" s="1014"/>
      <c r="U97" s="1046">
        <v>97</v>
      </c>
      <c r="V97" s="461"/>
    </row>
    <row r="98" spans="1:22" s="1069" customFormat="1" ht="15.75" customHeight="1">
      <c r="A98" s="1075" t="s">
        <v>181</v>
      </c>
      <c r="B98" s="1078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1"/>
      <c r="H98" s="948"/>
      <c r="I98" s="948"/>
      <c r="J98" s="948"/>
      <c r="K98" s="948"/>
      <c r="L98" s="1081"/>
      <c r="M98" s="1094"/>
      <c r="N98" s="1094"/>
      <c r="O98" s="1094"/>
      <c r="P98" s="1094"/>
      <c r="Q98" s="1068"/>
      <c r="R98" s="1091"/>
      <c r="S98" s="1092"/>
      <c r="T98" s="1092"/>
      <c r="U98" s="1046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2"/>
      <c r="S99" s="1014"/>
      <c r="T99" s="1014"/>
      <c r="U99" s="1046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8"/>
      <c r="I100" s="948"/>
      <c r="J100" s="948"/>
      <c r="K100" s="948"/>
      <c r="L100" s="1090"/>
      <c r="M100" s="948"/>
      <c r="N100" s="948"/>
      <c r="O100" s="948"/>
      <c r="P100" s="948"/>
      <c r="Q100" s="1068"/>
      <c r="R100" s="882"/>
      <c r="S100" s="1014"/>
      <c r="T100" s="1014"/>
      <c r="U100" s="1046">
        <v>100</v>
      </c>
      <c r="V100" s="461"/>
    </row>
    <row r="101" spans="1:22" s="1069" customFormat="1" ht="15.75" customHeight="1">
      <c r="A101" s="1099" t="s">
        <v>187</v>
      </c>
      <c r="B101" s="1100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1">
        <f>IF(Data!BY101="","",Data!BY101)</f>
        <v>698</v>
      </c>
      <c r="G101" s="1090"/>
      <c r="H101" s="639"/>
      <c r="I101" s="639"/>
      <c r="J101" s="639"/>
      <c r="K101" s="639"/>
      <c r="L101" s="1090"/>
      <c r="M101" s="948"/>
      <c r="N101" s="948"/>
      <c r="O101" s="948"/>
      <c r="P101" s="948"/>
      <c r="Q101" s="1068"/>
      <c r="R101" s="882"/>
      <c r="S101" s="1014"/>
      <c r="T101" s="1014"/>
      <c r="U101" s="1046">
        <v>101</v>
      </c>
      <c r="V101" s="461"/>
    </row>
    <row r="102" spans="1:22" s="1069" customFormat="1" ht="15.75" customHeight="1">
      <c r="A102" s="1093" t="s">
        <v>189</v>
      </c>
      <c r="B102" s="1078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8"/>
      <c r="H102" s="948"/>
      <c r="I102" s="948"/>
      <c r="J102" s="948"/>
      <c r="K102" s="948"/>
      <c r="L102" s="1078"/>
      <c r="M102" s="948"/>
      <c r="N102" s="948"/>
      <c r="O102" s="948"/>
      <c r="P102" s="948"/>
      <c r="Q102" s="1068"/>
      <c r="R102" s="882"/>
      <c r="S102" s="1014"/>
      <c r="T102" s="1014"/>
      <c r="U102" s="1046">
        <v>102</v>
      </c>
      <c r="V102" s="461"/>
    </row>
    <row r="103" spans="1:22" s="1069" customFormat="1" ht="15.75" customHeight="1">
      <c r="A103" s="1075" t="s">
        <v>173</v>
      </c>
      <c r="B103" s="1078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1"/>
      <c r="H103" s="948"/>
      <c r="I103" s="948"/>
      <c r="J103" s="948"/>
      <c r="K103" s="948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6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22.5</v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0</v>
      </c>
      <c r="G104" s="1081"/>
      <c r="H104" s="948"/>
      <c r="I104" s="948"/>
      <c r="J104" s="948"/>
      <c r="K104" s="948"/>
      <c r="L104" s="1081"/>
      <c r="M104" s="1094"/>
      <c r="N104" s="1094"/>
      <c r="O104" s="1094"/>
      <c r="P104" s="1094"/>
      <c r="Q104" s="1068"/>
      <c r="R104" s="882"/>
      <c r="S104" s="1014"/>
      <c r="T104" s="1014"/>
      <c r="U104" s="1046">
        <v>104</v>
      </c>
      <c r="V104" s="461"/>
    </row>
    <row r="105" spans="1:22" s="1069" customFormat="1" ht="15.75" customHeight="1">
      <c r="A105" s="1075" t="s">
        <v>179</v>
      </c>
      <c r="B105" s="1081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1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2"/>
      <c r="S105" s="1014"/>
      <c r="T105" s="1014"/>
      <c r="U105" s="1046">
        <v>105</v>
      </c>
      <c r="V105" s="461"/>
    </row>
    <row r="106" spans="1:22" s="1069" customFormat="1" ht="15.75" customHeight="1">
      <c r="A106" s="1075" t="s">
        <v>181</v>
      </c>
      <c r="B106" s="1078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1"/>
      <c r="H106" s="948"/>
      <c r="I106" s="948"/>
      <c r="J106" s="948"/>
      <c r="K106" s="948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6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2"/>
      <c r="S107" s="1014"/>
      <c r="T107" s="1014"/>
      <c r="U107" s="1046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8"/>
      <c r="I108" s="948"/>
      <c r="J108" s="948"/>
      <c r="K108" s="948"/>
      <c r="L108" s="1100"/>
      <c r="M108" s="948"/>
      <c r="N108" s="948"/>
      <c r="O108" s="948"/>
      <c r="P108" s="948"/>
      <c r="Q108" s="1107"/>
      <c r="R108" s="882"/>
      <c r="S108" s="1014"/>
      <c r="T108" s="1014"/>
      <c r="U108" s="1046">
        <v>108</v>
      </c>
      <c r="V108" s="461"/>
    </row>
    <row r="109" spans="1:22" s="1069" customFormat="1" ht="15.75" customHeight="1">
      <c r="A109" s="1099" t="s">
        <v>187</v>
      </c>
      <c r="B109" s="1100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0"/>
      <c r="H109" s="639"/>
      <c r="I109" s="639"/>
      <c r="J109" s="639"/>
      <c r="K109" s="639"/>
      <c r="L109" s="1090"/>
      <c r="M109" s="948"/>
      <c r="N109" s="948"/>
      <c r="O109" s="948"/>
      <c r="P109" s="948"/>
      <c r="Q109" s="1068"/>
      <c r="R109" s="882"/>
      <c r="S109" s="1014"/>
      <c r="T109" s="1014"/>
      <c r="U109" s="1046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7"/>
      <c r="T110" s="1007"/>
      <c r="U110" s="1046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6.3</v>
      </c>
      <c r="D111" s="1113">
        <f>IF(SUM(D96,D104)=0,"",SUM(D96,-SUM(D97)*D100,-SUM(D101)*D100,D104,-SUM(D105)*D108,-SUM(D109)*D108)*0.04)</f>
        <v>3.2</v>
      </c>
      <c r="E111" s="1113">
        <f>IF(SUM(E96,E104)=0,"",SUM(E96,-SUM(E97)*E100,-SUM(E101)*E100,E104,-SUM(E105)*E108,-SUM(E109)*E108)*0.04)</f>
        <v>5</v>
      </c>
      <c r="F111" s="1113">
        <f>IF(SUM(F96,F104)=0,"",SUM(F96,-SUM(F97)*F100,-SUM(F101)*F100,F104,-SUM(F105)*F108,-SUM(F109)*F108)*0.04)</f>
        <v>36.880000000000003</v>
      </c>
      <c r="G111" s="1102"/>
      <c r="H111" s="1113">
        <f>IF(SUM(C96,C104)=0,"",(SUM(C96)-(SUM(C97)*(H97="")+SUM(C101)*(H101="")+SUM(H97,H101))*C100+SUM(C104)-(SUM(C105)*(H105="")+SUM(C109)*(H109="")+SUM(H105,H109))*C108)*0.04)</f>
        <v>6.3</v>
      </c>
      <c r="I111" s="1113">
        <f>IF(SUM(D96,D104)=0,"",(SUM(D96)-(SUM(D97)*(I97="")+SUM(D101)*(I101="")+SUM(I97,I101))*D100+SUM(D104)-(SUM(D105)*(I105="")+SUM(D109)*(I109="")+SUM(I105,I109))*D108)*0.04)</f>
        <v>3.2</v>
      </c>
      <c r="J111" s="1113">
        <f>IF(SUM(E96,E104)=0,"",(SUM(E96)-(SUM(E97)*(J97="")+SUM(E101)*(J101="")+SUM(J97,J101))*E100+SUM(E104)-(SUM(E105)*(J105="")+SUM(E109)*(J109="")+SUM(J105,J109))*E108)*0.04)</f>
        <v>5</v>
      </c>
      <c r="K111" s="1113">
        <f>IF(SUM(F96,F104)=0,"",(SUM(F96)-(SUM(F97)*(K97="")+SUM(F101)*(K101="")+SUM(K97,K101))*F100+SUM(F104)-(SUM(F105)*(K105="")+SUM(F109)*(K109="")+SUM(K105,K109))*F108)*0.04)</f>
        <v>36.880000000000003</v>
      </c>
      <c r="L111" s="1102"/>
      <c r="M111" s="1094"/>
      <c r="N111" s="1094"/>
      <c r="O111" s="1094"/>
      <c r="P111" s="1094"/>
      <c r="Q111" s="1107"/>
      <c r="R111" s="882"/>
      <c r="S111" s="1014"/>
      <c r="T111" s="1014"/>
      <c r="U111" s="1046">
        <v>111</v>
      </c>
      <c r="V111" s="461"/>
    </row>
    <row r="112" spans="1:22" ht="15.75" customHeight="1">
      <c r="A112" s="1074" t="s">
        <v>197</v>
      </c>
      <c r="B112" s="1081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6">
        <v>112</v>
      </c>
      <c r="V112" s="461"/>
    </row>
    <row r="113" spans="1:22" ht="15.75" customHeight="1">
      <c r="A113" s="1099" t="s">
        <v>198</v>
      </c>
      <c r="B113" s="1081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6">
        <v>113</v>
      </c>
      <c r="V113" s="461"/>
    </row>
    <row r="114" spans="1:22" ht="15.75" customHeight="1">
      <c r="A114" s="1075" t="s">
        <v>200</v>
      </c>
      <c r="B114" s="1081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4"/>
      <c r="H114" s="948"/>
      <c r="I114" s="948"/>
      <c r="J114" s="948"/>
      <c r="K114" s="948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6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5"/>
      <c r="M115" s="1098" t="str">
        <f t="shared" ref="M115:P117" si="35">IF(H115="","",SUM(H115)-SUM(C115))</f>
        <v/>
      </c>
      <c r="N115" s="1098" t="str">
        <f t="shared" si="35"/>
        <v/>
      </c>
      <c r="O115" s="1098" t="str">
        <f t="shared" si="35"/>
        <v/>
      </c>
      <c r="P115" s="1098" t="str">
        <f t="shared" si="35"/>
        <v/>
      </c>
      <c r="Q115" s="1122"/>
      <c r="R115" s="882"/>
      <c r="S115" s="1014"/>
      <c r="T115" s="1014"/>
      <c r="U115" s="1046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1.4080012453300126E-2</v>
      </c>
      <c r="D116" s="1125">
        <f>IF(D111="","",(SUM(D96)*2680-SUM(D97,D101)*(2680-1256*(D100=0))-SUM(D112,D113)*32930)/$P$1/365/D$46)</f>
        <v>8.3437110834371116E-3</v>
      </c>
      <c r="E116" s="1125">
        <f>IF(E111="","",(SUM(E96)*2680-SUM(E97,E101)*(2680-1256*(E100=0))-SUM(E112,E113)*32930)/$P$1/365/E$46)</f>
        <v>1.3037048567870486E-2</v>
      </c>
      <c r="F116" s="1125">
        <f>IF(F111="","",(SUM(F96)*2680-SUM(F97,F101)*(2680-1256*(F100=0))-SUM(F112,F113)*32930)/$P$1/365/F$46)</f>
        <v>8.5476684654766849E-2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35"/>
        <v/>
      </c>
      <c r="N116" s="1126" t="str">
        <f t="shared" si="35"/>
        <v/>
      </c>
      <c r="O116" s="1126" t="str">
        <f t="shared" si="35"/>
        <v/>
      </c>
      <c r="P116" s="1126" t="str">
        <f t="shared" si="35"/>
        <v/>
      </c>
      <c r="Q116" s="1107"/>
      <c r="R116" s="1045"/>
      <c r="S116" s="1007"/>
      <c r="T116" s="1007"/>
      <c r="U116" s="1046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2.3466687422166875E-3</v>
      </c>
      <c r="D117" s="1125">
        <f>IF(D111="","",(SUM(D104)*2680-SUM(D105,D109)*(2680-1256*(D108=0)))/$P$1/365/D$46)</f>
        <v>0</v>
      </c>
      <c r="E117" s="1125">
        <f>IF(E111="","",(SUM(E104)*2680-SUM(E105,E109)*(2680-1256*(E108=0)))/$P$1/365/E$46)</f>
        <v>0</v>
      </c>
      <c r="F117" s="1125">
        <f>IF(F111="","",(SUM(F104)*2680-SUM(F105,F109)*(2680-1256*(F108=0)))/$P$1/365/F$46)</f>
        <v>0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35"/>
        <v/>
      </c>
      <c r="N117" s="1126" t="str">
        <f t="shared" si="35"/>
        <v/>
      </c>
      <c r="O117" s="1126" t="str">
        <f t="shared" si="35"/>
        <v/>
      </c>
      <c r="P117" s="1126" t="str">
        <f t="shared" si="35"/>
        <v/>
      </c>
      <c r="Q117" s="1107"/>
      <c r="R117" s="1045"/>
      <c r="S117" s="1007"/>
      <c r="T117" s="1007"/>
      <c r="U117" s="1046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8"/>
      <c r="N118" s="948"/>
      <c r="O118" s="948"/>
      <c r="P118" s="948"/>
      <c r="Q118" s="1107"/>
      <c r="R118" s="1045"/>
      <c r="S118" s="1007"/>
      <c r="T118" s="1007"/>
      <c r="U118" s="1046">
        <v>118</v>
      </c>
      <c r="V118" s="461"/>
    </row>
    <row r="119" spans="1:22" s="1069" customFormat="1" ht="15.75" hidden="1" customHeight="1">
      <c r="A119" s="1354" t="s">
        <v>216</v>
      </c>
      <c r="B119" s="1078"/>
      <c r="C119" s="1128"/>
      <c r="D119" s="1128"/>
      <c r="E119" s="1128"/>
      <c r="F119" s="1129"/>
      <c r="G119" s="1061"/>
      <c r="H119" s="948"/>
      <c r="I119" s="948"/>
      <c r="J119" s="948"/>
      <c r="K119" s="948"/>
      <c r="L119" s="1061"/>
      <c r="M119" s="1072"/>
      <c r="N119" s="1072"/>
      <c r="O119" s="1072"/>
      <c r="P119" s="1072"/>
      <c r="Q119" s="1068"/>
      <c r="R119" s="843"/>
      <c r="S119" s="843"/>
      <c r="T119" s="843"/>
      <c r="U119" s="1046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8"/>
      <c r="I120" s="948"/>
      <c r="J120" s="948"/>
      <c r="K120" s="948"/>
      <c r="L120" s="1078"/>
      <c r="M120" s="948"/>
      <c r="N120" s="948"/>
      <c r="O120" s="948"/>
      <c r="P120" s="948"/>
      <c r="Q120" s="1068"/>
      <c r="R120" s="1091"/>
      <c r="S120" s="1092"/>
      <c r="T120" s="1092"/>
      <c r="U120" s="1046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8"/>
      <c r="I121" s="948"/>
      <c r="J121" s="948"/>
      <c r="K121" s="948"/>
      <c r="L121" s="1078"/>
      <c r="M121" s="948"/>
      <c r="N121" s="948"/>
      <c r="O121" s="948"/>
      <c r="P121" s="948"/>
      <c r="Q121" s="1068"/>
      <c r="R121" s="882"/>
      <c r="S121" s="1014"/>
      <c r="T121" s="1014"/>
      <c r="U121" s="1046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8"/>
      <c r="I122" s="948"/>
      <c r="J122" s="948"/>
      <c r="K122" s="948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6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1" t="str">
        <f>IF(F122="","",F120*F121*F122)</f>
        <v/>
      </c>
      <c r="G123" s="1079"/>
      <c r="H123" s="948"/>
      <c r="I123" s="948"/>
      <c r="J123" s="948"/>
      <c r="K123" s="948"/>
      <c r="L123" s="1079"/>
      <c r="M123" s="1094"/>
      <c r="N123" s="1094"/>
      <c r="O123" s="1094"/>
      <c r="P123" s="1094"/>
      <c r="Q123" s="1068"/>
      <c r="R123" s="882"/>
      <c r="S123" s="1014"/>
      <c r="T123" s="1014"/>
      <c r="U123" s="1046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2"/>
      <c r="S124" s="1014"/>
      <c r="T124" s="1014"/>
      <c r="U124" s="1046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8"/>
      <c r="I125" s="948"/>
      <c r="J125" s="948"/>
      <c r="K125" s="948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6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2"/>
      <c r="S126" s="1014"/>
      <c r="T126" s="1014"/>
      <c r="U126" s="1046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8"/>
      <c r="I127" s="948"/>
      <c r="J127" s="948"/>
      <c r="K127" s="948"/>
      <c r="L127" s="1090"/>
      <c r="M127" s="948"/>
      <c r="N127" s="948"/>
      <c r="O127" s="948"/>
      <c r="P127" s="948"/>
      <c r="Q127" s="1068"/>
      <c r="R127" s="882"/>
      <c r="S127" s="1014"/>
      <c r="T127" s="1014"/>
      <c r="U127" s="1046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9"/>
      <c r="I128" s="639"/>
      <c r="J128" s="639"/>
      <c r="K128" s="639"/>
      <c r="L128" s="1090"/>
      <c r="M128" s="948"/>
      <c r="N128" s="948"/>
      <c r="O128" s="948"/>
      <c r="P128" s="948"/>
      <c r="Q128" s="1068"/>
      <c r="R128" s="882"/>
      <c r="S128" s="1014"/>
      <c r="T128" s="1014"/>
      <c r="U128" s="1046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8"/>
      <c r="I129" s="948"/>
      <c r="J129" s="948"/>
      <c r="K129" s="948"/>
      <c r="L129" s="1090"/>
      <c r="M129" s="948"/>
      <c r="N129" s="948"/>
      <c r="O129" s="948"/>
      <c r="P129" s="948"/>
      <c r="Q129" s="1068"/>
      <c r="R129" s="1091"/>
      <c r="S129" s="1092"/>
      <c r="T129" s="1092"/>
      <c r="U129" s="1046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8"/>
      <c r="I130" s="948"/>
      <c r="J130" s="948"/>
      <c r="K130" s="948"/>
      <c r="L130" s="1078"/>
      <c r="M130" s="948"/>
      <c r="N130" s="948"/>
      <c r="O130" s="948"/>
      <c r="P130" s="948"/>
      <c r="Q130" s="1068"/>
      <c r="R130" s="882"/>
      <c r="S130" s="1014"/>
      <c r="T130" s="1014"/>
      <c r="U130" s="1046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8"/>
      <c r="I131" s="948"/>
      <c r="J131" s="948"/>
      <c r="K131" s="948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6">
        <v>131</v>
      </c>
      <c r="V131" s="461"/>
    </row>
    <row r="132" spans="1:22" s="1069" customFormat="1" ht="15.75" hidden="1" customHeight="1">
      <c r="A132" s="1075" t="s">
        <v>177</v>
      </c>
      <c r="B132" s="1061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1"/>
      <c r="H132" s="948"/>
      <c r="I132" s="948"/>
      <c r="J132" s="948"/>
      <c r="K132" s="948"/>
      <c r="L132" s="1081"/>
      <c r="M132" s="1094"/>
      <c r="N132" s="1094"/>
      <c r="O132" s="1094"/>
      <c r="P132" s="1094"/>
      <c r="Q132" s="1068"/>
      <c r="R132" s="882"/>
      <c r="S132" s="1014"/>
      <c r="T132" s="1014"/>
      <c r="U132" s="1046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2"/>
      <c r="S133" s="1014"/>
      <c r="T133" s="1014"/>
      <c r="U133" s="1046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8"/>
      <c r="I134" s="948"/>
      <c r="J134" s="948"/>
      <c r="K134" s="948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6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2"/>
      <c r="S135" s="1014"/>
      <c r="T135" s="1014"/>
      <c r="U135" s="1046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8"/>
      <c r="I136" s="948"/>
      <c r="J136" s="948"/>
      <c r="K136" s="948"/>
      <c r="L136" s="1100"/>
      <c r="M136" s="948"/>
      <c r="N136" s="948"/>
      <c r="O136" s="948"/>
      <c r="P136" s="948"/>
      <c r="Q136" s="1107"/>
      <c r="R136" s="882"/>
      <c r="S136" s="1014"/>
      <c r="T136" s="1014"/>
      <c r="U136" s="1046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9"/>
      <c r="I137" s="639"/>
      <c r="J137" s="639"/>
      <c r="K137" s="639"/>
      <c r="L137" s="1090"/>
      <c r="M137" s="948"/>
      <c r="N137" s="948"/>
      <c r="O137" s="948"/>
      <c r="P137" s="948"/>
      <c r="Q137" s="1068"/>
      <c r="R137" s="882"/>
      <c r="S137" s="1014"/>
      <c r="T137" s="1014"/>
      <c r="U137" s="1046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4" t="s">
        <v>197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6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6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8"/>
      <c r="I142" s="948"/>
      <c r="J142" s="948"/>
      <c r="K142" s="948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6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5"/>
      <c r="M143" s="1098" t="str">
        <f t="shared" ref="M143:P145" si="36">IF(H143="","",SUM(H143)-SUM(C143))</f>
        <v/>
      </c>
      <c r="N143" s="1098" t="str">
        <f t="shared" si="36"/>
        <v/>
      </c>
      <c r="O143" s="1098" t="str">
        <f t="shared" si="36"/>
        <v/>
      </c>
      <c r="P143" s="1098" t="str">
        <f t="shared" si="36"/>
        <v/>
      </c>
      <c r="Q143" s="1122"/>
      <c r="R143" s="882"/>
      <c r="S143" s="1014"/>
      <c r="T143" s="1014"/>
      <c r="U143" s="1046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36"/>
        <v/>
      </c>
      <c r="N144" s="1126" t="str">
        <f t="shared" si="36"/>
        <v/>
      </c>
      <c r="O144" s="1126" t="str">
        <f t="shared" si="36"/>
        <v/>
      </c>
      <c r="P144" s="1126" t="str">
        <f t="shared" si="36"/>
        <v/>
      </c>
      <c r="Q144" s="1107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36"/>
        <v/>
      </c>
      <c r="N145" s="1126" t="str">
        <f t="shared" si="36"/>
        <v/>
      </c>
      <c r="O145" s="1126" t="str">
        <f t="shared" si="36"/>
        <v/>
      </c>
      <c r="P145" s="1126" t="str">
        <f t="shared" si="36"/>
        <v/>
      </c>
      <c r="Q145" s="1107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8"/>
      <c r="N146" s="948"/>
      <c r="O146" s="948"/>
      <c r="P146" s="948"/>
      <c r="Q146" s="1107"/>
      <c r="R146" s="1045"/>
      <c r="S146" s="1007"/>
      <c r="T146" s="1007"/>
      <c r="U146" s="1046">
        <v>146</v>
      </c>
      <c r="V146" s="461"/>
    </row>
    <row r="147" spans="1:22" s="1069" customFormat="1" ht="15.75" hidden="1" customHeight="1">
      <c r="A147" s="1355" t="s">
        <v>222</v>
      </c>
      <c r="B147" s="1061"/>
      <c r="C147" s="1088"/>
      <c r="D147" s="1088"/>
      <c r="E147" s="1088"/>
      <c r="F147" s="990"/>
      <c r="G147" s="1061"/>
      <c r="H147" s="948"/>
      <c r="I147" s="948"/>
      <c r="J147" s="948"/>
      <c r="K147" s="948"/>
      <c r="L147" s="1061"/>
      <c r="M147" s="1072"/>
      <c r="N147" s="1072"/>
      <c r="O147" s="1072"/>
      <c r="P147" s="1072"/>
      <c r="Q147" s="1068"/>
      <c r="R147" s="843"/>
      <c r="S147" s="843"/>
      <c r="T147" s="843"/>
      <c r="U147" s="1046">
        <v>147</v>
      </c>
      <c r="V147" s="461"/>
    </row>
    <row r="148" spans="1:22" s="1069" customFormat="1" ht="15.75" hidden="1" customHeight="1">
      <c r="A148" s="1093" t="s">
        <v>217</v>
      </c>
      <c r="B148" s="1061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78"/>
      <c r="H148" s="948"/>
      <c r="I148" s="948"/>
      <c r="J148" s="948"/>
      <c r="K148" s="948"/>
      <c r="L148" s="1078"/>
      <c r="M148" s="948"/>
      <c r="N148" s="948"/>
      <c r="O148" s="948"/>
      <c r="P148" s="948"/>
      <c r="Q148" s="1068"/>
      <c r="R148" s="1091"/>
      <c r="S148" s="1092"/>
      <c r="T148" s="1092"/>
      <c r="U148" s="1046">
        <v>148</v>
      </c>
      <c r="V148" s="461"/>
    </row>
    <row r="149" spans="1:22" s="1069" customFormat="1" ht="15.75" hidden="1" customHeight="1">
      <c r="A149" s="1074" t="s">
        <v>218</v>
      </c>
      <c r="B149" s="1081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8"/>
      <c r="H149" s="948"/>
      <c r="I149" s="948"/>
      <c r="J149" s="948"/>
      <c r="K149" s="948"/>
      <c r="L149" s="1078"/>
      <c r="M149" s="948"/>
      <c r="N149" s="948"/>
      <c r="O149" s="948"/>
      <c r="P149" s="948"/>
      <c r="Q149" s="1068"/>
      <c r="R149" s="882"/>
      <c r="S149" s="1014"/>
      <c r="T149" s="1014"/>
      <c r="U149" s="1046">
        <v>149</v>
      </c>
      <c r="V149" s="461"/>
    </row>
    <row r="150" spans="1:22" s="1069" customFormat="1" ht="15.75" hidden="1" customHeight="1">
      <c r="A150" s="1075" t="s">
        <v>173</v>
      </c>
      <c r="B150" s="1079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1"/>
      <c r="H150" s="948"/>
      <c r="I150" s="948"/>
      <c r="J150" s="948"/>
      <c r="K150" s="948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6">
        <v>150</v>
      </c>
      <c r="V150" s="461"/>
    </row>
    <row r="151" spans="1:22" s="1069" customFormat="1" ht="15.75" hidden="1" customHeight="1">
      <c r="A151" s="1075" t="s">
        <v>177</v>
      </c>
      <c r="B151" s="1081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1" t="str">
        <f>IF(F150="","",F148*F149*F150)</f>
        <v/>
      </c>
      <c r="G151" s="1079"/>
      <c r="H151" s="948"/>
      <c r="I151" s="948"/>
      <c r="J151" s="948"/>
      <c r="K151" s="948"/>
      <c r="L151" s="1079"/>
      <c r="M151" s="1094"/>
      <c r="N151" s="1094"/>
      <c r="O151" s="1094"/>
      <c r="P151" s="1094"/>
      <c r="Q151" s="1068"/>
      <c r="R151" s="882"/>
      <c r="S151" s="1014"/>
      <c r="T151" s="1014"/>
      <c r="U151" s="1046">
        <v>151</v>
      </c>
      <c r="V151" s="461"/>
    </row>
    <row r="152" spans="1:22" s="1069" customFormat="1" ht="15.75" hidden="1" customHeight="1">
      <c r="A152" s="1075" t="s">
        <v>179</v>
      </c>
      <c r="B152" s="1090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1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2"/>
      <c r="S152" s="1014"/>
      <c r="T152" s="1014"/>
      <c r="U152" s="1046">
        <v>152</v>
      </c>
      <c r="V152" s="461"/>
    </row>
    <row r="153" spans="1:22" s="1069" customFormat="1" ht="15.75" hidden="1" customHeight="1">
      <c r="A153" s="1075" t="s">
        <v>181</v>
      </c>
      <c r="B153" s="1108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1"/>
      <c r="H153" s="948"/>
      <c r="I153" s="948"/>
      <c r="J153" s="948"/>
      <c r="K153" s="948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6">
        <v>153</v>
      </c>
      <c r="V153" s="461"/>
    </row>
    <row r="154" spans="1:22" s="1069" customFormat="1" ht="15.75" hidden="1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2"/>
      <c r="S154" s="1014"/>
      <c r="T154" s="1014"/>
      <c r="U154" s="1046">
        <v>154</v>
      </c>
      <c r="V154" s="461"/>
    </row>
    <row r="155" spans="1:22" s="1069" customFormat="1" ht="15.75" hidden="1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8"/>
      <c r="I155" s="948"/>
      <c r="J155" s="948"/>
      <c r="K155" s="948"/>
      <c r="L155" s="1090"/>
      <c r="M155" s="948"/>
      <c r="N155" s="948"/>
      <c r="O155" s="948"/>
      <c r="P155" s="948"/>
      <c r="Q155" s="1068"/>
      <c r="R155" s="882"/>
      <c r="S155" s="1014"/>
      <c r="T155" s="1014"/>
      <c r="U155" s="1046">
        <v>155</v>
      </c>
      <c r="V155" s="461"/>
    </row>
    <row r="156" spans="1:22" s="1069" customFormat="1" ht="15.75" hidden="1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1" t="str">
        <f>IF(Data!BY156="","",Data!BY156)</f>
        <v/>
      </c>
      <c r="G156" s="1090"/>
      <c r="H156" s="639"/>
      <c r="I156" s="639"/>
      <c r="J156" s="639"/>
      <c r="K156" s="639"/>
      <c r="L156" s="1090"/>
      <c r="M156" s="948"/>
      <c r="N156" s="948"/>
      <c r="O156" s="948"/>
      <c r="P156" s="948"/>
      <c r="Q156" s="1068"/>
      <c r="R156" s="882"/>
      <c r="S156" s="1014"/>
      <c r="T156" s="1014"/>
      <c r="U156" s="1046">
        <v>156</v>
      </c>
      <c r="V156" s="461"/>
    </row>
    <row r="157" spans="1:22" s="1069" customFormat="1" ht="15.75" hidden="1" customHeight="1">
      <c r="A157" s="1093" t="s">
        <v>219</v>
      </c>
      <c r="B157" s="1108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0"/>
      <c r="H157" s="948"/>
      <c r="I157" s="948"/>
      <c r="J157" s="948"/>
      <c r="K157" s="948"/>
      <c r="L157" s="1090"/>
      <c r="M157" s="948"/>
      <c r="N157" s="948"/>
      <c r="O157" s="948"/>
      <c r="P157" s="948"/>
      <c r="Q157" s="1068"/>
      <c r="R157" s="1091"/>
      <c r="S157" s="1092"/>
      <c r="T157" s="1092"/>
      <c r="U157" s="1046">
        <v>157</v>
      </c>
      <c r="V157" s="461"/>
    </row>
    <row r="158" spans="1:22" s="1069" customFormat="1" ht="15.75" hidden="1" customHeight="1">
      <c r="A158" s="1074" t="s">
        <v>218</v>
      </c>
      <c r="B158" s="1061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78"/>
      <c r="H158" s="948"/>
      <c r="I158" s="948"/>
      <c r="J158" s="948"/>
      <c r="K158" s="948"/>
      <c r="L158" s="1078"/>
      <c r="M158" s="948"/>
      <c r="N158" s="948"/>
      <c r="O158" s="948"/>
      <c r="P158" s="948"/>
      <c r="Q158" s="1068"/>
      <c r="R158" s="882"/>
      <c r="S158" s="1014"/>
      <c r="T158" s="1014"/>
      <c r="U158" s="1046">
        <v>158</v>
      </c>
      <c r="V158" s="461"/>
    </row>
    <row r="159" spans="1:22" s="1069" customFormat="1" ht="15.75" hidden="1" customHeight="1">
      <c r="A159" s="1075" t="s">
        <v>173</v>
      </c>
      <c r="B159" s="1078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1"/>
      <c r="H159" s="948"/>
      <c r="I159" s="948"/>
      <c r="J159" s="948"/>
      <c r="K159" s="948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6">
        <v>159</v>
      </c>
      <c r="V159" s="461"/>
    </row>
    <row r="160" spans="1:22" s="1069" customFormat="1" ht="15.75" hidden="1" customHeight="1">
      <c r="A160" s="1075" t="s">
        <v>177</v>
      </c>
      <c r="B160" s="1061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1"/>
      <c r="H160" s="948"/>
      <c r="I160" s="948"/>
      <c r="J160" s="948"/>
      <c r="K160" s="948"/>
      <c r="L160" s="1081"/>
      <c r="M160" s="1094"/>
      <c r="N160" s="1094"/>
      <c r="O160" s="1094"/>
      <c r="P160" s="1094"/>
      <c r="Q160" s="1068"/>
      <c r="R160" s="882"/>
      <c r="S160" s="1014"/>
      <c r="T160" s="1014"/>
      <c r="U160" s="1046">
        <v>160</v>
      </c>
      <c r="V160" s="461"/>
    </row>
    <row r="161" spans="1:22" s="1069" customFormat="1" ht="15.75" hidden="1" customHeight="1">
      <c r="A161" s="1075" t="s">
        <v>179</v>
      </c>
      <c r="B161" s="1081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1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2"/>
      <c r="S161" s="1014"/>
      <c r="T161" s="1014"/>
      <c r="U161" s="1046">
        <v>161</v>
      </c>
      <c r="V161" s="461"/>
    </row>
    <row r="162" spans="1:22" s="1069" customFormat="1" ht="15.75" hidden="1" customHeight="1">
      <c r="A162" s="1075" t="s">
        <v>181</v>
      </c>
      <c r="B162" s="1081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1"/>
      <c r="H162" s="948"/>
      <c r="I162" s="948"/>
      <c r="J162" s="948"/>
      <c r="K162" s="948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6">
        <v>162</v>
      </c>
      <c r="V162" s="461"/>
    </row>
    <row r="163" spans="1:22" s="1069" customFormat="1" ht="15.75" hidden="1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2"/>
      <c r="S163" s="1014"/>
      <c r="T163" s="1014"/>
      <c r="U163" s="1046">
        <v>163</v>
      </c>
      <c r="V163" s="461"/>
    </row>
    <row r="164" spans="1:22" ht="15.75" hidden="1" customHeight="1">
      <c r="A164" s="1099" t="s">
        <v>185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8"/>
      <c r="I164" s="948"/>
      <c r="J164" s="948"/>
      <c r="K164" s="948"/>
      <c r="L164" s="1100"/>
      <c r="M164" s="948"/>
      <c r="N164" s="948"/>
      <c r="O164" s="948"/>
      <c r="P164" s="948"/>
      <c r="Q164" s="1107"/>
      <c r="R164" s="882"/>
      <c r="S164" s="1014"/>
      <c r="T164" s="1014"/>
      <c r="U164" s="1046">
        <v>164</v>
      </c>
      <c r="V164" s="461"/>
    </row>
    <row r="165" spans="1:22" s="1069" customFormat="1" ht="15.75" hidden="1" customHeight="1">
      <c r="A165" s="1099" t="s">
        <v>187</v>
      </c>
      <c r="B165" s="1100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0"/>
      <c r="H165" s="639"/>
      <c r="I165" s="639"/>
      <c r="J165" s="639"/>
      <c r="K165" s="639"/>
      <c r="L165" s="1090"/>
      <c r="M165" s="948"/>
      <c r="N165" s="948"/>
      <c r="O165" s="948"/>
      <c r="P165" s="948"/>
      <c r="Q165" s="1068"/>
      <c r="R165" s="882"/>
      <c r="S165" s="1014"/>
      <c r="T165" s="1014"/>
      <c r="U165" s="1046">
        <v>165</v>
      </c>
      <c r="V165" s="461"/>
    </row>
    <row r="166" spans="1:22" ht="15.75" hidden="1" customHeight="1">
      <c r="A166" s="1099" t="s">
        <v>223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7"/>
      <c r="T166" s="1007"/>
      <c r="U166" s="1046">
        <v>166</v>
      </c>
      <c r="V166" s="461"/>
    </row>
    <row r="167" spans="1:22" ht="15.75" hidden="1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2"/>
      <c r="S167" s="1014"/>
      <c r="T167" s="1014"/>
      <c r="U167" s="1046">
        <v>167</v>
      </c>
      <c r="V167" s="461"/>
    </row>
    <row r="168" spans="1:22" ht="15.75" hidden="1" customHeight="1">
      <c r="A168" s="1074" t="s">
        <v>197</v>
      </c>
      <c r="B168" s="1061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6">
        <v>168</v>
      </c>
      <c r="V168" s="461"/>
    </row>
    <row r="169" spans="1:22" ht="15.75" hidden="1" customHeight="1">
      <c r="A169" s="1099" t="s">
        <v>198</v>
      </c>
      <c r="B169" s="1061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6">
        <v>169</v>
      </c>
      <c r="V169" s="461"/>
    </row>
    <row r="170" spans="1:22" ht="15.75" hidden="1" customHeight="1">
      <c r="A170" s="1075" t="s">
        <v>200</v>
      </c>
      <c r="B170" s="1078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4"/>
      <c r="H170" s="948"/>
      <c r="I170" s="948"/>
      <c r="J170" s="948"/>
      <c r="K170" s="948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6">
        <v>170</v>
      </c>
      <c r="V170" s="461"/>
    </row>
    <row r="171" spans="1:22" s="1124" customFormat="1" ht="15.75" hidden="1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5"/>
      <c r="M171" s="1098" t="str">
        <f t="shared" ref="M171:P173" si="37">IF(H171="","",SUM(H171)-SUM(C171))</f>
        <v/>
      </c>
      <c r="N171" s="1098" t="str">
        <f t="shared" si="37"/>
        <v/>
      </c>
      <c r="O171" s="1098" t="str">
        <f t="shared" si="37"/>
        <v/>
      </c>
      <c r="P171" s="1098" t="str">
        <f t="shared" si="37"/>
        <v/>
      </c>
      <c r="Q171" s="1122"/>
      <c r="R171" s="882"/>
      <c r="S171" s="1014"/>
      <c r="T171" s="1014"/>
      <c r="U171" s="1046">
        <v>171</v>
      </c>
      <c r="V171" s="1123"/>
    </row>
    <row r="172" spans="1:22" ht="15.75" hidden="1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37"/>
        <v/>
      </c>
      <c r="N172" s="1126" t="str">
        <f t="shared" si="37"/>
        <v/>
      </c>
      <c r="O172" s="1126" t="str">
        <f t="shared" si="37"/>
        <v/>
      </c>
      <c r="P172" s="1126" t="str">
        <f t="shared" si="37"/>
        <v/>
      </c>
      <c r="Q172" s="1107"/>
      <c r="R172" s="1045"/>
      <c r="S172" s="1007"/>
      <c r="T172" s="1007"/>
      <c r="U172" s="1046">
        <v>172</v>
      </c>
      <c r="V172" s="461"/>
    </row>
    <row r="173" spans="1:22" ht="15.75" hidden="1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37"/>
        <v/>
      </c>
      <c r="N173" s="1126" t="str">
        <f t="shared" si="37"/>
        <v/>
      </c>
      <c r="O173" s="1126" t="str">
        <f t="shared" si="37"/>
        <v/>
      </c>
      <c r="P173" s="1126" t="str">
        <f t="shared" si="37"/>
        <v/>
      </c>
      <c r="Q173" s="1107"/>
      <c r="R173" s="1045"/>
      <c r="S173" s="1007"/>
      <c r="T173" s="1007"/>
      <c r="U173" s="1046">
        <v>173</v>
      </c>
      <c r="V173" s="461"/>
    </row>
    <row r="174" spans="1:22" ht="15.75" hidden="1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8"/>
      <c r="N174" s="948"/>
      <c r="O174" s="948"/>
      <c r="P174" s="948"/>
      <c r="Q174" s="1107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56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4"/>
      <c r="I175" s="284"/>
      <c r="J175" s="284"/>
      <c r="K175" s="284"/>
      <c r="L175" s="1078"/>
      <c r="M175" s="948"/>
      <c r="N175" s="948"/>
      <c r="O175" s="948"/>
      <c r="P175" s="948"/>
      <c r="Q175" s="1107"/>
      <c r="R175" s="1091"/>
      <c r="S175" s="1092"/>
      <c r="T175" s="1092"/>
      <c r="U175" s="1046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8"/>
      <c r="I176" s="948"/>
      <c r="J176" s="948"/>
      <c r="K176" s="948"/>
      <c r="L176" s="1078"/>
      <c r="M176" s="948"/>
      <c r="N176" s="948"/>
      <c r="O176" s="948"/>
      <c r="P176" s="948"/>
      <c r="Q176" s="1107"/>
      <c r="R176" s="882"/>
      <c r="S176" s="1014"/>
      <c r="T176" s="1014"/>
      <c r="U176" s="1046">
        <v>176</v>
      </c>
      <c r="V176" s="461"/>
    </row>
    <row r="177" spans="1:22" ht="15.75" hidden="1" customHeight="1">
      <c r="A177" s="1099" t="s">
        <v>252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228</v>
      </c>
      <c r="B178" s="1133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78"/>
      <c r="H178" s="284"/>
      <c r="I178" s="284"/>
      <c r="J178" s="284"/>
      <c r="K178" s="284"/>
      <c r="L178" s="1078"/>
      <c r="M178" s="948"/>
      <c r="N178" s="948"/>
      <c r="O178" s="948"/>
      <c r="P178" s="948"/>
      <c r="Q178" s="1107"/>
      <c r="R178" s="1091"/>
      <c r="S178" s="1092"/>
      <c r="T178" s="1092"/>
      <c r="U178" s="1046">
        <v>178</v>
      </c>
      <c r="V178" s="461"/>
    </row>
    <row r="179" spans="1:22" ht="15.75" customHeight="1">
      <c r="A179" s="1099" t="s">
        <v>226</v>
      </c>
      <c r="B179" s="1061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78"/>
      <c r="H179" s="948"/>
      <c r="I179" s="948"/>
      <c r="J179" s="948"/>
      <c r="K179" s="948"/>
      <c r="L179" s="1078"/>
      <c r="M179" s="948"/>
      <c r="N179" s="948"/>
      <c r="O179" s="948"/>
      <c r="P179" s="948"/>
      <c r="Q179" s="1107"/>
      <c r="R179" s="882"/>
      <c r="S179" s="1014"/>
      <c r="T179" s="1014"/>
      <c r="U179" s="1046">
        <v>179</v>
      </c>
      <c r="V179" s="461"/>
    </row>
    <row r="180" spans="1:22" ht="15.75" customHeight="1">
      <c r="A180" s="1099" t="s">
        <v>252</v>
      </c>
      <c r="B180" s="1061"/>
      <c r="C180" s="1125">
        <f t="shared" ref="C180:E180" si="38">IF(C179="","",C178*C179*2350*$K$1/$P$1/365/C$46)</f>
        <v>0</v>
      </c>
      <c r="D180" s="1125">
        <f t="shared" si="38"/>
        <v>1.4358723147571608E-2</v>
      </c>
      <c r="E180" s="1125">
        <f t="shared" si="38"/>
        <v>2.8717446295143216E-2</v>
      </c>
      <c r="F180" s="1125">
        <f>IF(F179="","",F178*F179*2350*$K$1/$P$1/365/F$46)</f>
        <v>5.1053237858032383E-2</v>
      </c>
      <c r="G180" s="1090"/>
      <c r="H180" s="1125" t="str">
        <f>IF(H178="","",H178*C179*2350*$K$1/$P$1/365/H$46)</f>
        <v/>
      </c>
      <c r="I180" s="1125" t="str">
        <f t="shared" ref="I180:K180" si="39">IF(I178="","",I178*D179*2350*$K$1/$P$1/365/I$46)</f>
        <v/>
      </c>
      <c r="J180" s="1125" t="str">
        <f t="shared" si="39"/>
        <v/>
      </c>
      <c r="K180" s="1125" t="str">
        <f t="shared" si="39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229</v>
      </c>
      <c r="B181" s="1078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78"/>
      <c r="H181" s="284"/>
      <c r="I181" s="284"/>
      <c r="J181" s="284"/>
      <c r="K181" s="284"/>
      <c r="L181" s="1078"/>
      <c r="M181" s="948"/>
      <c r="N181" s="948"/>
      <c r="O181" s="948"/>
      <c r="P181" s="948"/>
      <c r="Q181" s="1107"/>
      <c r="R181" s="1091"/>
      <c r="S181" s="1092"/>
      <c r="T181" s="1092"/>
      <c r="U181" s="1046">
        <v>181</v>
      </c>
      <c r="V181" s="461"/>
    </row>
    <row r="182" spans="1:22" ht="15.75" customHeight="1">
      <c r="A182" s="1099" t="s">
        <v>226</v>
      </c>
      <c r="B182" s="1081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8"/>
      <c r="H182" s="948"/>
      <c r="I182" s="948"/>
      <c r="J182" s="948"/>
      <c r="K182" s="948"/>
      <c r="L182" s="1078"/>
      <c r="M182" s="948"/>
      <c r="N182" s="948"/>
      <c r="O182" s="948"/>
      <c r="P182" s="948"/>
      <c r="Q182" s="1107"/>
      <c r="R182" s="882"/>
      <c r="S182" s="1014"/>
      <c r="T182" s="1014"/>
      <c r="U182" s="1046">
        <v>182</v>
      </c>
      <c r="V182" s="461"/>
    </row>
    <row r="183" spans="1:22" ht="15.75" customHeight="1">
      <c r="A183" s="1099" t="s">
        <v>252</v>
      </c>
      <c r="B183" s="1081"/>
      <c r="C183" s="1125">
        <f t="shared" ref="C183:E183" si="40">IF(C182="","",C181*C182*1450*$K$1/$P$1/365/C$46)</f>
        <v>5.906425124533001E-3</v>
      </c>
      <c r="D183" s="1125">
        <f t="shared" si="40"/>
        <v>1.1812850249066002E-2</v>
      </c>
      <c r="E183" s="1125">
        <f t="shared" si="40"/>
        <v>1.7719275373599006E-2</v>
      </c>
      <c r="F183" s="1125">
        <f>IF(F182="","",F181*F182*1450*$K$1/$P$1/365/F$46)</f>
        <v>1.8375544831880451E-2</v>
      </c>
      <c r="G183" s="1090"/>
      <c r="H183" s="1125" t="str">
        <f>IF(H181="","",H181*C182*1450*$K$1/$P$1/365/H$46)</f>
        <v/>
      </c>
      <c r="I183" s="1125" t="str">
        <f t="shared" ref="I183:K183" si="41">IF(I181="","",I181*D182*1450*$K$1/$P$1/365/I$46)</f>
        <v/>
      </c>
      <c r="J183" s="1125" t="str">
        <f t="shared" si="41"/>
        <v/>
      </c>
      <c r="K183" s="1125" t="str">
        <f t="shared" si="41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4"/>
      <c r="I184" s="284"/>
      <c r="J184" s="284"/>
      <c r="K184" s="284"/>
      <c r="L184" s="1078"/>
      <c r="M184" s="948"/>
      <c r="N184" s="948"/>
      <c r="O184" s="948"/>
      <c r="P184" s="948"/>
      <c r="Q184" s="1107"/>
      <c r="R184" s="1091"/>
      <c r="S184" s="1092"/>
      <c r="T184" s="1092"/>
      <c r="U184" s="1046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8"/>
      <c r="I185" s="948"/>
      <c r="J185" s="948"/>
      <c r="K185" s="948"/>
      <c r="L185" s="1078"/>
      <c r="M185" s="948"/>
      <c r="N185" s="948"/>
      <c r="O185" s="948"/>
      <c r="P185" s="948"/>
      <c r="Q185" s="1107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75" t="s">
        <v>183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4" t="s">
        <v>231</v>
      </c>
      <c r="B187" s="1061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8"/>
      <c r="M187" s="948"/>
      <c r="N187" s="948"/>
      <c r="O187" s="948"/>
      <c r="P187" s="948"/>
      <c r="Q187" s="1107"/>
      <c r="R187" s="1091"/>
      <c r="S187" s="1092"/>
      <c r="T187" s="1092"/>
      <c r="U187" s="1046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8"/>
      <c r="I188" s="948"/>
      <c r="J188" s="948"/>
      <c r="K188" s="948"/>
      <c r="L188" s="1078"/>
      <c r="M188" s="948"/>
      <c r="N188" s="948"/>
      <c r="O188" s="948"/>
      <c r="P188" s="948"/>
      <c r="Q188" s="1107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8"/>
      <c r="N190" s="948"/>
      <c r="O190" s="948"/>
      <c r="P190" s="948"/>
      <c r="Q190" s="1107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233</v>
      </c>
      <c r="B191" s="108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8"/>
      <c r="H191" s="948"/>
      <c r="I191" s="948"/>
      <c r="J191" s="948"/>
      <c r="K191" s="948"/>
      <c r="L191" s="1078"/>
      <c r="M191" s="948"/>
      <c r="N191" s="948"/>
      <c r="O191" s="948"/>
      <c r="P191" s="948"/>
      <c r="Q191" s="1107"/>
      <c r="R191" s="1091"/>
      <c r="S191" s="1092"/>
      <c r="T191" s="1092"/>
      <c r="U191" s="1046">
        <v>191</v>
      </c>
      <c r="V191" s="461"/>
    </row>
    <row r="192" spans="1:22" ht="15.75" customHeight="1">
      <c r="A192" s="1136" t="s">
        <v>234</v>
      </c>
      <c r="B192" s="109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8"/>
      <c r="H192" s="948"/>
      <c r="I192" s="948"/>
      <c r="J192" s="948"/>
      <c r="K192" s="948"/>
      <c r="L192" s="1078"/>
      <c r="M192" s="948"/>
      <c r="N192" s="948"/>
      <c r="O192" s="948"/>
      <c r="P192" s="948"/>
      <c r="Q192" s="1107"/>
      <c r="R192" s="882"/>
      <c r="S192" s="1014"/>
      <c r="T192" s="1014"/>
      <c r="U192" s="1046">
        <v>192</v>
      </c>
      <c r="V192" s="461"/>
    </row>
    <row r="193" spans="1:22" ht="15.75" customHeight="1">
      <c r="A193" s="1075" t="s">
        <v>235</v>
      </c>
      <c r="B193" s="1133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78"/>
      <c r="H193" s="948"/>
      <c r="I193" s="948"/>
      <c r="J193" s="948"/>
      <c r="K193" s="948"/>
      <c r="L193" s="1078"/>
      <c r="M193" s="948"/>
      <c r="N193" s="948"/>
      <c r="O193" s="948"/>
      <c r="P193" s="948"/>
      <c r="Q193" s="1107"/>
      <c r="R193" s="882"/>
      <c r="S193" s="1014"/>
      <c r="T193" s="1014"/>
      <c r="U193" s="1046">
        <v>193</v>
      </c>
      <c r="V193" s="461"/>
    </row>
    <row r="194" spans="1:22" ht="15.75" customHeight="1">
      <c r="A194" s="1075" t="s">
        <v>183</v>
      </c>
      <c r="B194" s="1061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8"/>
      <c r="I194" s="948"/>
      <c r="J194" s="948"/>
      <c r="K194" s="948"/>
      <c r="L194" s="1081"/>
      <c r="M194" s="948"/>
      <c r="N194" s="948"/>
      <c r="O194" s="948"/>
      <c r="P194" s="948"/>
      <c r="Q194" s="1107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236</v>
      </c>
      <c r="B195" s="107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8"/>
      <c r="H195" s="284"/>
      <c r="I195" s="284"/>
      <c r="J195" s="284"/>
      <c r="K195" s="284"/>
      <c r="L195" s="1078"/>
      <c r="M195" s="948"/>
      <c r="N195" s="948"/>
      <c r="O195" s="948"/>
      <c r="P195" s="948"/>
      <c r="Q195" s="1107"/>
      <c r="R195" s="1091"/>
      <c r="S195" s="1092"/>
      <c r="T195" s="1092"/>
      <c r="U195" s="1046">
        <v>195</v>
      </c>
      <c r="V195" s="461"/>
    </row>
    <row r="196" spans="1:22" ht="15.75" customHeight="1">
      <c r="A196" s="1075" t="s">
        <v>181</v>
      </c>
      <c r="B196" s="1081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78"/>
      <c r="H196" s="948"/>
      <c r="I196" s="948"/>
      <c r="J196" s="948"/>
      <c r="K196" s="948"/>
      <c r="L196" s="1078"/>
      <c r="M196" s="948"/>
      <c r="N196" s="948"/>
      <c r="O196" s="948"/>
      <c r="P196" s="948"/>
      <c r="Q196" s="1107"/>
      <c r="R196" s="882"/>
      <c r="S196" s="1014"/>
      <c r="T196" s="1014"/>
      <c r="U196" s="1046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237</v>
      </c>
      <c r="B198" s="1081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78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78"/>
      <c r="M198" s="948"/>
      <c r="N198" s="948"/>
      <c r="O198" s="948"/>
      <c r="P198" s="948"/>
      <c r="Q198" s="1107"/>
      <c r="R198" s="1091"/>
      <c r="S198" s="1092"/>
      <c r="T198" s="1092"/>
      <c r="U198" s="1046">
        <v>198</v>
      </c>
      <c r="V198" s="461"/>
    </row>
    <row r="199" spans="1:22" ht="15.75" customHeight="1">
      <c r="A199" s="1075" t="s">
        <v>181</v>
      </c>
      <c r="B199" s="1090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78"/>
      <c r="H199" s="948"/>
      <c r="I199" s="948"/>
      <c r="J199" s="948"/>
      <c r="K199" s="948"/>
      <c r="L199" s="1078"/>
      <c r="M199" s="948"/>
      <c r="N199" s="948"/>
      <c r="O199" s="948"/>
      <c r="P199" s="948"/>
      <c r="Q199" s="1107"/>
      <c r="R199" s="882"/>
      <c r="S199" s="1014"/>
      <c r="T199" s="1014"/>
      <c r="U199" s="1046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 t="str">
        <f>IF(SUM(D198)=0,"",D198*D199)</f>
        <v/>
      </c>
      <c r="E200" s="1098">
        <f>IF(SUM(E198)=0,"",E198*E199)</f>
        <v>2000</v>
      </c>
      <c r="F200" s="1098">
        <f>IF(SUM(F198)=0,"",F198*F199)</f>
        <v>8000</v>
      </c>
      <c r="G200" s="1081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1"/>
      <c r="M200" s="1098" t="str">
        <f>IF(H200="","",SUM(H200)-SUM(C200))</f>
        <v/>
      </c>
      <c r="N200" s="1098" t="str">
        <f>IF(I200="","",SUM(I200)-SUM(D200))</f>
        <v/>
      </c>
      <c r="O200" s="1098">
        <f>IF(J200="","",SUM(J200)-SUM(E200))</f>
        <v>0</v>
      </c>
      <c r="P200" s="1098">
        <f>IF(K200="","",SUM(K200)-SUM(F200))</f>
        <v>2000</v>
      </c>
      <c r="Q200" s="1107"/>
      <c r="R200" s="882"/>
      <c r="S200" s="1014"/>
      <c r="T200" s="1014"/>
      <c r="U200" s="1046">
        <v>200</v>
      </c>
      <c r="V200" s="461"/>
    </row>
    <row r="201" spans="1:22" ht="15.75" customHeight="1">
      <c r="A201" s="1135" t="s">
        <v>238</v>
      </c>
      <c r="B201" s="1061"/>
      <c r="C201" s="1110">
        <f>IF(SUM(C52)=0,"",SUM(C178,SUM(C191)*(C192=""),C195,C198)/C52)</f>
        <v>0</v>
      </c>
      <c r="D201" s="1110">
        <f>IF(SUM(D52)=0,"",SUM(D178,SUM(D191)*(D192=""),D195,D198)/D52)</f>
        <v>0.125</v>
      </c>
      <c r="E201" s="1110">
        <f>IF(SUM(E52)=0,"",SUM(E178,SUM(E191)*(E192=""),E195,E198)/E52)</f>
        <v>0.15</v>
      </c>
      <c r="F201" s="1110">
        <f>IF(SUM(F52)=0,"",SUM(F178,SUM(F191)*(F192=""),F195,F198)/F52)</f>
        <v>0.16</v>
      </c>
      <c r="G201" s="1081"/>
      <c r="H201" s="1110">
        <f>IF(H52=0,"",SUM(H178,SUM(C178)*(H178=""),SUM(C191)*(SUM(C192)=0),H195,SUM(C195)*(H195=""),H198)/H52)</f>
        <v>0</v>
      </c>
      <c r="I201" s="1110">
        <f>IF(I52=0,"",SUM(I178,SUM(D178)*(I178=""),SUM(D191)*(SUM(D192)=0),I195,SUM(D195)*(I195=""),I198)/I52)</f>
        <v>0.125</v>
      </c>
      <c r="J201" s="1110">
        <f>IF(J52=0,"",SUM(J178,SUM(E178)*(J178=""),SUM(E191)*(SUM(E192)=0),J195,SUM(E195)*(J195=""),J198)/J52)</f>
        <v>0.15</v>
      </c>
      <c r="K201" s="1110">
        <f>IF(K52=0,"",SUM(K178,SUM(F178)*(K178=""),SUM(F191)*(SUM(F192)=0),K195,SUM(F195)*(K195=""),K198)/K52)</f>
        <v>0.18</v>
      </c>
      <c r="L201" s="1081"/>
      <c r="M201" s="948"/>
      <c r="N201" s="948"/>
      <c r="O201" s="948"/>
      <c r="P201" s="948"/>
      <c r="Q201" s="1107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239</v>
      </c>
      <c r="B202" s="107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8"/>
      <c r="H202" s="284"/>
      <c r="I202" s="284"/>
      <c r="J202" s="284"/>
      <c r="K202" s="284"/>
      <c r="L202" s="1078"/>
      <c r="M202" s="948"/>
      <c r="N202" s="948"/>
      <c r="O202" s="948"/>
      <c r="P202" s="948"/>
      <c r="Q202" s="1107"/>
      <c r="R202" s="1091"/>
      <c r="S202" s="1092"/>
      <c r="T202" s="1092"/>
      <c r="U202" s="1046">
        <v>202</v>
      </c>
      <c r="V202" s="461"/>
    </row>
    <row r="203" spans="1:22" ht="15.75" customHeight="1">
      <c r="A203" s="1075" t="s">
        <v>181</v>
      </c>
      <c r="B203" s="1081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78"/>
      <c r="H203" s="948"/>
      <c r="I203" s="948"/>
      <c r="J203" s="948"/>
      <c r="K203" s="948"/>
      <c r="L203" s="1078"/>
      <c r="M203" s="948"/>
      <c r="N203" s="948"/>
      <c r="O203" s="948"/>
      <c r="P203" s="948"/>
      <c r="Q203" s="1107"/>
      <c r="R203" s="882"/>
      <c r="S203" s="1014"/>
      <c r="T203" s="1014"/>
      <c r="U203" s="1046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1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78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78"/>
      <c r="M205" s="948"/>
      <c r="N205" s="948"/>
      <c r="O205" s="948"/>
      <c r="P205" s="948"/>
      <c r="Q205" s="1107"/>
      <c r="R205" s="1091"/>
      <c r="S205" s="1092"/>
      <c r="T205" s="1092"/>
      <c r="U205" s="1046">
        <v>205</v>
      </c>
      <c r="V205" s="461"/>
    </row>
    <row r="206" spans="1:22" ht="15.75" customHeight="1">
      <c r="A206" s="1075" t="s">
        <v>181</v>
      </c>
      <c r="B206" s="1081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78"/>
      <c r="H206" s="948"/>
      <c r="I206" s="948"/>
      <c r="J206" s="948"/>
      <c r="K206" s="948"/>
      <c r="L206" s="1078"/>
      <c r="M206" s="948"/>
      <c r="N206" s="948"/>
      <c r="O206" s="948"/>
      <c r="P206" s="948"/>
      <c r="Q206" s="1107"/>
      <c r="R206" s="882"/>
      <c r="S206" s="1014"/>
      <c r="T206" s="1014"/>
      <c r="U206" s="1046">
        <v>206</v>
      </c>
      <c r="V206" s="461"/>
    </row>
    <row r="207" spans="1:22" ht="15.75" customHeight="1">
      <c r="A207" s="1075" t="s">
        <v>183</v>
      </c>
      <c r="B207" s="1133"/>
      <c r="C207" s="1098" t="str">
        <f>IF(SUM(C205)=0,"",C205*C206)</f>
        <v/>
      </c>
      <c r="D207" s="1098">
        <f>IF(SUM(D205)=0,"",D205*D206)</f>
        <v>500</v>
      </c>
      <c r="E207" s="1098">
        <f>IF(SUM(E205)=0,"",E205*E206)</f>
        <v>1500</v>
      </c>
      <c r="F207" s="1098">
        <f>IF(SUM(F205)=0,"",F205*F206)</f>
        <v>2500</v>
      </c>
      <c r="G207" s="1081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1000</v>
      </c>
      <c r="P207" s="1098">
        <f>IF(K207="","",SUM(K207)-SUM(F207))</f>
        <v>500</v>
      </c>
      <c r="Q207" s="1107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241</v>
      </c>
      <c r="B208" s="1061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8"/>
      <c r="H208" s="284"/>
      <c r="I208" s="284"/>
      <c r="J208" s="284"/>
      <c r="K208" s="284"/>
      <c r="L208" s="1078"/>
      <c r="M208" s="948"/>
      <c r="N208" s="948"/>
      <c r="O208" s="948"/>
      <c r="P208" s="948"/>
      <c r="Q208" s="1107"/>
      <c r="R208" s="1091"/>
      <c r="S208" s="1092"/>
      <c r="T208" s="1092"/>
      <c r="U208" s="1046">
        <v>208</v>
      </c>
      <c r="V208" s="461"/>
    </row>
    <row r="209" spans="1:22" ht="15.75" customHeight="1">
      <c r="A209" s="1075" t="s">
        <v>181</v>
      </c>
      <c r="B209" s="1078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78"/>
      <c r="H209" s="948"/>
      <c r="I209" s="948"/>
      <c r="J209" s="948"/>
      <c r="K209" s="948"/>
      <c r="L209" s="1078"/>
      <c r="M209" s="948"/>
      <c r="N209" s="948"/>
      <c r="O209" s="948"/>
      <c r="P209" s="948"/>
      <c r="Q209" s="1107"/>
      <c r="R209" s="882"/>
      <c r="S209" s="1014"/>
      <c r="T209" s="1014"/>
      <c r="U209" s="1046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1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8"/>
      <c r="H211" s="284"/>
      <c r="I211" s="284"/>
      <c r="J211" s="284"/>
      <c r="K211" s="284"/>
      <c r="L211" s="1078"/>
      <c r="M211" s="948"/>
      <c r="N211" s="948"/>
      <c r="O211" s="948"/>
      <c r="P211" s="948"/>
      <c r="Q211" s="1107"/>
      <c r="R211" s="1091"/>
      <c r="S211" s="1092"/>
      <c r="T211" s="1092"/>
      <c r="U211" s="1046">
        <v>211</v>
      </c>
      <c r="V211" s="461"/>
    </row>
    <row r="212" spans="1:22" ht="15.75" customHeight="1">
      <c r="A212" s="1075" t="s">
        <v>181</v>
      </c>
      <c r="B212" s="1081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78"/>
      <c r="H212" s="948"/>
      <c r="I212" s="948"/>
      <c r="J212" s="948"/>
      <c r="K212" s="948"/>
      <c r="L212" s="1078"/>
      <c r="M212" s="948"/>
      <c r="N212" s="948"/>
      <c r="O212" s="948"/>
      <c r="P212" s="948"/>
      <c r="Q212" s="1107"/>
      <c r="R212" s="882"/>
      <c r="S212" s="1014"/>
      <c r="T212" s="1014"/>
      <c r="U212" s="1046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82"/>
      <c r="S213" s="1014"/>
      <c r="T213" s="1014"/>
      <c r="U213" s="1046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0.33333333333333331</v>
      </c>
      <c r="D214" s="1110">
        <f>IF(SUM(D54,D55)=0,"",SUM(D181,D202,D205,D208,D211)/SUM(D54,D55))</f>
        <v>0.3125</v>
      </c>
      <c r="E214" s="1110">
        <f>IF(SUM(E54,E55)=0,"",SUM(E181,E202,E205,E208,E211)/SUM(E54,E55))</f>
        <v>0.3</v>
      </c>
      <c r="F214" s="1110">
        <f>IF(SUM(F54,F55)=0,"",SUM(F181,F202,F205,F208,F211)/SUM(F54,F55))</f>
        <v>0.3</v>
      </c>
      <c r="G214" s="1081"/>
      <c r="H214" s="1110">
        <f>IF(H54+H55=0,"",SUM(H181,SUM(C181)*(H181=""),H202,SUM(C202)*(H202=""),H208,SUM(C208)*(H208=""),H211,SUM(C211)*(H211=""),H205)/(H54+H55))</f>
        <v>0.33333333333333331</v>
      </c>
      <c r="I214" s="1110">
        <f>IF(I54+I55=0,"",SUM(I181,SUM(D181)*(I181=""),I202,SUM(D202)*(I202=""),I208,SUM(D208)*(I208=""),I211,SUM(D211)*(I211=""),I205)/(I54+I55))</f>
        <v>0.3125</v>
      </c>
      <c r="J214" s="1110">
        <f>IF(J54+J55=0,"",SUM(J181,SUM(E181)*(J181=""),J202,SUM(E202)*(J202=""),J208,SUM(E208)*(J208=""),J211,SUM(E211)*(J211=""),J205)/(J54+J55))</f>
        <v>0.36666666666666664</v>
      </c>
      <c r="K214" s="1110">
        <f>IF(K54+K55=0,"",SUM(K181,SUM(F181)*(K181=""),K202,SUM(F202)*(K202=""),K208,SUM(F208)*(K208=""),K211,SUM(F211)*(K211=""),K205)/(K54+K55))</f>
        <v>0.32500000000000001</v>
      </c>
      <c r="L214" s="1081"/>
      <c r="M214" s="1094"/>
      <c r="N214" s="1094"/>
      <c r="O214" s="1094"/>
      <c r="P214" s="1094"/>
      <c r="Q214" s="1107"/>
      <c r="R214" s="1045"/>
      <c r="S214" s="1007"/>
      <c r="T214" s="1007"/>
      <c r="U214" s="1046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1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78"/>
      <c r="H215" s="284"/>
      <c r="I215" s="284"/>
      <c r="J215" s="284"/>
      <c r="K215" s="284"/>
      <c r="L215" s="1078"/>
      <c r="M215" s="948"/>
      <c r="N215" s="948"/>
      <c r="O215" s="948"/>
      <c r="P215" s="948"/>
      <c r="Q215" s="1107"/>
      <c r="R215" s="1091"/>
      <c r="S215" s="1092"/>
      <c r="T215" s="1092"/>
      <c r="U215" s="1046">
        <v>215</v>
      </c>
      <c r="V215" s="461"/>
    </row>
    <row r="216" spans="1:22" ht="15.75" customHeight="1">
      <c r="A216" s="1075" t="s">
        <v>181</v>
      </c>
      <c r="B216" s="1078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78"/>
      <c r="H216" s="948"/>
      <c r="I216" s="948"/>
      <c r="J216" s="948"/>
      <c r="K216" s="948"/>
      <c r="L216" s="1078"/>
      <c r="M216" s="948"/>
      <c r="N216" s="948"/>
      <c r="O216" s="948"/>
      <c r="P216" s="948"/>
      <c r="Q216" s="1107"/>
      <c r="R216" s="882"/>
      <c r="S216" s="1014"/>
      <c r="T216" s="1014"/>
      <c r="U216" s="1046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>
        <f>IF(SUM(F215)=0,"",F215*F216)</f>
        <v>550</v>
      </c>
      <c r="G217" s="1079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82"/>
      <c r="S217" s="1014"/>
      <c r="T217" s="1014"/>
      <c r="U217" s="1046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8"/>
      <c r="H218" s="948"/>
      <c r="I218" s="948"/>
      <c r="J218" s="948"/>
      <c r="K218" s="948"/>
      <c r="L218" s="1078"/>
      <c r="M218" s="948"/>
      <c r="N218" s="948"/>
      <c r="O218" s="948"/>
      <c r="P218" s="948"/>
      <c r="Q218" s="1107"/>
      <c r="R218" s="1091"/>
      <c r="S218" s="1092"/>
      <c r="T218" s="1092"/>
      <c r="U218" s="1046">
        <v>218</v>
      </c>
      <c r="V218" s="461"/>
    </row>
    <row r="219" spans="1:22" ht="15.75" customHeight="1">
      <c r="A219" s="1075" t="s">
        <v>181</v>
      </c>
      <c r="B219" s="1081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78"/>
      <c r="H219" s="948"/>
      <c r="I219" s="948"/>
      <c r="J219" s="948"/>
      <c r="K219" s="948"/>
      <c r="L219" s="1078"/>
      <c r="M219" s="948"/>
      <c r="N219" s="948"/>
      <c r="O219" s="948"/>
      <c r="P219" s="948"/>
      <c r="Q219" s="1107"/>
      <c r="R219" s="1091"/>
      <c r="S219" s="1092"/>
      <c r="T219" s="1092"/>
      <c r="U219" s="1046">
        <v>219</v>
      </c>
      <c r="V219" s="461"/>
    </row>
    <row r="220" spans="1:22" ht="15.75" customHeight="1">
      <c r="A220" s="1075" t="s">
        <v>183</v>
      </c>
      <c r="B220" s="1090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79"/>
      <c r="H220" s="948"/>
      <c r="I220" s="948"/>
      <c r="J220" s="948"/>
      <c r="K220" s="948"/>
      <c r="L220" s="1079"/>
      <c r="M220" s="948"/>
      <c r="N220" s="948"/>
      <c r="O220" s="948"/>
      <c r="P220" s="948"/>
      <c r="Q220" s="1107"/>
      <c r="R220" s="882"/>
      <c r="S220" s="1014"/>
      <c r="T220" s="1014"/>
      <c r="U220" s="1046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1"/>
      <c r="H221" s="948"/>
      <c r="I221" s="948"/>
      <c r="J221" s="948"/>
      <c r="K221" s="948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6">
        <v>221</v>
      </c>
      <c r="V221" s="461"/>
    </row>
    <row r="222" spans="1:22" ht="15.75" customHeight="1">
      <c r="A222" s="1075" t="s">
        <v>181</v>
      </c>
      <c r="B222" s="1061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1"/>
      <c r="H222" s="948"/>
      <c r="I222" s="948"/>
      <c r="J222" s="948"/>
      <c r="K222" s="948"/>
      <c r="L222" s="1081"/>
      <c r="M222" s="1094"/>
      <c r="N222" s="1094"/>
      <c r="O222" s="1094"/>
      <c r="P222" s="1094"/>
      <c r="Q222" s="1107"/>
      <c r="R222" s="882"/>
      <c r="S222" s="1014"/>
      <c r="T222" s="1014"/>
      <c r="U222" s="1046">
        <v>222</v>
      </c>
      <c r="V222" s="461"/>
    </row>
    <row r="223" spans="1:22" ht="15.75" customHeight="1">
      <c r="A223" s="1075" t="s">
        <v>183</v>
      </c>
      <c r="B223" s="1078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1"/>
      <c r="H223" s="948"/>
      <c r="I223" s="948"/>
      <c r="J223" s="948"/>
      <c r="K223" s="948"/>
      <c r="L223" s="1081"/>
      <c r="M223" s="1094"/>
      <c r="N223" s="1094"/>
      <c r="O223" s="1094"/>
      <c r="P223" s="1094"/>
      <c r="Q223" s="1107"/>
      <c r="R223" s="882"/>
      <c r="S223" s="1014"/>
      <c r="T223" s="1014"/>
      <c r="U223" s="1046">
        <v>223</v>
      </c>
      <c r="V223" s="461"/>
    </row>
    <row r="224" spans="1:22" ht="15.75" customHeight="1">
      <c r="A224" s="1137" t="str">
        <f>IF(Data!A224="","",Data!A224)</f>
        <v>Other: quantity</v>
      </c>
      <c r="B224" s="1081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1"/>
      <c r="H224" s="948"/>
      <c r="I224" s="948"/>
      <c r="J224" s="948"/>
      <c r="K224" s="948"/>
      <c r="L224" s="1081"/>
      <c r="M224" s="1094"/>
      <c r="N224" s="1094"/>
      <c r="O224" s="1094"/>
      <c r="P224" s="1094"/>
      <c r="Q224" s="1107"/>
      <c r="R224" s="882"/>
      <c r="S224" s="1014"/>
      <c r="T224" s="1014"/>
      <c r="U224" s="1046">
        <v>224</v>
      </c>
      <c r="V224" s="461"/>
    </row>
    <row r="225" spans="1:22" ht="15.75" customHeight="1">
      <c r="A225" s="1075" t="s">
        <v>248</v>
      </c>
      <c r="B225" s="1081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1"/>
      <c r="H225" s="948"/>
      <c r="I225" s="948"/>
      <c r="J225" s="948"/>
      <c r="K225" s="948"/>
      <c r="L225" s="1081"/>
      <c r="M225" s="1094"/>
      <c r="N225" s="1094"/>
      <c r="O225" s="1094"/>
      <c r="P225" s="1094"/>
      <c r="Q225" s="1107"/>
      <c r="R225" s="882"/>
      <c r="S225" s="1014"/>
      <c r="T225" s="1014"/>
      <c r="U225" s="1046">
        <v>225</v>
      </c>
      <c r="V225" s="461"/>
    </row>
    <row r="226" spans="1:22" ht="15.75" customHeight="1">
      <c r="A226" s="1075" t="s">
        <v>183</v>
      </c>
      <c r="B226" s="1081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1"/>
      <c r="H226" s="948"/>
      <c r="I226" s="948"/>
      <c r="J226" s="948"/>
      <c r="K226" s="948"/>
      <c r="L226" s="1081"/>
      <c r="M226" s="1094"/>
      <c r="N226" s="1094"/>
      <c r="O226" s="1094"/>
      <c r="P226" s="1094"/>
      <c r="Q226" s="1107"/>
      <c r="R226" s="882"/>
      <c r="S226" s="1014"/>
      <c r="T226" s="1014"/>
      <c r="U226" s="1046">
        <v>226</v>
      </c>
      <c r="V226" s="461"/>
    </row>
    <row r="227" spans="1:22" ht="15.75" customHeight="1">
      <c r="A227" s="1138" t="s">
        <v>249</v>
      </c>
      <c r="B227" s="1090"/>
      <c r="C227" s="990"/>
      <c r="D227" s="990"/>
      <c r="E227" s="990"/>
      <c r="F227" s="990"/>
      <c r="G227" s="1078"/>
      <c r="H227" s="948"/>
      <c r="I227" s="948"/>
      <c r="J227" s="948"/>
      <c r="K227" s="948"/>
      <c r="L227" s="1078"/>
      <c r="M227" s="948"/>
      <c r="N227" s="948"/>
      <c r="O227" s="948"/>
      <c r="P227" s="948"/>
      <c r="Q227" s="1107"/>
      <c r="R227" s="843"/>
      <c r="S227" s="843"/>
      <c r="T227" s="843"/>
      <c r="U227" s="1046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78"/>
      <c r="H228" s="948"/>
      <c r="I228" s="948"/>
      <c r="J228" s="948"/>
      <c r="K228" s="948"/>
      <c r="L228" s="1078"/>
      <c r="M228" s="948"/>
      <c r="N228" s="948"/>
      <c r="O228" s="948"/>
      <c r="P228" s="948"/>
      <c r="Q228" s="1107"/>
      <c r="R228" s="882"/>
      <c r="S228" s="1014"/>
      <c r="T228" s="1014"/>
      <c r="U228" s="1046">
        <v>228</v>
      </c>
      <c r="V228" s="461"/>
    </row>
    <row r="229" spans="1:22" ht="15.75" customHeight="1">
      <c r="A229" s="1074" t="s">
        <v>251</v>
      </c>
      <c r="B229" s="1108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0"/>
      <c r="H229" s="948"/>
      <c r="I229" s="948"/>
      <c r="J229" s="948"/>
      <c r="K229" s="948"/>
      <c r="L229" s="1090"/>
      <c r="M229" s="1139"/>
      <c r="N229" s="1139"/>
      <c r="O229" s="1139"/>
      <c r="P229" s="1139"/>
      <c r="Q229" s="1107"/>
      <c r="R229" s="1045"/>
      <c r="S229" s="1007"/>
      <c r="T229" s="1007"/>
      <c r="U229" s="1046">
        <v>229</v>
      </c>
      <c r="V229" s="461"/>
    </row>
    <row r="230" spans="1:22" ht="15.75" customHeight="1">
      <c r="A230" s="1074" t="s">
        <v>252</v>
      </c>
      <c r="B230" s="1133"/>
      <c r="C230" s="1125">
        <f>IF(SUM(C228)=0,"",(C228/12)*C229)</f>
        <v>4.2500000000000003E-2</v>
      </c>
      <c r="D230" s="1125">
        <f>IF(SUM(D228)=0,"",(D228/12)*D229)</f>
        <v>4.2500000000000003E-2</v>
      </c>
      <c r="E230" s="1125">
        <f>IF(SUM(E228)=0,"",(E228/12)*E229)</f>
        <v>4.2500000000000003E-2</v>
      </c>
      <c r="F230" s="1125">
        <f>IF(SUM(F228)=0,"",(F228/12)*F229)</f>
        <v>0.05</v>
      </c>
      <c r="G230" s="1090"/>
      <c r="H230" s="948"/>
      <c r="I230" s="948"/>
      <c r="J230" s="948"/>
      <c r="K230" s="948"/>
      <c r="L230" s="1090"/>
      <c r="M230" s="948"/>
      <c r="N230" s="948"/>
      <c r="O230" s="948"/>
      <c r="P230" s="948"/>
      <c r="Q230" s="1107"/>
      <c r="R230" s="1045"/>
      <c r="S230" s="1007"/>
      <c r="T230" s="1007"/>
      <c r="U230" s="1046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78"/>
      <c r="H231" s="948"/>
      <c r="I231" s="948"/>
      <c r="J231" s="948"/>
      <c r="K231" s="948"/>
      <c r="L231" s="1078"/>
      <c r="M231" s="948"/>
      <c r="N231" s="948"/>
      <c r="O231" s="948"/>
      <c r="P231" s="948"/>
      <c r="Q231" s="1107"/>
      <c r="R231" s="882"/>
      <c r="S231" s="1014"/>
      <c r="T231" s="1014"/>
      <c r="U231" s="1046">
        <v>231</v>
      </c>
      <c r="V231" s="461"/>
    </row>
    <row r="232" spans="1:22" s="1143" customFormat="1" ht="15.75" customHeight="1">
      <c r="A232" s="1074" t="s">
        <v>251</v>
      </c>
      <c r="B232" s="1140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0"/>
      <c r="H232" s="948"/>
      <c r="I232" s="948"/>
      <c r="J232" s="948"/>
      <c r="K232" s="948"/>
      <c r="L232" s="1090"/>
      <c r="M232" s="948"/>
      <c r="N232" s="948"/>
      <c r="O232" s="948"/>
      <c r="P232" s="948"/>
      <c r="Q232" s="1141"/>
      <c r="R232" s="1045"/>
      <c r="S232" s="1007"/>
      <c r="T232" s="1007"/>
      <c r="U232" s="1046">
        <v>232</v>
      </c>
      <c r="V232" s="1142"/>
    </row>
    <row r="233" spans="1:22" ht="15.75" customHeight="1">
      <c r="A233" s="1074" t="s">
        <v>252</v>
      </c>
      <c r="B233" s="927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8"/>
      <c r="I233" s="948"/>
      <c r="J233" s="948"/>
      <c r="K233" s="948"/>
      <c r="L233" s="1090"/>
      <c r="M233" s="948"/>
      <c r="N233" s="948"/>
      <c r="O233" s="948"/>
      <c r="P233" s="948"/>
      <c r="Q233" s="1107"/>
      <c r="R233" s="1045"/>
      <c r="S233" s="1007"/>
      <c r="T233" s="1007"/>
      <c r="U233" s="1046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4"/>
      <c r="H234" s="948"/>
      <c r="I234" s="948"/>
      <c r="J234" s="948"/>
      <c r="K234" s="948"/>
      <c r="L234" s="1090"/>
      <c r="M234" s="1119"/>
      <c r="N234" s="1119"/>
      <c r="O234" s="1119"/>
      <c r="P234" s="1119"/>
      <c r="Q234" s="1107"/>
      <c r="R234" s="882"/>
      <c r="S234" s="1014"/>
      <c r="T234" s="1014"/>
      <c r="U234" s="1046">
        <v>234</v>
      </c>
      <c r="V234" s="461"/>
    </row>
    <row r="235" spans="1:22" ht="15.75" customHeight="1">
      <c r="A235" s="1074" t="s">
        <v>181</v>
      </c>
      <c r="B235" s="1144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4"/>
      <c r="H235" s="948"/>
      <c r="I235" s="948"/>
      <c r="J235" s="948"/>
      <c r="K235" s="948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6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8"/>
      <c r="I236" s="948"/>
      <c r="J236" s="948"/>
      <c r="K236" s="948"/>
      <c r="L236" s="1090"/>
      <c r="M236" s="1119"/>
      <c r="N236" s="1119"/>
      <c r="O236" s="1119"/>
      <c r="P236" s="1119"/>
      <c r="Q236" s="1107"/>
      <c r="R236" s="882"/>
      <c r="S236" s="1014"/>
      <c r="T236" s="1014"/>
      <c r="U236" s="1046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78"/>
      <c r="H237" s="948"/>
      <c r="I237" s="948"/>
      <c r="J237" s="948"/>
      <c r="K237" s="948"/>
      <c r="L237" s="1078"/>
      <c r="M237" s="948"/>
      <c r="N237" s="948"/>
      <c r="O237" s="948"/>
      <c r="P237" s="948"/>
      <c r="Q237" s="1107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256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1"/>
      <c r="H238" s="948"/>
      <c r="I238" s="948"/>
      <c r="J238" s="948"/>
      <c r="K238" s="948"/>
      <c r="L238" s="1061"/>
      <c r="M238" s="1072"/>
      <c r="N238" s="1072"/>
      <c r="O238" s="1072"/>
      <c r="P238" s="1072"/>
      <c r="Q238" s="1107"/>
      <c r="R238" s="882"/>
      <c r="S238" s="1014"/>
      <c r="T238" s="1014"/>
      <c r="U238" s="1046">
        <v>238</v>
      </c>
      <c r="V238" s="461"/>
    </row>
    <row r="239" spans="1:22" ht="15.75" customHeight="1">
      <c r="A239" s="1074" t="s">
        <v>257</v>
      </c>
      <c r="B239" s="1081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78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78"/>
      <c r="M239" s="948"/>
      <c r="N239" s="948"/>
      <c r="O239" s="948"/>
      <c r="P239" s="948"/>
      <c r="Q239" s="1107"/>
      <c r="R239" s="882"/>
      <c r="S239" s="1014"/>
      <c r="T239" s="1014"/>
      <c r="U239" s="1046">
        <v>239</v>
      </c>
      <c r="V239" s="461"/>
    </row>
    <row r="240" spans="1:22" ht="15.75" customHeight="1">
      <c r="A240" s="1075" t="s">
        <v>181</v>
      </c>
      <c r="B240" s="1090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4</v>
      </c>
      <c r="F240" s="990">
        <f>IF(Data!BY240="","",Data!BY240)</f>
        <v>5</v>
      </c>
      <c r="G240" s="1081"/>
      <c r="H240" s="948"/>
      <c r="I240" s="948"/>
      <c r="J240" s="948"/>
      <c r="K240" s="948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6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>
        <f>IF(SUM(E239)=0,"",E239*E240)</f>
        <v>500</v>
      </c>
      <c r="F241" s="1098">
        <f>IF(SUM(F239)=0,"",F239*F240)</f>
        <v>655</v>
      </c>
      <c r="G241" s="1079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79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-500</v>
      </c>
      <c r="P241" s="746">
        <f>IF(K241="","",SUM(K241)-SUM(F241))</f>
        <v>-655</v>
      </c>
      <c r="Q241" s="1107"/>
      <c r="R241" s="882"/>
      <c r="S241" s="1014"/>
      <c r="T241" s="1014"/>
      <c r="U241" s="1046">
        <v>241</v>
      </c>
      <c r="V241" s="461"/>
    </row>
    <row r="242" spans="1:22" s="1143" customFormat="1" ht="15.75" customHeight="1">
      <c r="A242" s="1075" t="s">
        <v>258</v>
      </c>
      <c r="B242" s="1133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1"/>
      <c r="H242" s="284"/>
      <c r="I242" s="284"/>
      <c r="J242" s="284"/>
      <c r="K242" s="284"/>
      <c r="L242" s="1081"/>
      <c r="M242" s="1094"/>
      <c r="N242" s="1094"/>
      <c r="O242" s="1094"/>
      <c r="P242" s="1094"/>
      <c r="Q242" s="1141"/>
      <c r="R242" s="882"/>
      <c r="S242" s="1014"/>
      <c r="T242" s="1014"/>
      <c r="U242" s="1046">
        <v>242</v>
      </c>
      <c r="V242" s="1142"/>
    </row>
    <row r="243" spans="1:22" ht="15.75" customHeight="1">
      <c r="A243" s="1099" t="s">
        <v>252</v>
      </c>
      <c r="B243" s="1078"/>
      <c r="C243" s="1125">
        <f>IF(C237="","",(C237-SUM(C239)-SUM(C242))*C238/C$46/365/$P$1)</f>
        <v>8.8718578767123274E-2</v>
      </c>
      <c r="D243" s="1125">
        <f>IF(D237="","",(D237-SUM(D239)-SUM(D242))*D238/D$46/365/$P$1)</f>
        <v>8.8718578767123274E-2</v>
      </c>
      <c r="E243" s="1125">
        <f>IF(E237="","",(E237-SUM(E239)-SUM(E242))*E238/E$46/365/$P$1)</f>
        <v>0.13307786815068492</v>
      </c>
      <c r="F243" s="1125">
        <f>IF(F237="","",(F237-SUM(F239)-SUM(F242))*F238/F$46/365/$P$1)</f>
        <v>0.16245357534246571</v>
      </c>
      <c r="G243" s="1090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>
        <f>IF(J243="","",SUM(J243)-SUM(E243))</f>
        <v>7.3932148972602724E-2</v>
      </c>
      <c r="P243" s="1126">
        <f>IF(K243="","",SUM(K243)-SUM(F243))</f>
        <v>6.8871904109589072E-2</v>
      </c>
      <c r="Q243" s="1107"/>
      <c r="R243" s="1045"/>
      <c r="S243" s="1007"/>
      <c r="T243" s="1007"/>
      <c r="U243" s="1046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1"/>
      <c r="H244" s="948"/>
      <c r="I244" s="948"/>
      <c r="J244" s="948"/>
      <c r="K244" s="948"/>
      <c r="L244" s="1061"/>
      <c r="M244" s="948"/>
      <c r="N244" s="948"/>
      <c r="O244" s="948"/>
      <c r="P244" s="948"/>
      <c r="Q244" s="1107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256</v>
      </c>
      <c r="B245" s="1133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1"/>
      <c r="H245" s="948"/>
      <c r="I245" s="948"/>
      <c r="J245" s="948"/>
      <c r="K245" s="948"/>
      <c r="L245" s="1061"/>
      <c r="M245" s="1072"/>
      <c r="N245" s="1072"/>
      <c r="O245" s="1072"/>
      <c r="P245" s="1072"/>
      <c r="Q245" s="1107"/>
      <c r="R245" s="882"/>
      <c r="S245" s="1014"/>
      <c r="T245" s="1014"/>
      <c r="U245" s="1046">
        <v>245</v>
      </c>
      <c r="V245" s="461"/>
    </row>
    <row r="246" spans="1:22" ht="15.75" customHeight="1">
      <c r="A246" s="1074" t="s">
        <v>257</v>
      </c>
      <c r="B246" s="1133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78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78"/>
      <c r="M246" s="948"/>
      <c r="N246" s="948"/>
      <c r="O246" s="948"/>
      <c r="P246" s="948"/>
      <c r="Q246" s="1107"/>
      <c r="R246" s="882"/>
      <c r="S246" s="1014"/>
      <c r="T246" s="1014"/>
      <c r="U246" s="1046">
        <v>246</v>
      </c>
      <c r="V246" s="461"/>
    </row>
    <row r="247" spans="1:22" ht="15.75" customHeight="1">
      <c r="A247" s="1075" t="s">
        <v>181</v>
      </c>
      <c r="B247" s="1133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1"/>
      <c r="H247" s="948"/>
      <c r="I247" s="948"/>
      <c r="J247" s="948"/>
      <c r="K247" s="948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6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1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07"/>
      <c r="R248" s="882"/>
      <c r="S248" s="1014"/>
      <c r="T248" s="1014"/>
      <c r="U248" s="1046">
        <v>248</v>
      </c>
      <c r="V248" s="461"/>
    </row>
    <row r="249" spans="1:22" ht="15.75" customHeight="1">
      <c r="A249" s="1075" t="s">
        <v>258</v>
      </c>
      <c r="B249" s="1090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1"/>
      <c r="H249" s="284"/>
      <c r="I249" s="284"/>
      <c r="J249" s="284"/>
      <c r="K249" s="284"/>
      <c r="L249" s="1081"/>
      <c r="M249" s="1094"/>
      <c r="N249" s="1094"/>
      <c r="O249" s="1094"/>
      <c r="P249" s="1094"/>
      <c r="Q249" s="1107"/>
      <c r="R249" s="882"/>
      <c r="S249" s="1014"/>
      <c r="T249" s="1014"/>
      <c r="U249" s="1046">
        <v>249</v>
      </c>
      <c r="V249" s="461"/>
    </row>
    <row r="250" spans="1:22" ht="15.75" customHeight="1">
      <c r="A250" s="1099" t="s">
        <v>252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>
        <f>IF(F244="","",(F244-SUM(F246)-SUM(F249))*F245/F$46/365/$P$1)</f>
        <v>3.8561488169364881E-2</v>
      </c>
      <c r="G250" s="1090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45"/>
      <c r="S250" s="1007"/>
      <c r="T250" s="1007"/>
      <c r="U250" s="1046">
        <v>250</v>
      </c>
      <c r="V250" s="461"/>
    </row>
    <row r="251" spans="1:22" ht="15.75" customHeight="1">
      <c r="A251" s="1137" t="str">
        <f>IF(Data!A251="","",Data!A251)</f>
        <v>High value cereal: kg produced</v>
      </c>
      <c r="B251" s="1078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1"/>
      <c r="H251" s="948"/>
      <c r="I251" s="948"/>
      <c r="J251" s="948"/>
      <c r="K251" s="948"/>
      <c r="L251" s="1061"/>
      <c r="M251" s="948"/>
      <c r="N251" s="948"/>
      <c r="O251" s="948"/>
      <c r="P251" s="948"/>
      <c r="Q251" s="1107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256</v>
      </c>
      <c r="B252" s="1133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1"/>
      <c r="H252" s="948"/>
      <c r="I252" s="948"/>
      <c r="J252" s="948"/>
      <c r="K252" s="948"/>
      <c r="L252" s="1061"/>
      <c r="M252" s="948"/>
      <c r="N252" s="948"/>
      <c r="O252" s="948"/>
      <c r="P252" s="948"/>
      <c r="Q252" s="1107"/>
      <c r="R252" s="882"/>
      <c r="S252" s="1014"/>
      <c r="T252" s="1014"/>
      <c r="U252" s="1046">
        <v>252</v>
      </c>
      <c r="V252" s="461"/>
    </row>
    <row r="253" spans="1:22" ht="15.75" customHeight="1">
      <c r="A253" s="1074" t="s">
        <v>257</v>
      </c>
      <c r="B253" s="1133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78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78"/>
      <c r="M253" s="948"/>
      <c r="N253" s="948"/>
      <c r="O253" s="948"/>
      <c r="P253" s="948"/>
      <c r="Q253" s="1107"/>
      <c r="R253" s="882"/>
      <c r="S253" s="1014"/>
      <c r="T253" s="1014"/>
      <c r="U253" s="1046">
        <v>253</v>
      </c>
      <c r="V253" s="461"/>
    </row>
    <row r="254" spans="1:22" ht="15.75" customHeight="1">
      <c r="A254" s="1075" t="s">
        <v>181</v>
      </c>
      <c r="B254" s="1133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1"/>
      <c r="H254" s="948"/>
      <c r="I254" s="948"/>
      <c r="J254" s="948"/>
      <c r="K254" s="948"/>
      <c r="L254" s="1081"/>
      <c r="M254" s="948"/>
      <c r="N254" s="948"/>
      <c r="O254" s="948"/>
      <c r="P254" s="948"/>
      <c r="Q254" s="1107"/>
      <c r="R254" s="1091"/>
      <c r="S254" s="1092"/>
      <c r="T254" s="1092"/>
      <c r="U254" s="1046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82"/>
      <c r="S255" s="1014"/>
      <c r="T255" s="1014"/>
      <c r="U255" s="1046">
        <v>255</v>
      </c>
      <c r="V255" s="461"/>
    </row>
    <row r="256" spans="1:22" ht="15.75" customHeight="1">
      <c r="A256" s="1075" t="s">
        <v>258</v>
      </c>
      <c r="B256" s="1061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1"/>
      <c r="H256" s="284"/>
      <c r="I256" s="284"/>
      <c r="J256" s="284"/>
      <c r="K256" s="284"/>
      <c r="L256" s="1081"/>
      <c r="M256" s="948"/>
      <c r="N256" s="948"/>
      <c r="O256" s="948"/>
      <c r="P256" s="948"/>
      <c r="Q256" s="1107"/>
      <c r="R256" s="882"/>
      <c r="S256" s="1014"/>
      <c r="T256" s="1014"/>
      <c r="U256" s="1046">
        <v>256</v>
      </c>
      <c r="V256" s="461"/>
    </row>
    <row r="257" spans="1:22" ht="15.75" customHeight="1">
      <c r="A257" s="1099" t="s">
        <v>252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45"/>
      <c r="S257" s="1007"/>
      <c r="T257" s="1007"/>
      <c r="U257" s="1046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1"/>
      <c r="H258" s="948"/>
      <c r="I258" s="948"/>
      <c r="J258" s="948"/>
      <c r="K258" s="948"/>
      <c r="L258" s="1061"/>
      <c r="M258" s="948"/>
      <c r="N258" s="948"/>
      <c r="O258" s="948"/>
      <c r="P258" s="948"/>
      <c r="Q258" s="1107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256</v>
      </c>
      <c r="B259" s="1133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1"/>
      <c r="H259" s="948"/>
      <c r="I259" s="948"/>
      <c r="J259" s="948"/>
      <c r="K259" s="948"/>
      <c r="L259" s="1061"/>
      <c r="M259" s="948"/>
      <c r="N259" s="948"/>
      <c r="O259" s="948"/>
      <c r="P259" s="948"/>
      <c r="Q259" s="1107"/>
      <c r="R259" s="882"/>
      <c r="S259" s="1014"/>
      <c r="T259" s="1014"/>
      <c r="U259" s="1046">
        <v>259</v>
      </c>
      <c r="V259" s="461"/>
    </row>
    <row r="260" spans="1:22" ht="15.75" customHeight="1">
      <c r="A260" s="1074" t="s">
        <v>257</v>
      </c>
      <c r="B260" s="1133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78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78"/>
      <c r="M260" s="948"/>
      <c r="N260" s="948"/>
      <c r="O260" s="948"/>
      <c r="P260" s="948"/>
      <c r="Q260" s="1107"/>
      <c r="R260" s="882"/>
      <c r="S260" s="1014"/>
      <c r="T260" s="1014"/>
      <c r="U260" s="1046">
        <v>260</v>
      </c>
      <c r="V260" s="461"/>
    </row>
    <row r="261" spans="1:22" ht="15.75" customHeight="1">
      <c r="A261" s="1075" t="s">
        <v>181</v>
      </c>
      <c r="B261" s="1133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1"/>
      <c r="H261" s="948"/>
      <c r="I261" s="948"/>
      <c r="J261" s="948"/>
      <c r="K261" s="948"/>
      <c r="L261" s="1081"/>
      <c r="M261" s="948"/>
      <c r="N261" s="948"/>
      <c r="O261" s="948"/>
      <c r="P261" s="948"/>
      <c r="Q261" s="1107"/>
      <c r="R261" s="1091"/>
      <c r="S261" s="1092"/>
      <c r="T261" s="1092"/>
      <c r="U261" s="1046">
        <v>261</v>
      </c>
      <c r="V261" s="461"/>
    </row>
    <row r="262" spans="1:22" ht="15.75" customHeight="1">
      <c r="A262" s="1075" t="s">
        <v>183</v>
      </c>
      <c r="B262" s="1061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82"/>
      <c r="S262" s="1014"/>
      <c r="T262" s="1014"/>
      <c r="U262" s="1046">
        <v>262</v>
      </c>
      <c r="V262" s="461"/>
    </row>
    <row r="263" spans="1:22" ht="15.75" customHeight="1">
      <c r="A263" s="1075" t="s">
        <v>258</v>
      </c>
      <c r="B263" s="1061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1"/>
      <c r="H263" s="284"/>
      <c r="I263" s="284"/>
      <c r="J263" s="284"/>
      <c r="K263" s="284"/>
      <c r="L263" s="1081"/>
      <c r="M263" s="948"/>
      <c r="N263" s="948"/>
      <c r="O263" s="948"/>
      <c r="P263" s="948"/>
      <c r="Q263" s="1107"/>
      <c r="R263" s="882"/>
      <c r="S263" s="1014"/>
      <c r="T263" s="1014"/>
      <c r="U263" s="1046">
        <v>263</v>
      </c>
      <c r="V263" s="461"/>
    </row>
    <row r="264" spans="1:22" ht="15.75" customHeight="1">
      <c r="A264" s="1099" t="s">
        <v>252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45"/>
      <c r="S264" s="1007"/>
      <c r="T264" s="1007"/>
      <c r="U264" s="1046">
        <v>264</v>
      </c>
      <c r="V264" s="461"/>
    </row>
    <row r="265" spans="1:22" ht="15.75" customHeight="1">
      <c r="A265" s="1137" t="str">
        <f>IF(Data!A265="","",Data!A265)</f>
        <v>Cowpeas: kg produced (Mbumba)</v>
      </c>
      <c r="B265" s="1090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3"/>
      <c r="H265" s="948"/>
      <c r="I265" s="948"/>
      <c r="J265" s="948"/>
      <c r="K265" s="948"/>
      <c r="L265" s="1133"/>
      <c r="M265" s="1119"/>
      <c r="N265" s="1119"/>
      <c r="O265" s="1119"/>
      <c r="P265" s="1119"/>
      <c r="Q265" s="1107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256</v>
      </c>
      <c r="B266" s="1144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1"/>
      <c r="H266" s="948"/>
      <c r="I266" s="948"/>
      <c r="J266" s="948"/>
      <c r="K266" s="948"/>
      <c r="L266" s="1061"/>
      <c r="M266" s="948"/>
      <c r="N266" s="948"/>
      <c r="O266" s="948"/>
      <c r="P266" s="948"/>
      <c r="Q266" s="1107"/>
      <c r="R266" s="882"/>
      <c r="S266" s="1014"/>
      <c r="T266" s="1014"/>
      <c r="U266" s="1046">
        <v>266</v>
      </c>
      <c r="V266" s="461"/>
    </row>
    <row r="267" spans="1:22" ht="15.75" customHeight="1">
      <c r="A267" s="1074" t="s">
        <v>257</v>
      </c>
      <c r="B267" s="114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78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78"/>
      <c r="M267" s="948"/>
      <c r="N267" s="948"/>
      <c r="O267" s="948"/>
      <c r="P267" s="948"/>
      <c r="Q267" s="1107"/>
      <c r="R267" s="882"/>
      <c r="S267" s="1014"/>
      <c r="T267" s="1014"/>
      <c r="U267" s="1046">
        <v>267</v>
      </c>
      <c r="V267" s="461"/>
    </row>
    <row r="268" spans="1:22" ht="15.75" customHeight="1">
      <c r="A268" s="1075" t="s">
        <v>181</v>
      </c>
      <c r="B268" s="1100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1"/>
      <c r="H268" s="948"/>
      <c r="I268" s="948"/>
      <c r="J268" s="948"/>
      <c r="K268" s="948"/>
      <c r="L268" s="1081"/>
      <c r="M268" s="948"/>
      <c r="N268" s="948"/>
      <c r="O268" s="948"/>
      <c r="P268" s="948"/>
      <c r="Q268" s="1107"/>
      <c r="R268" s="1091"/>
      <c r="S268" s="1092"/>
      <c r="T268" s="1092"/>
      <c r="U268" s="1046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82"/>
      <c r="S269" s="1014"/>
      <c r="T269" s="1014"/>
      <c r="U269" s="1046">
        <v>269</v>
      </c>
      <c r="V269" s="461"/>
    </row>
    <row r="270" spans="1:22" ht="15.75" customHeight="1">
      <c r="A270" s="1075" t="s">
        <v>258</v>
      </c>
      <c r="B270" s="1133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1"/>
      <c r="H270" s="284"/>
      <c r="I270" s="284"/>
      <c r="J270" s="284"/>
      <c r="K270" s="284"/>
      <c r="L270" s="1081"/>
      <c r="M270" s="948"/>
      <c r="N270" s="948"/>
      <c r="O270" s="948"/>
      <c r="P270" s="948"/>
      <c r="Q270" s="1107"/>
      <c r="R270" s="882"/>
      <c r="S270" s="1014"/>
      <c r="T270" s="1014"/>
      <c r="U270" s="1046">
        <v>270</v>
      </c>
      <c r="V270" s="461"/>
    </row>
    <row r="271" spans="1:22" ht="15.75" customHeight="1">
      <c r="A271" s="1099" t="s">
        <v>252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45"/>
      <c r="S271" s="1007"/>
      <c r="T271" s="1007"/>
      <c r="U271" s="1046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3"/>
      <c r="H272" s="948"/>
      <c r="I272" s="948"/>
      <c r="J272" s="948"/>
      <c r="K272" s="948"/>
      <c r="L272" s="1133"/>
      <c r="M272" s="1119"/>
      <c r="N272" s="1119"/>
      <c r="O272" s="1119"/>
      <c r="P272" s="1119"/>
      <c r="Q272" s="1107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256</v>
      </c>
      <c r="B273" s="1061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1"/>
      <c r="H273" s="948"/>
      <c r="I273" s="948"/>
      <c r="J273" s="948"/>
      <c r="K273" s="948"/>
      <c r="L273" s="1061"/>
      <c r="M273" s="948"/>
      <c r="N273" s="948"/>
      <c r="O273" s="948"/>
      <c r="P273" s="948"/>
      <c r="Q273" s="1107"/>
      <c r="R273" s="882"/>
      <c r="S273" s="1014"/>
      <c r="T273" s="1014"/>
      <c r="U273" s="1046">
        <v>273</v>
      </c>
      <c r="V273" s="461"/>
    </row>
    <row r="274" spans="1:22" s="1147" customFormat="1" ht="15.75" customHeight="1">
      <c r="A274" s="1074" t="s">
        <v>257</v>
      </c>
      <c r="B274" s="1105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78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78"/>
      <c r="M274" s="948"/>
      <c r="N274" s="948"/>
      <c r="O274" s="948"/>
      <c r="P274" s="948"/>
      <c r="Q274" s="1107"/>
      <c r="R274" s="882"/>
      <c r="S274" s="1014"/>
      <c r="T274" s="1014"/>
      <c r="U274" s="1046">
        <v>274</v>
      </c>
      <c r="V274" s="1146"/>
    </row>
    <row r="275" spans="1:22" s="1147" customFormat="1" ht="15.75" customHeight="1">
      <c r="A275" s="1075" t="s">
        <v>181</v>
      </c>
      <c r="B275" s="1105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1"/>
      <c r="H275" s="948"/>
      <c r="I275" s="948"/>
      <c r="J275" s="948"/>
      <c r="K275" s="948"/>
      <c r="L275" s="1081"/>
      <c r="M275" s="948"/>
      <c r="N275" s="948"/>
      <c r="O275" s="948"/>
      <c r="P275" s="948"/>
      <c r="Q275" s="1107"/>
      <c r="R275" s="1091"/>
      <c r="S275" s="1092"/>
      <c r="T275" s="1092"/>
      <c r="U275" s="1046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>
        <f>IF(SUM(E274)=0,"",E274*E275)</f>
        <v>1250</v>
      </c>
      <c r="F276" s="1098">
        <f>IF(SUM(F274)=0,"",F274*F275)</f>
        <v>1250</v>
      </c>
      <c r="G276" s="1081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>
        <f>IF(J276="","",SUM(J276)-SUM(E276))</f>
        <v>1812.5</v>
      </c>
      <c r="P276" s="1098">
        <f>IF(K276="","",SUM(K276)-SUM(F276))</f>
        <v>1075</v>
      </c>
      <c r="Q276" s="1107"/>
      <c r="R276" s="882"/>
      <c r="S276" s="1014"/>
      <c r="T276" s="1014"/>
      <c r="U276" s="1046">
        <v>276</v>
      </c>
      <c r="V276" s="1146"/>
    </row>
    <row r="277" spans="1:22" ht="15.75" customHeight="1">
      <c r="A277" s="1075" t="s">
        <v>258</v>
      </c>
      <c r="B277" s="1105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1"/>
      <c r="H277" s="284"/>
      <c r="I277" s="284"/>
      <c r="J277" s="284"/>
      <c r="K277" s="284"/>
      <c r="L277" s="1081"/>
      <c r="M277" s="948"/>
      <c r="N277" s="948"/>
      <c r="O277" s="948"/>
      <c r="P277" s="948"/>
      <c r="Q277" s="1107"/>
      <c r="R277" s="882"/>
      <c r="S277" s="1014"/>
      <c r="T277" s="1014"/>
      <c r="U277" s="1046">
        <v>277</v>
      </c>
      <c r="V277" s="461"/>
    </row>
    <row r="278" spans="1:22" ht="15.75" customHeight="1">
      <c r="A278" s="1099" t="s">
        <v>252</v>
      </c>
      <c r="B278" s="1081"/>
      <c r="C278" s="1125">
        <f>IF(C272="","",(C272-SUM(C274)-SUM(C277))*C273/C$46/365/$P$1)</f>
        <v>4.4188206724782075E-2</v>
      </c>
      <c r="D278" s="1125">
        <f>IF(D272="","",(D272-SUM(D274)-SUM(D277))*D273/D$46/365/$P$1)</f>
        <v>8.2852887608966391E-2</v>
      </c>
      <c r="E278" s="1125">
        <f>IF(E272="","",(E272-SUM(E274)-SUM(E277))*E273/E$46/365/$P$1)</f>
        <v>0.10770875389165629</v>
      </c>
      <c r="F278" s="1125">
        <f>IF(F272="","",(F272-SUM(F274)-SUM(F277))*F273/F$46/365/$P$1)</f>
        <v>6.6773290161892901E-2</v>
      </c>
      <c r="G278" s="1090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>
        <f>IF(J278="","",SUM(J278)-SUM(E278))</f>
        <v>-4.0045562344333749E-2</v>
      </c>
      <c r="P278" s="1126">
        <f>IF(K278="","",SUM(K278)-SUM(F278))</f>
        <v>-2.1112143212951434E-2</v>
      </c>
      <c r="Q278" s="1107"/>
      <c r="R278" s="1045"/>
      <c r="S278" s="1007"/>
      <c r="T278" s="1007"/>
      <c r="U278" s="1046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3"/>
      <c r="H279" s="948"/>
      <c r="I279" s="948"/>
      <c r="J279" s="948"/>
      <c r="K279" s="948"/>
      <c r="L279" s="1133"/>
      <c r="M279" s="1119"/>
      <c r="N279" s="1119"/>
      <c r="O279" s="1119"/>
      <c r="P279" s="1119"/>
      <c r="Q279" s="1107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256</v>
      </c>
      <c r="B280" s="1133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1"/>
      <c r="H280" s="948"/>
      <c r="I280" s="948"/>
      <c r="J280" s="948"/>
      <c r="K280" s="948"/>
      <c r="L280" s="1061"/>
      <c r="M280" s="948"/>
      <c r="N280" s="948"/>
      <c r="O280" s="948"/>
      <c r="P280" s="948"/>
      <c r="Q280" s="1107"/>
      <c r="R280" s="882"/>
      <c r="S280" s="1014"/>
      <c r="T280" s="1014"/>
      <c r="U280" s="1046">
        <v>280</v>
      </c>
      <c r="V280" s="461"/>
    </row>
    <row r="281" spans="1:22" ht="15.75" customHeight="1">
      <c r="A281" s="1074" t="s">
        <v>257</v>
      </c>
      <c r="B281" s="1133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78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78"/>
      <c r="M281" s="948"/>
      <c r="N281" s="948"/>
      <c r="O281" s="948"/>
      <c r="P281" s="948"/>
      <c r="Q281" s="1107"/>
      <c r="R281" s="882"/>
      <c r="S281" s="1014"/>
      <c r="T281" s="1014"/>
      <c r="U281" s="1046">
        <v>281</v>
      </c>
      <c r="V281" s="461"/>
    </row>
    <row r="282" spans="1:22" ht="15.75" customHeight="1">
      <c r="A282" s="1075" t="s">
        <v>181</v>
      </c>
      <c r="B282" s="1133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1"/>
      <c r="H282" s="948"/>
      <c r="I282" s="948"/>
      <c r="J282" s="948"/>
      <c r="K282" s="948"/>
      <c r="L282" s="1081"/>
      <c r="M282" s="948"/>
      <c r="N282" s="948"/>
      <c r="O282" s="948"/>
      <c r="P282" s="948"/>
      <c r="Q282" s="1107"/>
      <c r="R282" s="1091"/>
      <c r="S282" s="1092"/>
      <c r="T282" s="1092"/>
      <c r="U282" s="1046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82"/>
      <c r="S283" s="1014"/>
      <c r="T283" s="1014"/>
      <c r="U283" s="1046">
        <v>283</v>
      </c>
      <c r="V283" s="461"/>
    </row>
    <row r="284" spans="1:22" ht="15.75" customHeight="1">
      <c r="A284" s="1075" t="s">
        <v>258</v>
      </c>
      <c r="B284" s="1090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1"/>
      <c r="H284" s="284"/>
      <c r="I284" s="284"/>
      <c r="J284" s="284"/>
      <c r="K284" s="284"/>
      <c r="L284" s="1081"/>
      <c r="M284" s="948"/>
      <c r="N284" s="948"/>
      <c r="O284" s="948"/>
      <c r="P284" s="948"/>
      <c r="Q284" s="1107"/>
      <c r="R284" s="882"/>
      <c r="S284" s="1014"/>
      <c r="T284" s="1014"/>
      <c r="U284" s="1046">
        <v>284</v>
      </c>
      <c r="V284" s="461"/>
    </row>
    <row r="285" spans="1:22" s="1147" customFormat="1" ht="15.75" customHeight="1">
      <c r="A285" s="1099" t="s">
        <v>252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45"/>
      <c r="S285" s="1007"/>
      <c r="T285" s="1007"/>
      <c r="U285" s="1046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3"/>
      <c r="H286" s="948"/>
      <c r="I286" s="948"/>
      <c r="J286" s="948"/>
      <c r="K286" s="948"/>
      <c r="L286" s="1133"/>
      <c r="M286" s="1119"/>
      <c r="N286" s="1119"/>
      <c r="O286" s="1119"/>
      <c r="P286" s="1119"/>
      <c r="Q286" s="1107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256</v>
      </c>
      <c r="B287" s="1144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1"/>
      <c r="H287" s="948"/>
      <c r="I287" s="948"/>
      <c r="J287" s="948"/>
      <c r="K287" s="948"/>
      <c r="L287" s="1061"/>
      <c r="M287" s="948"/>
      <c r="N287" s="948"/>
      <c r="O287" s="948"/>
      <c r="P287" s="948"/>
      <c r="Q287" s="1107"/>
      <c r="R287" s="882"/>
      <c r="S287" s="1014"/>
      <c r="T287" s="1014"/>
      <c r="U287" s="1046">
        <v>287</v>
      </c>
      <c r="V287" s="461"/>
    </row>
    <row r="288" spans="1:22" ht="15.75" customHeight="1">
      <c r="A288" s="1074" t="s">
        <v>257</v>
      </c>
      <c r="B288" s="1144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78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78"/>
      <c r="M288" s="948"/>
      <c r="N288" s="948"/>
      <c r="O288" s="948"/>
      <c r="P288" s="948"/>
      <c r="Q288" s="1107"/>
      <c r="R288" s="882"/>
      <c r="S288" s="1014"/>
      <c r="T288" s="1014"/>
      <c r="U288" s="1046">
        <v>288</v>
      </c>
      <c r="V288" s="461"/>
    </row>
    <row r="289" spans="1:22" ht="15.75" customHeight="1">
      <c r="A289" s="1075" t="s">
        <v>181</v>
      </c>
      <c r="B289" s="1100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1"/>
      <c r="H289" s="948"/>
      <c r="I289" s="948"/>
      <c r="J289" s="948"/>
      <c r="K289" s="948"/>
      <c r="L289" s="1081"/>
      <c r="M289" s="948"/>
      <c r="N289" s="948"/>
      <c r="O289" s="948"/>
      <c r="P289" s="948"/>
      <c r="Q289" s="1107"/>
      <c r="R289" s="1091"/>
      <c r="S289" s="1092"/>
      <c r="T289" s="1092"/>
      <c r="U289" s="1046">
        <v>289</v>
      </c>
      <c r="V289" s="461"/>
    </row>
    <row r="290" spans="1:22" ht="15.75" customHeight="1">
      <c r="A290" s="1075" t="s">
        <v>183</v>
      </c>
      <c r="B290" s="1133"/>
      <c r="C290" s="1098" t="str">
        <f>IF(SUM(C288)=0,"",C288*C289)</f>
        <v/>
      </c>
      <c r="D290" s="1098" t="str">
        <f>IF(SUM(D288)=0,"",D288*D289)</f>
        <v/>
      </c>
      <c r="E290" s="1098" t="str">
        <f>IF(SUM(E288)=0,"",E288*E289)</f>
        <v/>
      </c>
      <c r="F290" s="1098" t="str">
        <f>IF(SUM(F288)=0,"",F288*F289)</f>
        <v/>
      </c>
      <c r="G290" s="1081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82"/>
      <c r="S290" s="1014"/>
      <c r="T290" s="1014"/>
      <c r="U290" s="1046">
        <v>290</v>
      </c>
      <c r="V290" s="461"/>
    </row>
    <row r="291" spans="1:22" ht="15.75" customHeight="1">
      <c r="A291" s="1075" t="s">
        <v>258</v>
      </c>
      <c r="B291" s="1133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1"/>
      <c r="H291" s="284"/>
      <c r="I291" s="284"/>
      <c r="J291" s="284"/>
      <c r="K291" s="284"/>
      <c r="L291" s="1081"/>
      <c r="M291" s="948"/>
      <c r="N291" s="948"/>
      <c r="O291" s="948"/>
      <c r="P291" s="948"/>
      <c r="Q291" s="1107"/>
      <c r="R291" s="882"/>
      <c r="S291" s="1014"/>
      <c r="T291" s="1014"/>
      <c r="U291" s="1046">
        <v>291</v>
      </c>
      <c r="V291" s="461"/>
    </row>
    <row r="292" spans="1:22" s="1147" customFormat="1" ht="15.75" customHeight="1">
      <c r="A292" s="1099" t="s">
        <v>252</v>
      </c>
      <c r="B292" s="1133"/>
      <c r="C292" s="1125" t="str">
        <f>IF(C286="","",(C286-SUM(C288)-SUM(C291))*C287/C$46/365/$P$1)</f>
        <v/>
      </c>
      <c r="D292" s="1125" t="str">
        <f>IF(D286="","",(D286-SUM(D288)-SUM(D291))*D287/D$46/365/$P$1)</f>
        <v/>
      </c>
      <c r="E292" s="1125" t="str">
        <f>IF(E286="","",(E286-SUM(E288)-SUM(E291))*E287/E$46/365/$P$1)</f>
        <v/>
      </c>
      <c r="F292" s="1125" t="str">
        <f>IF(F286="","",(F286-SUM(F288)-SUM(F291))*F287/F$46/365/$P$1)</f>
        <v/>
      </c>
      <c r="G292" s="1090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45"/>
      <c r="S292" s="1007"/>
      <c r="T292" s="1007"/>
      <c r="U292" s="1046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3"/>
      <c r="H293" s="948"/>
      <c r="I293" s="948"/>
      <c r="J293" s="948"/>
      <c r="K293" s="948"/>
      <c r="L293" s="1133"/>
      <c r="M293" s="1119"/>
      <c r="N293" s="1119"/>
      <c r="O293" s="1119"/>
      <c r="P293" s="1119"/>
      <c r="Q293" s="1107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256</v>
      </c>
      <c r="B294" s="1090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1"/>
      <c r="H294" s="948"/>
      <c r="I294" s="948"/>
      <c r="J294" s="948"/>
      <c r="K294" s="948"/>
      <c r="L294" s="1061"/>
      <c r="M294" s="948"/>
      <c r="N294" s="948"/>
      <c r="O294" s="948"/>
      <c r="P294" s="948"/>
      <c r="Q294" s="1107"/>
      <c r="R294" s="882"/>
      <c r="S294" s="1014"/>
      <c r="T294" s="1014"/>
      <c r="U294" s="1046">
        <v>294</v>
      </c>
      <c r="V294" s="461"/>
    </row>
    <row r="295" spans="1:22" ht="15.75" customHeight="1">
      <c r="A295" s="1074" t="s">
        <v>257</v>
      </c>
      <c r="B295" s="1090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78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78"/>
      <c r="M295" s="948"/>
      <c r="N295" s="948"/>
      <c r="O295" s="948"/>
      <c r="P295" s="948"/>
      <c r="Q295" s="1107"/>
      <c r="R295" s="882"/>
      <c r="S295" s="1014"/>
      <c r="T295" s="1014"/>
      <c r="U295" s="1046">
        <v>295</v>
      </c>
      <c r="V295" s="461"/>
    </row>
    <row r="296" spans="1:22" ht="15.75" customHeight="1">
      <c r="A296" s="1075" t="s">
        <v>181</v>
      </c>
      <c r="B296" s="1090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1"/>
      <c r="H296" s="948"/>
      <c r="I296" s="948"/>
      <c r="J296" s="948"/>
      <c r="K296" s="948"/>
      <c r="L296" s="1081"/>
      <c r="M296" s="948"/>
      <c r="N296" s="948"/>
      <c r="O296" s="948"/>
      <c r="P296" s="948"/>
      <c r="Q296" s="1107"/>
      <c r="R296" s="1091"/>
      <c r="S296" s="1092"/>
      <c r="T296" s="1092"/>
      <c r="U296" s="1046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82"/>
      <c r="S297" s="1014"/>
      <c r="T297" s="1014"/>
      <c r="U297" s="1046">
        <v>297</v>
      </c>
      <c r="V297" s="461"/>
    </row>
    <row r="298" spans="1:22" ht="15.75" customHeight="1">
      <c r="A298" s="1075" t="s">
        <v>258</v>
      </c>
      <c r="B298" s="1144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1"/>
      <c r="H298" s="284"/>
      <c r="I298" s="284"/>
      <c r="J298" s="284"/>
      <c r="K298" s="284"/>
      <c r="L298" s="1081"/>
      <c r="M298" s="948"/>
      <c r="N298" s="948"/>
      <c r="O298" s="948"/>
      <c r="P298" s="948"/>
      <c r="Q298" s="1107"/>
      <c r="R298" s="882"/>
      <c r="S298" s="1014"/>
      <c r="T298" s="1014"/>
      <c r="U298" s="1046">
        <v>298</v>
      </c>
      <c r="V298" s="461"/>
    </row>
    <row r="299" spans="1:22" s="1147" customFormat="1" ht="15.75" customHeight="1">
      <c r="A299" s="1099" t="s">
        <v>252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45"/>
      <c r="S299" s="1007"/>
      <c r="T299" s="1007"/>
      <c r="U299" s="1046">
        <v>299</v>
      </c>
      <c r="V299" s="1146"/>
    </row>
    <row r="300" spans="1:22" ht="15.75" customHeight="1">
      <c r="A300" s="1137" t="str">
        <f>IF(Data!A300="","",Data!A300)</f>
        <v>Cassava: no. local meas.</v>
      </c>
      <c r="B300" s="1133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8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08"/>
      <c r="M300" s="948"/>
      <c r="N300" s="948"/>
      <c r="O300" s="948"/>
      <c r="P300" s="948"/>
      <c r="Q300" s="1107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265</v>
      </c>
      <c r="B301" s="1133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08"/>
      <c r="H301" s="948"/>
      <c r="I301" s="948"/>
      <c r="J301" s="948"/>
      <c r="K301" s="948"/>
      <c r="L301" s="1108"/>
      <c r="M301" s="948"/>
      <c r="N301" s="948"/>
      <c r="O301" s="948"/>
      <c r="P301" s="948"/>
      <c r="Q301" s="1107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266</v>
      </c>
      <c r="B302" s="1133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08"/>
      <c r="H302" s="948"/>
      <c r="I302" s="948"/>
      <c r="J302" s="948"/>
      <c r="K302" s="948"/>
      <c r="L302" s="1108"/>
      <c r="M302" s="948"/>
      <c r="N302" s="948"/>
      <c r="O302" s="948"/>
      <c r="P302" s="948"/>
      <c r="Q302" s="1107"/>
      <c r="R302" s="882"/>
      <c r="S302" s="1014"/>
      <c r="T302" s="1014"/>
      <c r="U302" s="1046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200</v>
      </c>
      <c r="D303" s="1121" t="str">
        <f>IF(D300="","",D300*D302)</f>
        <v/>
      </c>
      <c r="E303" s="1121" t="str">
        <f>IF(E300="","",E300*E302)</f>
        <v/>
      </c>
      <c r="F303" s="1121" t="str">
        <f>IF(F300="","",F300*F302)</f>
        <v/>
      </c>
      <c r="G303" s="1149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49"/>
      <c r="M303" s="948"/>
      <c r="N303" s="948"/>
      <c r="O303" s="948"/>
      <c r="P303" s="948"/>
      <c r="Q303" s="1107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256</v>
      </c>
      <c r="B304" s="1090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1"/>
      <c r="H304" s="948"/>
      <c r="I304" s="948"/>
      <c r="J304" s="948"/>
      <c r="K304" s="948"/>
      <c r="L304" s="1061"/>
      <c r="M304" s="948"/>
      <c r="N304" s="948"/>
      <c r="O304" s="948"/>
      <c r="P304" s="948"/>
      <c r="Q304" s="1107"/>
      <c r="R304" s="882"/>
      <c r="S304" s="1014"/>
      <c r="T304" s="1014"/>
      <c r="U304" s="1046">
        <v>304</v>
      </c>
      <c r="V304" s="461"/>
    </row>
    <row r="305" spans="1:22" ht="15.75" customHeight="1">
      <c r="A305" s="1074" t="s">
        <v>257</v>
      </c>
      <c r="B305" s="1090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78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78"/>
      <c r="M305" s="948"/>
      <c r="N305" s="948"/>
      <c r="O305" s="948"/>
      <c r="P305" s="948"/>
      <c r="Q305" s="1107"/>
      <c r="R305" s="882"/>
      <c r="S305" s="1014"/>
      <c r="T305" s="1014"/>
      <c r="U305" s="1046">
        <v>305</v>
      </c>
      <c r="V305" s="461"/>
    </row>
    <row r="306" spans="1:22" ht="15.75" customHeight="1">
      <c r="A306" s="1075" t="s">
        <v>181</v>
      </c>
      <c r="B306" s="1090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1"/>
      <c r="H306" s="948"/>
      <c r="I306" s="948"/>
      <c r="J306" s="948"/>
      <c r="K306" s="948"/>
      <c r="L306" s="1081"/>
      <c r="M306" s="948"/>
      <c r="N306" s="948"/>
      <c r="O306" s="948"/>
      <c r="P306" s="948"/>
      <c r="Q306" s="1107"/>
      <c r="R306" s="1091"/>
      <c r="S306" s="1092"/>
      <c r="T306" s="1092"/>
      <c r="U306" s="1046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1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07"/>
      <c r="R307" s="882"/>
      <c r="S307" s="1014"/>
      <c r="T307" s="1014"/>
      <c r="U307" s="1046">
        <v>307</v>
      </c>
      <c r="V307" s="461"/>
    </row>
    <row r="308" spans="1:22" s="1143" customFormat="1" ht="15.75" customHeight="1">
      <c r="A308" s="1075" t="s">
        <v>258</v>
      </c>
      <c r="B308" s="1144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1"/>
      <c r="H308" s="284"/>
      <c r="I308" s="284"/>
      <c r="J308" s="284"/>
      <c r="K308" s="284"/>
      <c r="L308" s="1081"/>
      <c r="M308" s="948"/>
      <c r="N308" s="948"/>
      <c r="O308" s="948"/>
      <c r="P308" s="948"/>
      <c r="Q308" s="1107"/>
      <c r="R308" s="882"/>
      <c r="S308" s="1014"/>
      <c r="T308" s="1014"/>
      <c r="U308" s="1046">
        <v>308</v>
      </c>
      <c r="V308" s="1142"/>
    </row>
    <row r="309" spans="1:22" s="1143" customFormat="1" ht="15.75" customHeight="1">
      <c r="A309" s="1099" t="s">
        <v>252</v>
      </c>
      <c r="B309" s="1100"/>
      <c r="C309" s="1125">
        <f>IF(C303="","",(C303-SUM(C305)-SUM(C308))*C304/C$46/365/$P$1)</f>
        <v>4.9858374844333753E-2</v>
      </c>
      <c r="D309" s="1125" t="str">
        <f>IF(D303="","",(D303-SUM(D305)-SUM(D308))*D304/D$46/365/$P$1)</f>
        <v/>
      </c>
      <c r="E309" s="1125" t="str">
        <f>IF(E303="","",(E303-SUM(E305)-SUM(E308))*E304/E$46/365/$P$1)</f>
        <v/>
      </c>
      <c r="F309" s="1125" t="str">
        <f>IF(F303="","",(F303-SUM(F305)-SUM(F308))*F304/F$46/365/$P$1)</f>
        <v/>
      </c>
      <c r="G309" s="1090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0"/>
      <c r="M309" s="1126">
        <f>IF(H309="","",SUM(H309)-SUM(C309))</f>
        <v>1.2464593711083438E-2</v>
      </c>
      <c r="N309" s="1126" t="str">
        <f>IF(I309="","",SUM(I309)-SUM(D309))</f>
        <v/>
      </c>
      <c r="O309" s="1126" t="str">
        <f>IF(J309="","",SUM(J309)-SUM(E309))</f>
        <v/>
      </c>
      <c r="P309" s="1126" t="str">
        <f>IF(K309="","",SUM(K309)-SUM(F309))</f>
        <v/>
      </c>
      <c r="Q309" s="1141"/>
      <c r="R309" s="1045"/>
      <c r="S309" s="1007"/>
      <c r="T309" s="1007"/>
      <c r="U309" s="1046">
        <v>309</v>
      </c>
      <c r="V309" s="1142"/>
    </row>
    <row r="310" spans="1:22" s="1143" customFormat="1" ht="15.75" customHeight="1">
      <c r="A310" s="1137" t="str">
        <f>IF(Data!A310="","",Data!A310)</f>
        <v>Water melon: no. local meas (Bhece)</v>
      </c>
      <c r="B310" s="1104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1"/>
      <c r="H310" s="948"/>
      <c r="I310" s="948"/>
      <c r="J310" s="948"/>
      <c r="K310" s="948"/>
      <c r="L310" s="1061"/>
      <c r="M310" s="948"/>
      <c r="N310" s="948"/>
      <c r="O310" s="948"/>
      <c r="P310" s="948"/>
      <c r="Q310" s="1141"/>
      <c r="R310" s="882"/>
      <c r="S310" s="1014"/>
      <c r="T310" s="1014"/>
      <c r="U310" s="1046">
        <v>310</v>
      </c>
      <c r="V310" s="1142"/>
    </row>
    <row r="311" spans="1:22" s="1143" customFormat="1" ht="15.75" customHeight="1">
      <c r="A311" s="926" t="s">
        <v>265</v>
      </c>
      <c r="B311" s="110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1"/>
      <c r="H311" s="948"/>
      <c r="I311" s="948"/>
      <c r="J311" s="948"/>
      <c r="K311" s="948"/>
      <c r="L311" s="1061"/>
      <c r="M311" s="948"/>
      <c r="N311" s="948"/>
      <c r="O311" s="948"/>
      <c r="P311" s="948"/>
      <c r="Q311" s="1141"/>
      <c r="R311" s="882"/>
      <c r="S311" s="1014"/>
      <c r="T311" s="1014"/>
      <c r="U311" s="1046">
        <v>311</v>
      </c>
      <c r="V311" s="1142"/>
    </row>
    <row r="312" spans="1:22" ht="15.75" customHeight="1">
      <c r="A312" s="926" t="s">
        <v>266</v>
      </c>
      <c r="B312" s="1150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1"/>
      <c r="H312" s="948"/>
      <c r="I312" s="948"/>
      <c r="J312" s="948"/>
      <c r="K312" s="948"/>
      <c r="L312" s="1061"/>
      <c r="M312" s="948"/>
      <c r="N312" s="948"/>
      <c r="O312" s="948"/>
      <c r="P312" s="948"/>
      <c r="Q312" s="1107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90</v>
      </c>
      <c r="F313" s="1121">
        <f>IF(F310="","",F310*F312)</f>
        <v>90</v>
      </c>
      <c r="G313" s="1061"/>
      <c r="H313" s="948"/>
      <c r="I313" s="948"/>
      <c r="J313" s="948"/>
      <c r="K313" s="948"/>
      <c r="L313" s="1061"/>
      <c r="M313" s="948"/>
      <c r="N313" s="948"/>
      <c r="O313" s="948"/>
      <c r="P313" s="948"/>
      <c r="Q313" s="1107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256</v>
      </c>
      <c r="B314" s="1081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1"/>
      <c r="H314" s="948"/>
      <c r="I314" s="948"/>
      <c r="J314" s="948"/>
      <c r="K314" s="948"/>
      <c r="L314" s="1061"/>
      <c r="M314" s="948"/>
      <c r="N314" s="948"/>
      <c r="O314" s="948"/>
      <c r="P314" s="948"/>
      <c r="Q314" s="1107"/>
      <c r="R314" s="882"/>
      <c r="S314" s="1014"/>
      <c r="T314" s="1014"/>
      <c r="U314" s="1046">
        <v>314</v>
      </c>
      <c r="V314" s="461"/>
    </row>
    <row r="315" spans="1:22" ht="15.75" customHeight="1">
      <c r="A315" s="1074" t="s">
        <v>257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78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78"/>
      <c r="M315" s="948"/>
      <c r="N315" s="948"/>
      <c r="O315" s="948"/>
      <c r="P315" s="948"/>
      <c r="Q315" s="1107"/>
      <c r="R315" s="882"/>
      <c r="S315" s="1014"/>
      <c r="T315" s="1014"/>
      <c r="U315" s="1046">
        <v>315</v>
      </c>
      <c r="V315" s="461"/>
    </row>
    <row r="316" spans="1:22" ht="15.75" customHeight="1">
      <c r="A316" s="1075" t="s">
        <v>181</v>
      </c>
      <c r="B316" s="1104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1"/>
      <c r="H316" s="948"/>
      <c r="I316" s="948"/>
      <c r="J316" s="948"/>
      <c r="K316" s="948"/>
      <c r="L316" s="1081"/>
      <c r="M316" s="948"/>
      <c r="N316" s="948"/>
      <c r="O316" s="948"/>
      <c r="P316" s="948"/>
      <c r="Q316" s="1107"/>
      <c r="R316" s="1091"/>
      <c r="S316" s="1092"/>
      <c r="T316" s="1092"/>
      <c r="U316" s="1046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>
        <f>IF(SUM(E315)=0,"",E315*E316)</f>
        <v>99</v>
      </c>
      <c r="F317" s="1098">
        <f>IF(SUM(F315)=0,"",F315*F316)</f>
        <v>99</v>
      </c>
      <c r="G317" s="1081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>
        <f>IF(J317="","",SUM(J317)-SUM(E317))</f>
        <v>-99</v>
      </c>
      <c r="P317" s="1098">
        <f>IF(K317="","",SUM(K317)-SUM(F317))</f>
        <v>-99</v>
      </c>
      <c r="Q317" s="1107"/>
      <c r="R317" s="882"/>
      <c r="S317" s="1014"/>
      <c r="T317" s="1014"/>
      <c r="U317" s="1046">
        <v>317</v>
      </c>
      <c r="V317" s="461"/>
    </row>
    <row r="318" spans="1:22" ht="15.75" customHeight="1">
      <c r="A318" s="1075" t="s">
        <v>258</v>
      </c>
      <c r="B318" s="1105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1"/>
      <c r="H318" s="284"/>
      <c r="I318" s="284"/>
      <c r="J318" s="284"/>
      <c r="K318" s="284"/>
      <c r="L318" s="1081"/>
      <c r="M318" s="948"/>
      <c r="N318" s="948"/>
      <c r="O318" s="948"/>
      <c r="P318" s="948"/>
      <c r="Q318" s="1107"/>
      <c r="R318" s="882"/>
      <c r="S318" s="1014"/>
      <c r="T318" s="1014"/>
      <c r="U318" s="1046">
        <v>318</v>
      </c>
      <c r="V318" s="461"/>
    </row>
    <row r="319" spans="1:22" ht="15.75" customHeight="1">
      <c r="A319" s="1099" t="s">
        <v>252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2.2485149439601493E-3</v>
      </c>
      <c r="F319" s="1125">
        <f>IF(F313="","",(F313-SUM(F315)-SUM(F318))*F314/F$46/365/$P$1)</f>
        <v>1.9986799501867992E-3</v>
      </c>
      <c r="G319" s="1090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>
        <f>IF(J319="","",SUM(J319)-SUM(E319))</f>
        <v>1.1242574719800748E-3</v>
      </c>
      <c r="P319" s="1126">
        <f>IF(K319="","",SUM(K319)-SUM(F319))</f>
        <v>9.9933997509339982E-4</v>
      </c>
      <c r="Q319" s="1107"/>
      <c r="R319" s="1045"/>
      <c r="S319" s="1007"/>
      <c r="T319" s="1007"/>
      <c r="U319" s="1046">
        <v>319</v>
      </c>
      <c r="V319" s="461"/>
    </row>
    <row r="320" spans="1:22" ht="15.75" customHeight="1">
      <c r="A320" s="1137" t="str">
        <f>IF(Data!A320="","",Data!A320)</f>
        <v>Pumpkin: no. local meas</v>
      </c>
      <c r="B320" s="1081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3"/>
      <c r="H320" s="948"/>
      <c r="I320" s="948"/>
      <c r="J320" s="948"/>
      <c r="K320" s="948"/>
      <c r="L320" s="1133"/>
      <c r="M320" s="1119"/>
      <c r="N320" s="1119"/>
      <c r="O320" s="1119"/>
      <c r="P320" s="1119"/>
      <c r="Q320" s="1107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265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3"/>
      <c r="H321" s="948"/>
      <c r="I321" s="948"/>
      <c r="J321" s="948"/>
      <c r="K321" s="948"/>
      <c r="L321" s="1133"/>
      <c r="M321" s="1119"/>
      <c r="N321" s="1119"/>
      <c r="O321" s="1119"/>
      <c r="P321" s="1119"/>
      <c r="Q321" s="1107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266</v>
      </c>
      <c r="B322" s="1081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3"/>
      <c r="H322" s="948"/>
      <c r="I322" s="948"/>
      <c r="J322" s="948"/>
      <c r="K322" s="948"/>
      <c r="L322" s="1133"/>
      <c r="M322" s="1119"/>
      <c r="N322" s="1119"/>
      <c r="O322" s="1119"/>
      <c r="P322" s="1119"/>
      <c r="Q322" s="1107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267</v>
      </c>
      <c r="B323" s="1081"/>
      <c r="C323" s="1121" t="str">
        <f>IF(C320="","",C320*C322)</f>
        <v/>
      </c>
      <c r="D323" s="1121">
        <f>IF(D320="","",D320*D322)</f>
        <v>180</v>
      </c>
      <c r="E323" s="1121" t="str">
        <f>IF(E320="","",E320*E322)</f>
        <v/>
      </c>
      <c r="F323" s="1121" t="str">
        <f>IF(F320="","",F320*F322)</f>
        <v/>
      </c>
      <c r="G323" s="1061"/>
      <c r="H323" s="948"/>
      <c r="I323" s="948"/>
      <c r="J323" s="948"/>
      <c r="K323" s="948"/>
      <c r="L323" s="1061"/>
      <c r="M323" s="948"/>
      <c r="N323" s="948"/>
      <c r="O323" s="948"/>
      <c r="P323" s="948"/>
      <c r="Q323" s="1107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256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1"/>
      <c r="H324" s="948"/>
      <c r="I324" s="948"/>
      <c r="J324" s="948"/>
      <c r="K324" s="948"/>
      <c r="L324" s="1061"/>
      <c r="M324" s="948"/>
      <c r="N324" s="948"/>
      <c r="O324" s="948"/>
      <c r="P324" s="948"/>
      <c r="Q324" s="1107"/>
      <c r="R324" s="882"/>
      <c r="S324" s="1014"/>
      <c r="T324" s="1014"/>
      <c r="U324" s="1046">
        <v>324</v>
      </c>
      <c r="V324" s="461"/>
    </row>
    <row r="325" spans="1:22" ht="15.75" customHeight="1">
      <c r="A325" s="1074" t="s">
        <v>257</v>
      </c>
      <c r="B325" s="1081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78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78"/>
      <c r="M325" s="948"/>
      <c r="N325" s="948"/>
      <c r="O325" s="948"/>
      <c r="P325" s="948"/>
      <c r="Q325" s="1107"/>
      <c r="R325" s="882"/>
      <c r="S325" s="1014"/>
      <c r="T325" s="1014"/>
      <c r="U325" s="1046">
        <v>325</v>
      </c>
      <c r="V325" s="461"/>
    </row>
    <row r="326" spans="1:22" ht="15.75" customHeight="1">
      <c r="A326" s="1075" t="s">
        <v>181</v>
      </c>
      <c r="B326" s="1081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1"/>
      <c r="H326" s="948"/>
      <c r="I326" s="948"/>
      <c r="J326" s="948"/>
      <c r="K326" s="948"/>
      <c r="L326" s="1081"/>
      <c r="M326" s="948"/>
      <c r="N326" s="948"/>
      <c r="O326" s="948"/>
      <c r="P326" s="948"/>
      <c r="Q326" s="1107"/>
      <c r="R326" s="1091"/>
      <c r="S326" s="1092"/>
      <c r="T326" s="1092"/>
      <c r="U326" s="1046">
        <v>326</v>
      </c>
      <c r="V326" s="461"/>
    </row>
    <row r="327" spans="1:22" ht="15.75" customHeight="1">
      <c r="A327" s="1075" t="s">
        <v>183</v>
      </c>
      <c r="B327" s="927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82"/>
      <c r="S327" s="1014"/>
      <c r="T327" s="1014"/>
      <c r="U327" s="1046">
        <v>327</v>
      </c>
      <c r="V327" s="461"/>
    </row>
    <row r="328" spans="1:22" ht="15.75" customHeight="1">
      <c r="A328" s="1075" t="s">
        <v>258</v>
      </c>
      <c r="B328" s="1081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1"/>
      <c r="H328" s="284"/>
      <c r="I328" s="284"/>
      <c r="J328" s="284"/>
      <c r="K328" s="284"/>
      <c r="L328" s="1081"/>
      <c r="M328" s="948"/>
      <c r="N328" s="948"/>
      <c r="O328" s="948"/>
      <c r="P328" s="948"/>
      <c r="Q328" s="1107"/>
      <c r="R328" s="882"/>
      <c r="S328" s="1014"/>
      <c r="T328" s="1014"/>
      <c r="U328" s="1046">
        <v>328</v>
      </c>
      <c r="V328" s="461"/>
    </row>
    <row r="329" spans="1:22" ht="15.75" customHeight="1">
      <c r="A329" s="1099" t="s">
        <v>252</v>
      </c>
      <c r="B329" s="1081"/>
      <c r="C329" s="1125" t="str">
        <f>IF(C323="","",(C323-SUM(C325)-SUM(C328))*C324/C$46/365/$P$1)</f>
        <v/>
      </c>
      <c r="D329" s="1125">
        <f>IF(D323="","",(D323-SUM(D325)-SUM(D328))*D324/D$46/365/$P$1)</f>
        <v>2.1996341843088418E-2</v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45"/>
      <c r="S329" s="1007"/>
      <c r="T329" s="1007"/>
      <c r="U329" s="1046">
        <v>329</v>
      </c>
      <c r="V329" s="461"/>
    </row>
    <row r="330" spans="1:22" s="1147" customFormat="1" ht="15.75" customHeight="1">
      <c r="A330" s="1137" t="str">
        <f>IF(Data!A330="","",Data!A330)</f>
        <v>Sweet poatato: no. local meas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3"/>
      <c r="H330" s="948"/>
      <c r="I330" s="948"/>
      <c r="J330" s="948"/>
      <c r="K330" s="948"/>
      <c r="L330" s="1133"/>
      <c r="M330" s="1119"/>
      <c r="N330" s="1119"/>
      <c r="O330" s="1119"/>
      <c r="P330" s="1119"/>
      <c r="Q330" s="1120"/>
      <c r="R330" s="882"/>
      <c r="S330" s="1014"/>
      <c r="T330" s="1014"/>
      <c r="U330" s="1046">
        <v>330</v>
      </c>
      <c r="V330" s="1146"/>
    </row>
    <row r="331" spans="1:22" ht="15.75" customHeight="1">
      <c r="A331" s="926" t="s">
        <v>265</v>
      </c>
      <c r="B331" s="1081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08"/>
      <c r="H331" s="948"/>
      <c r="I331" s="948"/>
      <c r="J331" s="948"/>
      <c r="K331" s="948"/>
      <c r="L331" s="1108"/>
      <c r="M331" s="1119"/>
      <c r="N331" s="1119"/>
      <c r="O331" s="1119"/>
      <c r="P331" s="1119"/>
      <c r="Q331" s="1107"/>
      <c r="R331" s="843"/>
      <c r="S331" s="843"/>
      <c r="T331" s="843"/>
      <c r="U331" s="1046">
        <v>331</v>
      </c>
      <c r="V331" s="461"/>
    </row>
    <row r="332" spans="1:22" s="1147" customFormat="1" ht="15.75" customHeight="1">
      <c r="A332" s="1151" t="s">
        <v>266</v>
      </c>
      <c r="B332" s="1081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3"/>
      <c r="H332" s="948"/>
      <c r="I332" s="948"/>
      <c r="J332" s="948"/>
      <c r="K332" s="948"/>
      <c r="L332" s="1133"/>
      <c r="M332" s="1119"/>
      <c r="N332" s="1119"/>
      <c r="O332" s="1119"/>
      <c r="P332" s="1119"/>
      <c r="Q332" s="1120"/>
      <c r="R332" s="882"/>
      <c r="S332" s="1014"/>
      <c r="T332" s="1014"/>
      <c r="U332" s="1046">
        <v>332</v>
      </c>
      <c r="V332" s="1146"/>
    </row>
    <row r="333" spans="1:22" ht="15.75" customHeight="1">
      <c r="A333" s="926" t="s">
        <v>267</v>
      </c>
      <c r="B333" s="927"/>
      <c r="C333" s="1121">
        <f>IF(C330="","",C330*C332)</f>
        <v>160</v>
      </c>
      <c r="D333" s="1121">
        <f>IF(D330="","",D330*D332)</f>
        <v>160</v>
      </c>
      <c r="E333" s="1121">
        <f>IF(E330="","",E330*E332)</f>
        <v>400</v>
      </c>
      <c r="F333" s="1121">
        <f>IF(F330="","",F330*F332)</f>
        <v>400</v>
      </c>
      <c r="G333" s="1140"/>
      <c r="H333" s="948"/>
      <c r="I333" s="948"/>
      <c r="J333" s="948"/>
      <c r="K333" s="948"/>
      <c r="L333" s="1140"/>
      <c r="M333" s="948"/>
      <c r="N333" s="948"/>
      <c r="O333" s="948"/>
      <c r="P333" s="948"/>
      <c r="Q333" s="1107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256</v>
      </c>
      <c r="B334" s="1081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0"/>
      <c r="H334" s="948"/>
      <c r="I334" s="948"/>
      <c r="J334" s="948"/>
      <c r="K334" s="948"/>
      <c r="L334" s="1140"/>
      <c r="M334" s="948"/>
      <c r="N334" s="948"/>
      <c r="O334" s="948"/>
      <c r="P334" s="948"/>
      <c r="Q334" s="1107"/>
      <c r="R334" s="882"/>
      <c r="S334" s="1014"/>
      <c r="T334" s="1014"/>
      <c r="U334" s="1046">
        <v>334</v>
      </c>
      <c r="V334" s="461"/>
    </row>
    <row r="335" spans="1:22" ht="15.75" customHeight="1">
      <c r="A335" s="1074" t="s">
        <v>257</v>
      </c>
      <c r="B335" s="1078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07"/>
      <c r="R335" s="882"/>
      <c r="S335" s="1014"/>
      <c r="T335" s="1014"/>
      <c r="U335" s="1046">
        <v>335</v>
      </c>
      <c r="V335" s="461"/>
    </row>
    <row r="336" spans="1:22" ht="15.75" customHeight="1">
      <c r="A336" s="1075" t="s">
        <v>181</v>
      </c>
      <c r="B336" s="1152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4"/>
      <c r="H336" s="948"/>
      <c r="I336" s="948"/>
      <c r="J336" s="948"/>
      <c r="K336" s="948"/>
      <c r="L336" s="1144"/>
      <c r="M336" s="948"/>
      <c r="N336" s="948"/>
      <c r="O336" s="948"/>
      <c r="P336" s="948"/>
      <c r="Q336" s="1107"/>
      <c r="R336" s="1091"/>
      <c r="S336" s="1092"/>
      <c r="T336" s="1092"/>
      <c r="U336" s="1046">
        <v>336</v>
      </c>
      <c r="V336" s="461"/>
    </row>
    <row r="337" spans="1:22" ht="15.75" customHeight="1">
      <c r="A337" s="1075" t="s">
        <v>183</v>
      </c>
      <c r="B337" s="1153"/>
      <c r="C337" s="1098" t="str">
        <f>IF(SUM(C335)=0,"",C335*C336)</f>
        <v/>
      </c>
      <c r="D337" s="1098" t="str">
        <f>IF(SUM(D335)=0,"",D335*D336)</f>
        <v/>
      </c>
      <c r="E337" s="1098">
        <f>IF(SUM(E335)=0,"",E335*E336)</f>
        <v>250</v>
      </c>
      <c r="F337" s="1098">
        <f>IF(SUM(F335)=0,"",F335*F336)</f>
        <v>750</v>
      </c>
      <c r="G337" s="1144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4"/>
      <c r="M337" s="1098" t="str">
        <f>IF(H337="","",SUM(H337)-SUM(C337))</f>
        <v/>
      </c>
      <c r="N337" s="1098" t="str">
        <f>IF(I337="","",SUM(I337)-SUM(D337))</f>
        <v/>
      </c>
      <c r="O337" s="1098">
        <f>IF(J337="","",SUM(J337)-SUM(E337))</f>
        <v>-250</v>
      </c>
      <c r="P337" s="1098">
        <f>IF(K337="","",SUM(K337)-SUM(F337))</f>
        <v>-750</v>
      </c>
      <c r="Q337" s="1107"/>
      <c r="R337" s="882"/>
      <c r="S337" s="1014"/>
      <c r="T337" s="1014"/>
      <c r="U337" s="1046">
        <v>337</v>
      </c>
      <c r="V337" s="461"/>
    </row>
    <row r="338" spans="1:22" ht="15.75" customHeight="1">
      <c r="A338" s="1075" t="s">
        <v>258</v>
      </c>
      <c r="B338" s="1154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4"/>
      <c r="H338" s="284"/>
      <c r="I338" s="284"/>
      <c r="J338" s="284"/>
      <c r="K338" s="284"/>
      <c r="L338" s="1144"/>
      <c r="M338" s="948"/>
      <c r="N338" s="948"/>
      <c r="O338" s="948"/>
      <c r="P338" s="948"/>
      <c r="Q338" s="1107"/>
      <c r="R338" s="882"/>
      <c r="S338" s="1014"/>
      <c r="T338" s="1014"/>
      <c r="U338" s="1046">
        <v>338</v>
      </c>
      <c r="V338" s="461"/>
    </row>
    <row r="339" spans="1:22" ht="15.75" customHeight="1">
      <c r="A339" s="1099" t="s">
        <v>252</v>
      </c>
      <c r="B339" s="1154"/>
      <c r="C339" s="1125">
        <f>IF(C333="","",(C333-SUM(C335)-SUM(C338))*C334/C$46/365/$P$1)</f>
        <v>2.5988480697384807E-2</v>
      </c>
      <c r="D339" s="1125">
        <f>IF(D333="","",(D333-SUM(D335)-SUM(D338))*D334/D$46/365/$P$1)</f>
        <v>2.5988480697384807E-2</v>
      </c>
      <c r="E339" s="1125">
        <f>IF(E333="","",(E333-SUM(E335)-SUM(E338))*E334/E$46/365/$P$1)</f>
        <v>6.125856164383562E-2</v>
      </c>
      <c r="F339" s="1125">
        <f>IF(F333="","",(F333-SUM(F335)-SUM(F338))*F334/F$46/365/$P$1)</f>
        <v>3.7951432129514323E-2</v>
      </c>
      <c r="G339" s="1100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0"/>
      <c r="M339" s="1126" t="str">
        <f>IF(H339="","",SUM(H339)-SUM(C339))</f>
        <v/>
      </c>
      <c r="N339" s="1126" t="str">
        <f>IF(I339="","",SUM(I339)-SUM(D339))</f>
        <v/>
      </c>
      <c r="O339" s="1126">
        <f>IF(J339="","",SUM(J339)-SUM(E339))</f>
        <v>9.281600249065998E-3</v>
      </c>
      <c r="P339" s="1126">
        <f>IF(K339="","",SUM(K339)-SUM(F339))</f>
        <v>2.4750933997509342E-2</v>
      </c>
      <c r="Q339" s="1107"/>
      <c r="R339" s="1045"/>
      <c r="S339" s="1007"/>
      <c r="T339" s="1007"/>
      <c r="U339" s="1046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3"/>
      <c r="H340" s="948"/>
      <c r="I340" s="948"/>
      <c r="J340" s="948"/>
      <c r="K340" s="948"/>
      <c r="L340" s="1133"/>
      <c r="M340" s="1119"/>
      <c r="N340" s="1119"/>
      <c r="O340" s="1119"/>
      <c r="P340" s="1119"/>
      <c r="Q340" s="1141"/>
      <c r="R340" s="882"/>
      <c r="S340" s="1014"/>
      <c r="T340" s="1014"/>
      <c r="U340" s="1046">
        <v>340</v>
      </c>
      <c r="V340" s="1142"/>
    </row>
    <row r="341" spans="1:22" ht="15.75" customHeight="1">
      <c r="A341" s="926" t="s">
        <v>265</v>
      </c>
      <c r="B341" s="1153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3"/>
      <c r="H341" s="948"/>
      <c r="I341" s="948"/>
      <c r="J341" s="948"/>
      <c r="K341" s="948"/>
      <c r="L341" s="1133"/>
      <c r="M341" s="1119"/>
      <c r="N341" s="1119"/>
      <c r="O341" s="1119"/>
      <c r="P341" s="1119"/>
      <c r="Q341" s="1107"/>
      <c r="R341" s="843"/>
      <c r="S341" s="843"/>
      <c r="T341" s="843"/>
      <c r="U341" s="1046">
        <v>341</v>
      </c>
      <c r="V341" s="461"/>
    </row>
    <row r="342" spans="1:22" s="1147" customFormat="1" ht="15.75" customHeight="1">
      <c r="A342" s="926" t="s">
        <v>266</v>
      </c>
      <c r="B342" s="1154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3"/>
      <c r="H342" s="948"/>
      <c r="I342" s="948"/>
      <c r="J342" s="948"/>
      <c r="K342" s="948"/>
      <c r="L342" s="1133"/>
      <c r="M342" s="1119"/>
      <c r="N342" s="1119"/>
      <c r="O342" s="1119"/>
      <c r="P342" s="1119"/>
      <c r="Q342" s="1120"/>
      <c r="R342" s="882"/>
      <c r="S342" s="1014"/>
      <c r="T342" s="1014"/>
      <c r="U342" s="1046">
        <v>342</v>
      </c>
      <c r="V342" s="1146"/>
    </row>
    <row r="343" spans="1:22" ht="15.75" customHeight="1">
      <c r="A343" s="926" t="s">
        <v>267</v>
      </c>
      <c r="B343" s="1154"/>
      <c r="C343" s="1121">
        <f>IF(C340="","",C340*C342)</f>
        <v>50</v>
      </c>
      <c r="D343" s="1121">
        <f>IF(D340="","",D340*D342)</f>
        <v>150</v>
      </c>
      <c r="E343" s="1121">
        <f>IF(E340="","",E340*E342)</f>
        <v>150</v>
      </c>
      <c r="F343" s="1121">
        <f>IF(F340="","",F340*F342)</f>
        <v>200</v>
      </c>
      <c r="G343" s="1061"/>
      <c r="H343" s="948"/>
      <c r="I343" s="948"/>
      <c r="J343" s="948"/>
      <c r="K343" s="948"/>
      <c r="L343" s="1061"/>
      <c r="M343" s="948"/>
      <c r="N343" s="948"/>
      <c r="O343" s="948"/>
      <c r="P343" s="948"/>
      <c r="Q343" s="1107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256</v>
      </c>
      <c r="B344" s="1144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1"/>
      <c r="H344" s="948"/>
      <c r="I344" s="948"/>
      <c r="J344" s="948"/>
      <c r="K344" s="948"/>
      <c r="L344" s="1061"/>
      <c r="M344" s="948"/>
      <c r="N344" s="948"/>
      <c r="O344" s="948"/>
      <c r="P344" s="948"/>
      <c r="Q344" s="1107"/>
      <c r="R344" s="882"/>
      <c r="S344" s="1014"/>
      <c r="T344" s="1014"/>
      <c r="U344" s="1046">
        <v>344</v>
      </c>
      <c r="V344" s="461"/>
    </row>
    <row r="345" spans="1:22" ht="15.75" customHeight="1">
      <c r="A345" s="1074" t="s">
        <v>257</v>
      </c>
      <c r="B345" s="1153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78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78"/>
      <c r="M345" s="948"/>
      <c r="N345" s="948"/>
      <c r="O345" s="948"/>
      <c r="P345" s="948"/>
      <c r="Q345" s="1107"/>
      <c r="R345" s="882"/>
      <c r="S345" s="1014"/>
      <c r="T345" s="1014"/>
      <c r="U345" s="1046">
        <v>345</v>
      </c>
      <c r="V345" s="461"/>
    </row>
    <row r="346" spans="1:22" ht="15.75" customHeight="1">
      <c r="A346" s="1075" t="s">
        <v>181</v>
      </c>
      <c r="B346" s="1081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1"/>
      <c r="H346" s="948"/>
      <c r="I346" s="948"/>
      <c r="J346" s="948"/>
      <c r="K346" s="948"/>
      <c r="L346" s="1081"/>
      <c r="M346" s="948"/>
      <c r="N346" s="948"/>
      <c r="O346" s="948"/>
      <c r="P346" s="948"/>
      <c r="Q346" s="1107"/>
      <c r="R346" s="1091"/>
      <c r="S346" s="1092"/>
      <c r="T346" s="1092"/>
      <c r="U346" s="1046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>
        <f>IF(SUM(D345)=0,"",D345*D346)</f>
        <v>650</v>
      </c>
      <c r="E347" s="1098">
        <f>IF(SUM(E345)=0,"",E345*E346)</f>
        <v>250</v>
      </c>
      <c r="F347" s="1098">
        <f>IF(SUM(F345)=0,"",F345*F346)</f>
        <v>1140</v>
      </c>
      <c r="G347" s="1081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1"/>
      <c r="M347" s="1098" t="str">
        <f>IF(H347="","",SUM(H347)-SUM(C347))</f>
        <v/>
      </c>
      <c r="N347" s="1098">
        <f>IF(I347="","",SUM(I347)-SUM(D347))</f>
        <v>-650</v>
      </c>
      <c r="O347" s="1098">
        <f>IF(J347="","",SUM(J347)-SUM(E347))</f>
        <v>-250</v>
      </c>
      <c r="P347" s="1098">
        <f>IF(K347="","",SUM(K347)-SUM(F347))</f>
        <v>-1140</v>
      </c>
      <c r="Q347" s="1107"/>
      <c r="R347" s="882"/>
      <c r="S347" s="1014"/>
      <c r="T347" s="1014"/>
      <c r="U347" s="1046">
        <v>347</v>
      </c>
      <c r="V347" s="461"/>
    </row>
    <row r="348" spans="1:22" ht="15.75" customHeight="1">
      <c r="A348" s="1075" t="s">
        <v>258</v>
      </c>
      <c r="B348" s="1078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1"/>
      <c r="H348" s="284"/>
      <c r="I348" s="284"/>
      <c r="J348" s="284"/>
      <c r="K348" s="284"/>
      <c r="L348" s="1081"/>
      <c r="M348" s="948"/>
      <c r="N348" s="948"/>
      <c r="O348" s="948"/>
      <c r="P348" s="948"/>
      <c r="Q348" s="1107"/>
      <c r="R348" s="882"/>
      <c r="S348" s="1014"/>
      <c r="T348" s="1014"/>
      <c r="U348" s="1046">
        <v>348</v>
      </c>
      <c r="V348" s="461"/>
    </row>
    <row r="349" spans="1:22" ht="15.75" customHeight="1">
      <c r="A349" s="1099" t="s">
        <v>252</v>
      </c>
      <c r="B349" s="1078"/>
      <c r="C349" s="1125">
        <f>IF(C343="","",(C343-SUM(C345)-SUM(C348))*C344/C$46/365/$P$1)</f>
        <v>3.3018953144458282E-2</v>
      </c>
      <c r="D349" s="1125">
        <f>IF(D343="","",(D343-SUM(D345)-SUM(D348))*D344/D$46/365/$P$1)</f>
        <v>5.849071699875466E-2</v>
      </c>
      <c r="E349" s="1125">
        <f>IF(E343="","",(E343-SUM(E345)-SUM(E348))*E344/E$46/365/$P$1)</f>
        <v>9.4339866127023678E-2</v>
      </c>
      <c r="F349" s="1125">
        <f>IF(F343="","",(F343-SUM(F345)-SUM(F348))*F344/F$46/365/$P$1)</f>
        <v>0.10482207347447074</v>
      </c>
      <c r="G349" s="1090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0"/>
      <c r="M349" s="1126" t="str">
        <f>IF(H349="","",SUM(H349)-SUM(C349))</f>
        <v/>
      </c>
      <c r="N349" s="1126">
        <f>IF(I349="","",SUM(I349)-SUM(D349))</f>
        <v>4.7169933063511846E-2</v>
      </c>
      <c r="O349" s="1126">
        <f>IF(J349="","",SUM(J349)-SUM(E349))</f>
        <v>4.7169933063511818E-2</v>
      </c>
      <c r="P349" s="1126">
        <f>IF(K349="","",SUM(K349)-SUM(F349))</f>
        <v>5.0314595267745968E-2</v>
      </c>
      <c r="Q349" s="1107"/>
      <c r="R349" s="1045"/>
      <c r="S349" s="1007"/>
      <c r="T349" s="1007"/>
      <c r="U349" s="1046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3"/>
      <c r="H350" s="948"/>
      <c r="I350" s="948"/>
      <c r="J350" s="948"/>
      <c r="K350" s="948"/>
      <c r="L350" s="1133"/>
      <c r="M350" s="1119"/>
      <c r="N350" s="1119"/>
      <c r="O350" s="1119"/>
      <c r="P350" s="1119"/>
      <c r="Q350" s="1141"/>
      <c r="R350" s="882"/>
      <c r="S350" s="1014"/>
      <c r="T350" s="1014"/>
      <c r="U350" s="1046">
        <v>350</v>
      </c>
      <c r="V350" s="1142"/>
    </row>
    <row r="351" spans="1:22" ht="15.75" customHeight="1">
      <c r="A351" s="926" t="s">
        <v>265</v>
      </c>
      <c r="B351" s="1100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3"/>
      <c r="H351" s="948"/>
      <c r="I351" s="948"/>
      <c r="J351" s="948"/>
      <c r="K351" s="948"/>
      <c r="L351" s="1133"/>
      <c r="M351" s="1119"/>
      <c r="N351" s="1119"/>
      <c r="O351" s="1119"/>
      <c r="P351" s="1119"/>
      <c r="Q351" s="1107"/>
      <c r="R351" s="843"/>
      <c r="S351" s="843"/>
      <c r="T351" s="843"/>
      <c r="U351" s="1046">
        <v>351</v>
      </c>
      <c r="V351" s="461"/>
    </row>
    <row r="352" spans="1:22" s="1147" customFormat="1" ht="15.75" customHeight="1">
      <c r="A352" s="926" t="s">
        <v>266</v>
      </c>
      <c r="B352" s="1081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3"/>
      <c r="H352" s="948"/>
      <c r="I352" s="948"/>
      <c r="J352" s="948"/>
      <c r="K352" s="948"/>
      <c r="L352" s="1133"/>
      <c r="M352" s="1119"/>
      <c r="N352" s="1119"/>
      <c r="O352" s="1119"/>
      <c r="P352" s="1119"/>
      <c r="Q352" s="1120"/>
      <c r="R352" s="882"/>
      <c r="S352" s="1014"/>
      <c r="T352" s="1014"/>
      <c r="U352" s="1046">
        <v>352</v>
      </c>
      <c r="V352" s="1146"/>
    </row>
    <row r="353" spans="1:22" ht="15.75" customHeight="1">
      <c r="A353" s="926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1"/>
      <c r="H353" s="948"/>
      <c r="I353" s="948"/>
      <c r="J353" s="948"/>
      <c r="K353" s="948"/>
      <c r="L353" s="1061"/>
      <c r="M353" s="948"/>
      <c r="N353" s="948"/>
      <c r="O353" s="948"/>
      <c r="P353" s="948"/>
      <c r="Q353" s="1107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256</v>
      </c>
      <c r="B354" s="1078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1"/>
      <c r="H354" s="948"/>
      <c r="I354" s="948"/>
      <c r="J354" s="948"/>
      <c r="K354" s="948"/>
      <c r="L354" s="1061"/>
      <c r="M354" s="948"/>
      <c r="N354" s="948"/>
      <c r="O354" s="948"/>
      <c r="P354" s="948"/>
      <c r="Q354" s="1107"/>
      <c r="R354" s="882"/>
      <c r="S354" s="1014"/>
      <c r="T354" s="1014"/>
      <c r="U354" s="1046">
        <v>354</v>
      </c>
      <c r="V354" s="461"/>
    </row>
    <row r="355" spans="1:22" ht="15.75" customHeight="1">
      <c r="A355" s="1074" t="s">
        <v>257</v>
      </c>
      <c r="B355" s="1078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78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78"/>
      <c r="M355" s="948"/>
      <c r="N355" s="948"/>
      <c r="O355" s="948"/>
      <c r="P355" s="948"/>
      <c r="Q355" s="1107"/>
      <c r="R355" s="882"/>
      <c r="S355" s="1014"/>
      <c r="T355" s="1014"/>
      <c r="U355" s="1046">
        <v>355</v>
      </c>
      <c r="V355" s="461"/>
    </row>
    <row r="356" spans="1:22" ht="15.75" customHeight="1">
      <c r="A356" s="1075" t="s">
        <v>181</v>
      </c>
      <c r="B356" s="1078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1"/>
      <c r="H356" s="948"/>
      <c r="I356" s="948"/>
      <c r="J356" s="948"/>
      <c r="K356" s="948"/>
      <c r="L356" s="1081"/>
      <c r="M356" s="948"/>
      <c r="N356" s="948"/>
      <c r="O356" s="948"/>
      <c r="P356" s="948"/>
      <c r="Q356" s="1107"/>
      <c r="R356" s="1091"/>
      <c r="S356" s="1092"/>
      <c r="T356" s="1092"/>
      <c r="U356" s="1046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82"/>
      <c r="S357" s="1014"/>
      <c r="T357" s="1014"/>
      <c r="U357" s="1046">
        <v>357</v>
      </c>
      <c r="V357" s="461"/>
    </row>
    <row r="358" spans="1:22" ht="15.75" customHeight="1">
      <c r="A358" s="1075" t="s">
        <v>258</v>
      </c>
      <c r="B358" s="1078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1"/>
      <c r="H358" s="284"/>
      <c r="I358" s="284"/>
      <c r="J358" s="284"/>
      <c r="K358" s="284"/>
      <c r="L358" s="1081"/>
      <c r="M358" s="948"/>
      <c r="N358" s="948"/>
      <c r="O358" s="948"/>
      <c r="P358" s="948"/>
      <c r="Q358" s="1107"/>
      <c r="R358" s="882"/>
      <c r="S358" s="1014"/>
      <c r="T358" s="1014"/>
      <c r="U358" s="1046">
        <v>358</v>
      </c>
      <c r="V358" s="461"/>
    </row>
    <row r="359" spans="1:22" ht="15.75" customHeight="1">
      <c r="A359" s="1099" t="s">
        <v>252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45"/>
      <c r="S359" s="1007"/>
      <c r="T359" s="1007"/>
      <c r="U359" s="1046">
        <v>359</v>
      </c>
      <c r="V359" s="461"/>
    </row>
    <row r="360" spans="1:22" s="1147" customFormat="1" ht="15.75" customHeight="1">
      <c r="A360" s="1137" t="str">
        <f>IF(Data!A360="","",Data!A360)</f>
        <v>Irish potato: type</v>
      </c>
      <c r="B360" s="1078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78"/>
      <c r="H360" s="948"/>
      <c r="I360" s="948"/>
      <c r="J360" s="948"/>
      <c r="K360" s="948"/>
      <c r="L360" s="1078"/>
      <c r="M360" s="948"/>
      <c r="N360" s="948"/>
      <c r="O360" s="948"/>
      <c r="P360" s="948"/>
      <c r="Q360" s="1107"/>
      <c r="R360" s="843"/>
      <c r="S360" s="843"/>
      <c r="T360" s="843"/>
      <c r="U360" s="1046">
        <v>360</v>
      </c>
      <c r="V360" s="1146"/>
    </row>
    <row r="361" spans="1:22" s="1147" customFormat="1" ht="15.75" customHeight="1">
      <c r="A361" s="1155" t="s">
        <v>270</v>
      </c>
      <c r="B361" s="1078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3"/>
      <c r="H361" s="948"/>
      <c r="I361" s="948"/>
      <c r="J361" s="948"/>
      <c r="K361" s="948"/>
      <c r="L361" s="1133"/>
      <c r="M361" s="1119"/>
      <c r="N361" s="1119"/>
      <c r="O361" s="1119"/>
      <c r="P361" s="1119"/>
      <c r="Q361" s="1107"/>
      <c r="R361" s="882"/>
      <c r="S361" s="1014"/>
      <c r="T361" s="1014"/>
      <c r="U361" s="1046">
        <v>361</v>
      </c>
      <c r="V361" s="1146"/>
    </row>
    <row r="362" spans="1:22" ht="15.75" customHeight="1">
      <c r="A362" s="1074" t="s">
        <v>265</v>
      </c>
      <c r="B362" s="1078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3"/>
      <c r="H362" s="948"/>
      <c r="I362" s="948"/>
      <c r="J362" s="948"/>
      <c r="K362" s="948"/>
      <c r="L362" s="1133"/>
      <c r="M362" s="1119"/>
      <c r="N362" s="1119"/>
      <c r="O362" s="1119"/>
      <c r="P362" s="1119"/>
      <c r="Q362" s="1107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266</v>
      </c>
      <c r="B363" s="1100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3"/>
      <c r="H363" s="948"/>
      <c r="I363" s="948"/>
      <c r="J363" s="948"/>
      <c r="K363" s="948"/>
      <c r="L363" s="1133"/>
      <c r="M363" s="1119"/>
      <c r="N363" s="1119"/>
      <c r="O363" s="1119"/>
      <c r="P363" s="1119"/>
      <c r="Q363" s="1107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267</v>
      </c>
      <c r="B364" s="1081"/>
      <c r="C364" s="1121">
        <f>IF(C361="","",C361*C363)</f>
        <v>50</v>
      </c>
      <c r="D364" s="1121">
        <f>IF(D361="","",D361*D363)</f>
        <v>100</v>
      </c>
      <c r="E364" s="1121">
        <f>IF(E361="","",E361*E363)</f>
        <v>400</v>
      </c>
      <c r="F364" s="1121">
        <f>IF(F361="","",F361*F363)</f>
        <v>150</v>
      </c>
      <c r="G364" s="1061"/>
      <c r="H364" s="948"/>
      <c r="I364" s="948"/>
      <c r="J364" s="948"/>
      <c r="K364" s="948"/>
      <c r="L364" s="1061"/>
      <c r="M364" s="948"/>
      <c r="N364" s="948"/>
      <c r="O364" s="948"/>
      <c r="P364" s="948"/>
      <c r="Q364" s="1107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256</v>
      </c>
      <c r="B365" s="1078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1"/>
      <c r="H365" s="948"/>
      <c r="I365" s="948"/>
      <c r="J365" s="948"/>
      <c r="K365" s="948"/>
      <c r="L365" s="1061"/>
      <c r="M365" s="948"/>
      <c r="N365" s="948"/>
      <c r="O365" s="948"/>
      <c r="P365" s="948"/>
      <c r="Q365" s="1107"/>
      <c r="R365" s="882"/>
      <c r="S365" s="1014"/>
      <c r="T365" s="1014"/>
      <c r="U365" s="1046">
        <v>365</v>
      </c>
      <c r="V365" s="461"/>
    </row>
    <row r="366" spans="1:22" ht="15.75" customHeight="1">
      <c r="A366" s="1074" t="s">
        <v>257</v>
      </c>
      <c r="B366" s="1153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78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78"/>
      <c r="M366" s="948"/>
      <c r="N366" s="948"/>
      <c r="O366" s="948"/>
      <c r="P366" s="948"/>
      <c r="Q366" s="1107"/>
      <c r="R366" s="882"/>
      <c r="S366" s="1014"/>
      <c r="T366" s="1014"/>
      <c r="U366" s="1046">
        <v>366</v>
      </c>
      <c r="V366" s="461"/>
    </row>
    <row r="367" spans="1:22" ht="15.75" customHeight="1">
      <c r="A367" s="1075" t="s">
        <v>181</v>
      </c>
      <c r="B367" s="1081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1"/>
      <c r="H367" s="948"/>
      <c r="I367" s="948"/>
      <c r="J367" s="948"/>
      <c r="K367" s="948"/>
      <c r="L367" s="1081"/>
      <c r="M367" s="948"/>
      <c r="N367" s="948"/>
      <c r="O367" s="948"/>
      <c r="P367" s="948"/>
      <c r="Q367" s="1107"/>
      <c r="R367" s="1091"/>
      <c r="S367" s="1092"/>
      <c r="T367" s="1092"/>
      <c r="U367" s="1046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36</v>
      </c>
      <c r="E368" s="1098">
        <f>IF(SUM(E366)=0,"",E366*E367)</f>
        <v>772</v>
      </c>
      <c r="F368" s="1098">
        <f>IF(SUM(F366)=0,"",F366*F367)</f>
        <v>280</v>
      </c>
      <c r="G368" s="1081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1"/>
      <c r="M368" s="1098" t="str">
        <f>IF(H368="","",SUM(H368)-SUM(C368))</f>
        <v/>
      </c>
      <c r="N368" s="1098">
        <f>IF(I368="","",SUM(I368)-SUM(D368))</f>
        <v>-36</v>
      </c>
      <c r="O368" s="1098">
        <f>IF(J368="","",SUM(J368)-SUM(E368))</f>
        <v>-772</v>
      </c>
      <c r="P368" s="1098">
        <f>IF(K368="","",SUM(K368)-SUM(F368))</f>
        <v>-280</v>
      </c>
      <c r="Q368" s="1107"/>
      <c r="R368" s="882"/>
      <c r="S368" s="1014"/>
      <c r="T368" s="1014"/>
      <c r="U368" s="1046">
        <v>368</v>
      </c>
      <c r="V368" s="461"/>
    </row>
    <row r="369" spans="1:22" s="1147" customFormat="1" ht="15.75" customHeight="1">
      <c r="A369" s="1075" t="s">
        <v>258</v>
      </c>
      <c r="B369" s="1081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1"/>
      <c r="H369" s="284"/>
      <c r="I369" s="284"/>
      <c r="J369" s="284"/>
      <c r="K369" s="284"/>
      <c r="L369" s="1081"/>
      <c r="M369" s="948"/>
      <c r="N369" s="948"/>
      <c r="O369" s="948"/>
      <c r="P369" s="948"/>
      <c r="Q369" s="1107"/>
      <c r="R369" s="882"/>
      <c r="S369" s="1014"/>
      <c r="T369" s="1014"/>
      <c r="U369" s="1046">
        <v>369</v>
      </c>
      <c r="V369" s="1146"/>
    </row>
    <row r="370" spans="1:22" s="1147" customFormat="1" ht="15.75" customHeight="1">
      <c r="A370" s="1099" t="s">
        <v>252</v>
      </c>
      <c r="B370" s="1081"/>
      <c r="C370" s="1125">
        <f>IF(C364="","",(C364-SUM(C366)-SUM(C369))*C365/C$46/365/$P$1)</f>
        <v>6.1099003735990039E-3</v>
      </c>
      <c r="D370" s="1125">
        <f>IF(D364="","",(D364-SUM(D366)-SUM(D369))*D365/D$46/365/$P$1)</f>
        <v>8.3094645080946453E-3</v>
      </c>
      <c r="E370" s="1125">
        <f>IF(E364="","",(E364-SUM(E366)-SUM(E369))*E365/E$46/365/$P$1)</f>
        <v>2.4561799501867997E-2</v>
      </c>
      <c r="F370" s="1125">
        <f>IF(F364="","",(F364-SUM(F366)-SUM(F369))*F365/F$46/365/$P$1)</f>
        <v>7.0603293206032928E-3</v>
      </c>
      <c r="G370" s="1090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0"/>
      <c r="M370" s="1126" t="str">
        <f>IF(H370="","",SUM(H370)-SUM(C370))</f>
        <v/>
      </c>
      <c r="N370" s="1126">
        <f>IF(I370="","",SUM(I370)-SUM(D370))</f>
        <v>2.1995641344956414E-3</v>
      </c>
      <c r="O370" s="1126">
        <f>IF(J370="","",SUM(J370)-SUM(E370))</f>
        <v>2.358421544209215E-2</v>
      </c>
      <c r="P370" s="1126">
        <f>IF(K370="","",SUM(K370)-SUM(F370))</f>
        <v>7.6034315760343165E-3</v>
      </c>
      <c r="Q370" s="1107"/>
      <c r="R370" s="1045"/>
      <c r="S370" s="1007"/>
      <c r="T370" s="1007"/>
      <c r="U370" s="1046">
        <v>370</v>
      </c>
      <c r="V370" s="1146"/>
    </row>
    <row r="371" spans="1:22" s="1147" customFormat="1" ht="15.75" customHeight="1">
      <c r="A371" s="1137" t="str">
        <f>IF(Data!A371="","",Data!A371)</f>
        <v>Jugo beans:</v>
      </c>
      <c r="B371" s="1078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78"/>
      <c r="H371" s="948"/>
      <c r="I371" s="948"/>
      <c r="J371" s="948"/>
      <c r="K371" s="948"/>
      <c r="L371" s="1078"/>
      <c r="M371" s="948"/>
      <c r="N371" s="948"/>
      <c r="O371" s="948"/>
      <c r="P371" s="948"/>
      <c r="Q371" s="1107"/>
      <c r="R371" s="843"/>
      <c r="S371" s="843"/>
      <c r="T371" s="843"/>
      <c r="U371" s="1046">
        <v>371</v>
      </c>
      <c r="V371" s="1146"/>
    </row>
    <row r="372" spans="1:22" s="1147" customFormat="1" ht="15.75" customHeight="1">
      <c r="A372" s="1155" t="s">
        <v>270</v>
      </c>
      <c r="B372" s="1105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3"/>
      <c r="H372" s="948"/>
      <c r="I372" s="948"/>
      <c r="J372" s="948"/>
      <c r="K372" s="948"/>
      <c r="L372" s="1133"/>
      <c r="M372" s="1119"/>
      <c r="N372" s="1119"/>
      <c r="O372" s="1119"/>
      <c r="P372" s="1119"/>
      <c r="Q372" s="1107"/>
      <c r="R372" s="882"/>
      <c r="S372" s="1014"/>
      <c r="T372" s="1014"/>
      <c r="U372" s="1046">
        <v>372</v>
      </c>
      <c r="V372" s="1146"/>
    </row>
    <row r="373" spans="1:22" ht="15.75" customHeight="1">
      <c r="A373" s="1074" t="s">
        <v>265</v>
      </c>
      <c r="B373" s="1105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3"/>
      <c r="H373" s="948"/>
      <c r="I373" s="948"/>
      <c r="J373" s="948"/>
      <c r="K373" s="948"/>
      <c r="L373" s="1133"/>
      <c r="M373" s="1119"/>
      <c r="N373" s="1119"/>
      <c r="O373" s="1119"/>
      <c r="P373" s="1119"/>
      <c r="Q373" s="1107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266</v>
      </c>
      <c r="B374" s="1090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3"/>
      <c r="H374" s="948"/>
      <c r="I374" s="948"/>
      <c r="J374" s="948"/>
      <c r="K374" s="948"/>
      <c r="L374" s="1133"/>
      <c r="M374" s="1119"/>
      <c r="N374" s="1119"/>
      <c r="O374" s="1119"/>
      <c r="P374" s="1119"/>
      <c r="Q374" s="1107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267</v>
      </c>
      <c r="B375" s="1103"/>
      <c r="C375" s="1121">
        <f>IF(C372="","",C372*C374)</f>
        <v>0</v>
      </c>
      <c r="D375" s="1121" t="str">
        <f>IF(D372="","",D372*D374)</f>
        <v/>
      </c>
      <c r="E375" s="1121">
        <f>IF(E372="","",E372*E374)</f>
        <v>0</v>
      </c>
      <c r="F375" s="1121">
        <f>IF(F372="","",F372*F374)</f>
        <v>0</v>
      </c>
      <c r="G375" s="1061"/>
      <c r="H375" s="948"/>
      <c r="I375" s="948"/>
      <c r="J375" s="948"/>
      <c r="K375" s="948"/>
      <c r="L375" s="1061"/>
      <c r="M375" s="948"/>
      <c r="N375" s="948"/>
      <c r="O375" s="948"/>
      <c r="P375" s="948"/>
      <c r="Q375" s="1107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256</v>
      </c>
      <c r="B376" s="1105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1"/>
      <c r="H376" s="948"/>
      <c r="I376" s="948"/>
      <c r="J376" s="948"/>
      <c r="K376" s="948"/>
      <c r="L376" s="1061"/>
      <c r="M376" s="948"/>
      <c r="N376" s="948"/>
      <c r="O376" s="948"/>
      <c r="P376" s="948"/>
      <c r="Q376" s="1107"/>
      <c r="R376" s="882"/>
      <c r="S376" s="1014"/>
      <c r="T376" s="1014"/>
      <c r="U376" s="1046">
        <v>376</v>
      </c>
      <c r="V376" s="461"/>
    </row>
    <row r="377" spans="1:22" ht="15.75" customHeight="1">
      <c r="A377" s="1074" t="s">
        <v>257</v>
      </c>
      <c r="B377" s="1105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78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78"/>
      <c r="M377" s="948"/>
      <c r="N377" s="948"/>
      <c r="O377" s="948"/>
      <c r="P377" s="948"/>
      <c r="Q377" s="1107"/>
      <c r="R377" s="882"/>
      <c r="S377" s="1014"/>
      <c r="T377" s="1014"/>
      <c r="U377" s="1046">
        <v>377</v>
      </c>
      <c r="V377" s="461"/>
    </row>
    <row r="378" spans="1:22" ht="15.75" customHeight="1">
      <c r="A378" s="1075" t="s">
        <v>181</v>
      </c>
      <c r="B378" s="1105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1"/>
      <c r="H378" s="948"/>
      <c r="I378" s="948"/>
      <c r="J378" s="948"/>
      <c r="K378" s="948"/>
      <c r="L378" s="1081"/>
      <c r="M378" s="948"/>
      <c r="N378" s="948"/>
      <c r="O378" s="948"/>
      <c r="P378" s="948"/>
      <c r="Q378" s="1107"/>
      <c r="R378" s="1091"/>
      <c r="S378" s="1092"/>
      <c r="T378" s="1092"/>
      <c r="U378" s="1046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82"/>
      <c r="S379" s="1014"/>
      <c r="T379" s="1014"/>
      <c r="U379" s="1046">
        <v>379</v>
      </c>
      <c r="V379" s="461"/>
    </row>
    <row r="380" spans="1:22" s="1147" customFormat="1" ht="15.75" customHeight="1">
      <c r="A380" s="1075" t="s">
        <v>258</v>
      </c>
      <c r="B380" s="1105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1"/>
      <c r="H380" s="284"/>
      <c r="I380" s="284"/>
      <c r="J380" s="284"/>
      <c r="K380" s="284"/>
      <c r="L380" s="1081"/>
      <c r="M380" s="948"/>
      <c r="N380" s="948"/>
      <c r="O380" s="948"/>
      <c r="P380" s="948"/>
      <c r="Q380" s="1107"/>
      <c r="R380" s="882"/>
      <c r="S380" s="1014"/>
      <c r="T380" s="1014"/>
      <c r="U380" s="1046">
        <v>380</v>
      </c>
      <c r="V380" s="1146"/>
    </row>
    <row r="381" spans="1:22" s="1147" customFormat="1" ht="15.75" customHeight="1">
      <c r="A381" s="1099" t="s">
        <v>252</v>
      </c>
      <c r="B381" s="1078"/>
      <c r="C381" s="1125">
        <f>IF(C375="","",(C375-SUM(C377)-SUM(C380))*SUM(C376)/C$46/365/$P$1)</f>
        <v>0</v>
      </c>
      <c r="D381" s="1125" t="str">
        <f>IF(D375="","",(D375-SUM(D377)-SUM(D380))*D376/D$46/365/$P$1)</f>
        <v/>
      </c>
      <c r="E381" s="1125">
        <f>IF(E375="","",(E375-SUM(E377)-SUM(E380))*E376/E$46/365/$P$1)</f>
        <v>0</v>
      </c>
      <c r="F381" s="1125">
        <f>IF(F375="","",(F375-SUM(F377)-SUM(F380))*F376/F$46/365/$P$1)</f>
        <v>0</v>
      </c>
      <c r="G381" s="1090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45"/>
      <c r="S381" s="1007"/>
      <c r="T381" s="1007"/>
      <c r="U381" s="1046">
        <v>381</v>
      </c>
      <c r="V381" s="1146"/>
    </row>
    <row r="382" spans="1:22" s="1147" customFormat="1" ht="15.75" customHeight="1">
      <c r="A382" s="1137" t="str">
        <f>IF(Data!A382="","",Data!A382)</f>
        <v>Yam: type</v>
      </c>
      <c r="B382" s="1078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3"/>
      <c r="H382" s="948"/>
      <c r="I382" s="948"/>
      <c r="J382" s="948"/>
      <c r="K382" s="948"/>
      <c r="L382" s="1133"/>
      <c r="M382" s="1119"/>
      <c r="N382" s="1119"/>
      <c r="O382" s="1119"/>
      <c r="P382" s="1119"/>
      <c r="Q382" s="1107"/>
      <c r="R382" s="882"/>
      <c r="S382" s="1014"/>
      <c r="T382" s="1014"/>
      <c r="U382" s="1046">
        <v>382</v>
      </c>
      <c r="V382" s="1146"/>
    </row>
    <row r="383" spans="1:22" ht="15.75" customHeight="1">
      <c r="A383" s="1074" t="s">
        <v>265</v>
      </c>
      <c r="B383" s="1100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3"/>
      <c r="H383" s="948"/>
      <c r="I383" s="948"/>
      <c r="J383" s="948"/>
      <c r="K383" s="948"/>
      <c r="L383" s="1133"/>
      <c r="M383" s="1119"/>
      <c r="N383" s="1119"/>
      <c r="O383" s="1119"/>
      <c r="P383" s="1119"/>
      <c r="Q383" s="1107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266</v>
      </c>
      <c r="B384" s="1078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3"/>
      <c r="H384" s="948"/>
      <c r="I384" s="948"/>
      <c r="J384" s="948"/>
      <c r="K384" s="948"/>
      <c r="L384" s="1133"/>
      <c r="M384" s="1119"/>
      <c r="N384" s="1119"/>
      <c r="O384" s="1119"/>
      <c r="P384" s="1119"/>
      <c r="Q384" s="1107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271</v>
      </c>
      <c r="B385" s="927"/>
      <c r="C385" s="1121">
        <f>IF(C382="","",C382*C384)</f>
        <v>150</v>
      </c>
      <c r="D385" s="1121">
        <f>IF(D382="","",D382*D384)</f>
        <v>150</v>
      </c>
      <c r="E385" s="1121">
        <f>IF(E382="","",E382*E384)</f>
        <v>250</v>
      </c>
      <c r="F385" s="1121">
        <f>IF(F382="","",F382*F384)</f>
        <v>250</v>
      </c>
      <c r="G385" s="1090"/>
      <c r="H385" s="948"/>
      <c r="I385" s="948"/>
      <c r="J385" s="948"/>
      <c r="K385" s="948"/>
      <c r="L385" s="1090"/>
      <c r="M385" s="948"/>
      <c r="N385" s="948"/>
      <c r="O385" s="948"/>
      <c r="P385" s="948"/>
      <c r="Q385" s="1107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256</v>
      </c>
      <c r="B386" s="1105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0"/>
      <c r="H386" s="948"/>
      <c r="I386" s="948"/>
      <c r="J386" s="948"/>
      <c r="K386" s="948"/>
      <c r="L386" s="1090"/>
      <c r="M386" s="948"/>
      <c r="N386" s="948"/>
      <c r="O386" s="948"/>
      <c r="P386" s="948"/>
      <c r="Q386" s="1107"/>
      <c r="R386" s="882"/>
      <c r="S386" s="1014"/>
      <c r="T386" s="1014"/>
      <c r="U386" s="1046">
        <v>386</v>
      </c>
      <c r="V386" s="461"/>
    </row>
    <row r="387" spans="1:22" ht="15.75" customHeight="1">
      <c r="A387" s="1074" t="s">
        <v>257</v>
      </c>
      <c r="B387" s="1105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0"/>
      <c r="H387" s="284"/>
      <c r="I387" s="284"/>
      <c r="J387" s="284"/>
      <c r="K387" s="284"/>
      <c r="L387" s="1090"/>
      <c r="M387" s="948"/>
      <c r="N387" s="948"/>
      <c r="O387" s="948"/>
      <c r="P387" s="948"/>
      <c r="Q387" s="1107"/>
      <c r="R387" s="882"/>
      <c r="S387" s="1014"/>
      <c r="T387" s="1014"/>
      <c r="U387" s="1046">
        <v>387</v>
      </c>
      <c r="V387" s="461"/>
    </row>
    <row r="388" spans="1:22" ht="15.75" customHeight="1">
      <c r="A388" s="1075" t="s">
        <v>181</v>
      </c>
      <c r="B388" s="1105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0"/>
      <c r="H388" s="948"/>
      <c r="I388" s="948"/>
      <c r="J388" s="948"/>
      <c r="K388" s="948"/>
      <c r="L388" s="1090"/>
      <c r="M388" s="948"/>
      <c r="N388" s="948"/>
      <c r="O388" s="948"/>
      <c r="P388" s="948"/>
      <c r="Q388" s="1107"/>
      <c r="R388" s="1091"/>
      <c r="S388" s="1092"/>
      <c r="T388" s="1092"/>
      <c r="U388" s="1046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>
        <f>IF(SUM(E387)=0,"",E387*E388)</f>
        <v>400</v>
      </c>
      <c r="F389" s="1098">
        <f>IF(SUM(F387)=0,"",F387*F388)</f>
        <v>500</v>
      </c>
      <c r="G389" s="1144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82"/>
      <c r="S389" s="1014"/>
      <c r="T389" s="1014"/>
      <c r="U389" s="1046">
        <v>389</v>
      </c>
      <c r="V389" s="461"/>
    </row>
    <row r="390" spans="1:22" ht="15.75" customHeight="1">
      <c r="A390" s="1075" t="s">
        <v>258</v>
      </c>
      <c r="B390" s="1078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4"/>
      <c r="H390" s="284"/>
      <c r="I390" s="284"/>
      <c r="J390" s="284"/>
      <c r="K390" s="284"/>
      <c r="L390" s="1144"/>
      <c r="M390" s="948"/>
      <c r="N390" s="948"/>
      <c r="O390" s="948"/>
      <c r="P390" s="948"/>
      <c r="Q390" s="1107"/>
      <c r="R390" s="882"/>
      <c r="S390" s="1014"/>
      <c r="T390" s="1014"/>
      <c r="U390" s="1046">
        <v>390</v>
      </c>
      <c r="V390" s="461"/>
    </row>
    <row r="391" spans="1:22" ht="15.75" customHeight="1">
      <c r="A391" s="1099" t="s">
        <v>252</v>
      </c>
      <c r="B391" s="1078"/>
      <c r="C391" s="1125">
        <f>IF(C385="","",(C385-SUM(C387)-SUM(C390))*C386/C$46/365/$P$1)</f>
        <v>2.5393057285180574E-2</v>
      </c>
      <c r="D391" s="1125">
        <f>IF(D385="","",(D385-SUM(D387)-SUM(D390))*D386/D$46/365/$P$1)</f>
        <v>2.082230697384807E-2</v>
      </c>
      <c r="E391" s="1125">
        <f>IF(E385="","",(E385-SUM(E387)-SUM(E390))*E386/E$46/365/$P$1)</f>
        <v>2.0991594022415939E-2</v>
      </c>
      <c r="F391" s="1125">
        <f>IF(F385="","",(F385-SUM(F387)-SUM(F390))*F386/F$46/365/$P$1)</f>
        <v>2.2571606475716065E-2</v>
      </c>
      <c r="G391" s="1100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45"/>
      <c r="S391" s="1007"/>
      <c r="T391" s="1007"/>
      <c r="U391" s="1046">
        <v>391</v>
      </c>
      <c r="V391" s="461"/>
    </row>
    <row r="392" spans="1:22" s="1147" customFormat="1" ht="15.75" customHeight="1">
      <c r="A392" s="1137" t="str">
        <f>IF(Data!A392="","",Data!A392)</f>
        <v>Main cashcrop kg sold</v>
      </c>
      <c r="B392" s="1105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4"/>
      <c r="H392" s="948"/>
      <c r="I392" s="948"/>
      <c r="J392" s="948"/>
      <c r="K392" s="948"/>
      <c r="L392" s="1104"/>
      <c r="M392" s="1119"/>
      <c r="N392" s="1119"/>
      <c r="O392" s="1119"/>
      <c r="P392" s="1119"/>
      <c r="Q392" s="1120"/>
      <c r="R392" s="882"/>
      <c r="S392" s="1014"/>
      <c r="T392" s="1014"/>
      <c r="U392" s="1046">
        <v>392</v>
      </c>
      <c r="V392" s="1146"/>
    </row>
    <row r="393" spans="1:22" s="1147" customFormat="1" ht="15.75" customHeight="1">
      <c r="A393" s="1156" t="s">
        <v>181</v>
      </c>
      <c r="B393" s="1078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4"/>
      <c r="H393" s="948"/>
      <c r="I393" s="948"/>
      <c r="J393" s="948"/>
      <c r="K393" s="948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6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8"/>
      <c r="I394" s="948"/>
      <c r="J394" s="948"/>
      <c r="K394" s="948"/>
      <c r="L394" s="1150"/>
      <c r="M394" s="1119"/>
      <c r="N394" s="1119"/>
      <c r="O394" s="1119"/>
      <c r="P394" s="1119"/>
      <c r="Q394" s="1107"/>
      <c r="R394" s="882"/>
      <c r="S394" s="1014"/>
      <c r="T394" s="1014"/>
      <c r="U394" s="1046">
        <v>394</v>
      </c>
      <c r="V394" s="461"/>
    </row>
    <row r="395" spans="1:22" ht="15.75" customHeight="1">
      <c r="A395" s="1137" t="str">
        <f>IF(Data!A395="","",Data!A395)</f>
        <v>Spinach (cash): kg produced</v>
      </c>
      <c r="B395" s="1078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78"/>
      <c r="H395" s="948"/>
      <c r="I395" s="948"/>
      <c r="J395" s="948"/>
      <c r="K395" s="948"/>
      <c r="L395" s="1078"/>
      <c r="M395" s="1119"/>
      <c r="N395" s="1119"/>
      <c r="O395" s="1119"/>
      <c r="P395" s="1119"/>
      <c r="Q395" s="1107"/>
      <c r="R395" s="882"/>
      <c r="S395" s="1014"/>
      <c r="T395" s="1014"/>
      <c r="U395" s="1046">
        <v>395</v>
      </c>
      <c r="V395" s="461"/>
    </row>
    <row r="396" spans="1:22" ht="15.75" customHeight="1">
      <c r="A396" s="1075" t="s">
        <v>181</v>
      </c>
      <c r="B396" s="1078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1"/>
      <c r="H396" s="948"/>
      <c r="I396" s="948"/>
      <c r="J396" s="948"/>
      <c r="K396" s="948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6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>
        <f>IF(SUM(D395)=0,"",D395*D396)</f>
        <v>150</v>
      </c>
      <c r="E397" s="1098">
        <f>IF(SUM(E395)=0,"",E395*E396)</f>
        <v>100</v>
      </c>
      <c r="F397" s="1098">
        <f>IF(SUM(F395)=0,"",F395*F396)</f>
        <v>300</v>
      </c>
      <c r="G397" s="1105"/>
      <c r="H397" s="948"/>
      <c r="I397" s="948"/>
      <c r="J397" s="948"/>
      <c r="K397" s="948"/>
      <c r="L397" s="1105"/>
      <c r="M397" s="1119"/>
      <c r="N397" s="1119"/>
      <c r="O397" s="1119"/>
      <c r="P397" s="1119"/>
      <c r="Q397" s="1107"/>
      <c r="R397" s="882"/>
      <c r="S397" s="1014"/>
      <c r="T397" s="1014"/>
      <c r="U397" s="1046">
        <v>397</v>
      </c>
      <c r="V397" s="461"/>
    </row>
    <row r="398" spans="1:22" s="1147" customFormat="1" ht="15.75" customHeight="1">
      <c r="A398" s="1137" t="str">
        <f>IF(Data!A398="","",Data!A398)</f>
        <v>Lettuce (cash): kg produced (Lettuce)</v>
      </c>
      <c r="B398" s="1105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4"/>
      <c r="H398" s="948"/>
      <c r="I398" s="948"/>
      <c r="J398" s="948"/>
      <c r="K398" s="948"/>
      <c r="L398" s="1104"/>
      <c r="M398" s="1119"/>
      <c r="N398" s="1119"/>
      <c r="O398" s="1119"/>
      <c r="P398" s="1119"/>
      <c r="Q398" s="1120"/>
      <c r="R398" s="882"/>
      <c r="S398" s="1014"/>
      <c r="T398" s="1014"/>
      <c r="U398" s="1046">
        <v>398</v>
      </c>
      <c r="V398" s="1146"/>
    </row>
    <row r="399" spans="1:22" ht="15.75" customHeight="1">
      <c r="A399" s="1158" t="s">
        <v>181</v>
      </c>
      <c r="B399" s="1090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4"/>
      <c r="H399" s="948"/>
      <c r="I399" s="948"/>
      <c r="J399" s="948"/>
      <c r="K399" s="948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6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8"/>
      <c r="I400" s="948"/>
      <c r="J400" s="948"/>
      <c r="K400" s="948"/>
      <c r="L400" s="1105"/>
      <c r="M400" s="1119"/>
      <c r="N400" s="1119"/>
      <c r="O400" s="1119"/>
      <c r="P400" s="1119"/>
      <c r="Q400" s="1141"/>
      <c r="R400" s="882"/>
      <c r="S400" s="1014"/>
      <c r="T400" s="1014"/>
      <c r="U400" s="1046">
        <v>400</v>
      </c>
      <c r="V400" s="1142"/>
    </row>
    <row r="401" spans="1:22" ht="15.75" customHeight="1">
      <c r="A401" s="1137" t="str">
        <f>IF(Data!A401="","",Data!A401)</f>
        <v>Other cashcrop: kg produced</v>
      </c>
      <c r="B401" s="110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1"/>
      <c r="H401" s="948"/>
      <c r="I401" s="948"/>
      <c r="J401" s="948"/>
      <c r="K401" s="948"/>
      <c r="L401" s="1081"/>
      <c r="M401" s="1119"/>
      <c r="N401" s="1119"/>
      <c r="O401" s="1119"/>
      <c r="P401" s="1119"/>
      <c r="Q401" s="1107"/>
      <c r="R401" s="882"/>
      <c r="S401" s="1014"/>
      <c r="T401" s="1014"/>
      <c r="U401" s="1046">
        <v>401</v>
      </c>
      <c r="V401" s="461"/>
    </row>
    <row r="402" spans="1:22" s="1124" customFormat="1" ht="15.75" customHeight="1">
      <c r="A402" s="1075" t="s">
        <v>181</v>
      </c>
      <c r="B402" s="1078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1"/>
      <c r="H402" s="948"/>
      <c r="I402" s="948"/>
      <c r="J402" s="948"/>
      <c r="K402" s="948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6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7"/>
      <c r="H403" s="948"/>
      <c r="I403" s="948"/>
      <c r="J403" s="948"/>
      <c r="K403" s="948"/>
      <c r="L403" s="927"/>
      <c r="M403" s="1119"/>
      <c r="N403" s="1119"/>
      <c r="O403" s="1119"/>
      <c r="P403" s="1119"/>
      <c r="Q403" s="1107"/>
      <c r="R403" s="882"/>
      <c r="S403" s="1014"/>
      <c r="T403" s="1014"/>
      <c r="U403" s="1046">
        <v>403</v>
      </c>
      <c r="V403" s="461"/>
    </row>
    <row r="404" spans="1:22" ht="15.75" customHeight="1">
      <c r="A404" s="1137" t="str">
        <f>IF(Data!A404="","",Data!A404)</f>
        <v>Tomatoes (cash): kg produced</v>
      </c>
      <c r="B404" s="1078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1"/>
      <c r="H404" s="948"/>
      <c r="I404" s="948"/>
      <c r="J404" s="948"/>
      <c r="K404" s="948"/>
      <c r="L404" s="1081"/>
      <c r="M404" s="1119"/>
      <c r="N404" s="1119"/>
      <c r="O404" s="1119"/>
      <c r="P404" s="1119"/>
      <c r="Q404" s="1107"/>
      <c r="R404" s="882"/>
      <c r="S404" s="1014"/>
      <c r="T404" s="1014"/>
      <c r="U404" s="1046">
        <v>404</v>
      </c>
      <c r="V404" s="461"/>
    </row>
    <row r="405" spans="1:22" ht="15.75" customHeight="1">
      <c r="A405" s="1075" t="s">
        <v>181</v>
      </c>
      <c r="B405" s="1090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1"/>
      <c r="H405" s="948"/>
      <c r="I405" s="948"/>
      <c r="J405" s="948"/>
      <c r="K405" s="948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6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>
        <f>IF(SUM(F404)=0,"",F404*F405)</f>
        <v>500</v>
      </c>
      <c r="G406" s="927"/>
      <c r="H406" s="948"/>
      <c r="I406" s="948"/>
      <c r="J406" s="948"/>
      <c r="K406" s="948"/>
      <c r="L406" s="927"/>
      <c r="M406" s="1119"/>
      <c r="N406" s="1119"/>
      <c r="O406" s="1119"/>
      <c r="P406" s="1119"/>
      <c r="Q406" s="1107"/>
      <c r="R406" s="882"/>
      <c r="S406" s="1014"/>
      <c r="T406" s="1014"/>
      <c r="U406" s="1046">
        <v>406</v>
      </c>
      <c r="V406" s="461"/>
    </row>
    <row r="407" spans="1:22" ht="15.75" customHeight="1">
      <c r="A407" s="1137" t="str">
        <f>IF(Data!A407="","",Data!A407)</f>
        <v>Cabbage (cash): kg produced</v>
      </c>
      <c r="B407" s="1078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1"/>
      <c r="H407" s="948"/>
      <c r="I407" s="948"/>
      <c r="J407" s="948"/>
      <c r="K407" s="948"/>
      <c r="L407" s="1081"/>
      <c r="M407" s="1119"/>
      <c r="N407" s="1119"/>
      <c r="O407" s="1119"/>
      <c r="P407" s="1119"/>
      <c r="Q407" s="1107"/>
      <c r="R407" s="882"/>
      <c r="S407" s="1014"/>
      <c r="T407" s="1014"/>
      <c r="U407" s="1046">
        <v>407</v>
      </c>
      <c r="V407" s="461"/>
    </row>
    <row r="408" spans="1:22" ht="15.75" customHeight="1">
      <c r="A408" s="1075" t="s">
        <v>181</v>
      </c>
      <c r="B408" s="1078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1"/>
      <c r="H408" s="948"/>
      <c r="I408" s="948"/>
      <c r="J408" s="948"/>
      <c r="K408" s="948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6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>
        <f>IF(SUM(F407)=0,"",F407*F408)</f>
        <v>300</v>
      </c>
      <c r="G409" s="927"/>
      <c r="H409" s="948"/>
      <c r="I409" s="948"/>
      <c r="J409" s="948"/>
      <c r="K409" s="948"/>
      <c r="L409" s="927"/>
      <c r="M409" s="1119"/>
      <c r="N409" s="1119"/>
      <c r="O409" s="1119"/>
      <c r="P409" s="1119"/>
      <c r="Q409" s="1141"/>
      <c r="R409" s="882"/>
      <c r="S409" s="1014"/>
      <c r="T409" s="1014"/>
      <c r="U409" s="1046">
        <v>409</v>
      </c>
      <c r="V409" s="1142"/>
    </row>
    <row r="410" spans="1:22" ht="15.75" customHeight="1">
      <c r="A410" s="1137" t="str">
        <f>IF(Data!A410="","",Data!A410)</f>
        <v>Carrots (cash): kg produced</v>
      </c>
      <c r="B410" s="1078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1"/>
      <c r="H410" s="948"/>
      <c r="I410" s="948"/>
      <c r="J410" s="948"/>
      <c r="K410" s="948"/>
      <c r="L410" s="1081"/>
      <c r="M410" s="1119"/>
      <c r="N410" s="1119"/>
      <c r="O410" s="1119"/>
      <c r="P410" s="1119"/>
      <c r="Q410" s="1107"/>
      <c r="R410" s="882"/>
      <c r="S410" s="1014"/>
      <c r="T410" s="1014"/>
      <c r="U410" s="1046">
        <v>410</v>
      </c>
      <c r="V410" s="461"/>
    </row>
    <row r="411" spans="1:22" ht="15.75" customHeight="1">
      <c r="A411" s="1075" t="s">
        <v>181</v>
      </c>
      <c r="B411" s="1090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1"/>
      <c r="H411" s="948"/>
      <c r="I411" s="948"/>
      <c r="J411" s="948"/>
      <c r="K411" s="948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6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7"/>
      <c r="H412" s="948"/>
      <c r="I412" s="948"/>
      <c r="J412" s="948"/>
      <c r="K412" s="948"/>
      <c r="L412" s="927"/>
      <c r="M412" s="1119"/>
      <c r="N412" s="1119"/>
      <c r="O412" s="1119"/>
      <c r="P412" s="1119"/>
      <c r="Q412" s="1141"/>
      <c r="R412" s="882"/>
      <c r="S412" s="1014"/>
      <c r="T412" s="1014"/>
      <c r="U412" s="1046">
        <v>412</v>
      </c>
      <c r="V412" s="1142"/>
    </row>
    <row r="413" spans="1:22" ht="15.75" customHeight="1">
      <c r="A413" s="1137" t="str">
        <f>IF(Data!A413="","",Data!A413)</f>
        <v>Straw: quantity sold</v>
      </c>
      <c r="B413" s="1078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1"/>
      <c r="H413" s="284"/>
      <c r="I413" s="284"/>
      <c r="J413" s="284"/>
      <c r="K413" s="284"/>
      <c r="L413" s="1081"/>
      <c r="M413" s="948"/>
      <c r="N413" s="948"/>
      <c r="O413" s="948"/>
      <c r="P413" s="948"/>
      <c r="Q413" s="1107"/>
      <c r="R413" s="882"/>
      <c r="S413" s="1014"/>
      <c r="T413" s="1014"/>
      <c r="U413" s="1046">
        <v>413</v>
      </c>
      <c r="V413" s="461"/>
    </row>
    <row r="414" spans="1:22" ht="15.75" customHeight="1">
      <c r="A414" s="1075" t="s">
        <v>181</v>
      </c>
      <c r="B414" s="1078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1"/>
      <c r="H414" s="948"/>
      <c r="I414" s="948"/>
      <c r="J414" s="948"/>
      <c r="K414" s="948"/>
      <c r="L414" s="1081"/>
      <c r="M414" s="948"/>
      <c r="N414" s="948"/>
      <c r="O414" s="948"/>
      <c r="P414" s="948"/>
      <c r="Q414" s="1107"/>
      <c r="R414" s="1091"/>
      <c r="S414" s="1092"/>
      <c r="T414" s="1092"/>
      <c r="U414" s="1046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82"/>
      <c r="S415" s="1014"/>
      <c r="T415" s="1014"/>
      <c r="U415" s="1046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1"/>
      <c r="H416" s="284"/>
      <c r="I416" s="284"/>
      <c r="J416" s="284"/>
      <c r="K416" s="284"/>
      <c r="L416" s="1081"/>
      <c r="M416" s="948"/>
      <c r="N416" s="948"/>
      <c r="O416" s="948"/>
      <c r="P416" s="948"/>
      <c r="Q416" s="1107"/>
      <c r="R416" s="882"/>
      <c r="S416" s="1014"/>
      <c r="T416" s="1014"/>
      <c r="U416" s="1046">
        <v>416</v>
      </c>
      <c r="V416" s="461"/>
    </row>
    <row r="417" spans="1:22" ht="15.75" customHeight="1">
      <c r="A417" s="1075" t="s">
        <v>181</v>
      </c>
      <c r="B417" s="1090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78"/>
      <c r="H417" s="948"/>
      <c r="I417" s="948"/>
      <c r="J417" s="948"/>
      <c r="K417" s="948"/>
      <c r="L417" s="1078"/>
      <c r="M417" s="948"/>
      <c r="N417" s="948"/>
      <c r="O417" s="948"/>
      <c r="P417" s="948"/>
      <c r="Q417" s="1107"/>
      <c r="R417" s="1091"/>
      <c r="S417" s="1092"/>
      <c r="T417" s="1092"/>
      <c r="U417" s="1046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82"/>
      <c r="S418" s="1014"/>
      <c r="T418" s="1014"/>
      <c r="U418" s="1046">
        <v>418</v>
      </c>
      <c r="V418" s="461"/>
    </row>
    <row r="419" spans="1:22" ht="15.75" customHeight="1">
      <c r="A419" s="1137" t="str">
        <f>IF(Data!A419="","",Data!A419)</f>
        <v>Beetroot (cash): type</v>
      </c>
      <c r="B419" s="1078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3"/>
      <c r="H419" s="948"/>
      <c r="I419" s="948"/>
      <c r="J419" s="948"/>
      <c r="K419" s="948"/>
      <c r="L419" s="1153"/>
      <c r="M419" s="1139"/>
      <c r="N419" s="1139"/>
      <c r="O419" s="1139"/>
      <c r="P419" s="1139"/>
      <c r="Q419" s="1107"/>
      <c r="R419" s="843"/>
      <c r="S419" s="843"/>
      <c r="T419" s="843"/>
      <c r="U419" s="1046">
        <v>419</v>
      </c>
      <c r="V419" s="461"/>
    </row>
    <row r="420" spans="1:22" s="1147" customFormat="1" ht="15.75" customHeight="1">
      <c r="A420" s="1158" t="s">
        <v>276</v>
      </c>
      <c r="B420" s="1078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4"/>
      <c r="H420" s="284"/>
      <c r="I420" s="284"/>
      <c r="J420" s="284"/>
      <c r="K420" s="284"/>
      <c r="L420" s="1154"/>
      <c r="M420" s="1119"/>
      <c r="N420" s="1119"/>
      <c r="O420" s="1119"/>
      <c r="P420" s="1119"/>
      <c r="Q420" s="1120"/>
      <c r="R420" s="882"/>
      <c r="S420" s="1014"/>
      <c r="T420" s="1014"/>
      <c r="U420" s="1046">
        <v>420</v>
      </c>
      <c r="V420" s="1146"/>
    </row>
    <row r="421" spans="1:22" s="1147" customFormat="1" ht="15.75" customHeight="1">
      <c r="A421" s="1156" t="s">
        <v>181</v>
      </c>
      <c r="B421" s="1078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4"/>
      <c r="H421" s="948"/>
      <c r="I421" s="948"/>
      <c r="J421" s="948"/>
      <c r="K421" s="948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6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82"/>
      <c r="S422" s="1014"/>
      <c r="T422" s="1014"/>
      <c r="U422" s="1046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3"/>
      <c r="H423" s="948"/>
      <c r="I423" s="948"/>
      <c r="J423" s="948"/>
      <c r="K423" s="948"/>
      <c r="L423" s="1153"/>
      <c r="M423" s="1139"/>
      <c r="N423" s="1139"/>
      <c r="O423" s="1139"/>
      <c r="P423" s="1139"/>
      <c r="Q423" s="1107"/>
      <c r="R423" s="843"/>
      <c r="S423" s="843"/>
      <c r="T423" s="843"/>
      <c r="U423" s="1046">
        <v>423</v>
      </c>
      <c r="V423" s="461"/>
    </row>
    <row r="424" spans="1:22" s="1147" customFormat="1" ht="15.75" customHeight="1">
      <c r="A424" s="1158" t="s">
        <v>276</v>
      </c>
      <c r="B424" s="1078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4"/>
      <c r="H424" s="284"/>
      <c r="I424" s="284"/>
      <c r="J424" s="284"/>
      <c r="K424" s="284"/>
      <c r="L424" s="1154"/>
      <c r="M424" s="1119"/>
      <c r="N424" s="1119"/>
      <c r="O424" s="1119"/>
      <c r="P424" s="1119"/>
      <c r="Q424" s="1120"/>
      <c r="R424" s="882"/>
      <c r="S424" s="1014"/>
      <c r="T424" s="1014"/>
      <c r="U424" s="1046">
        <v>424</v>
      </c>
      <c r="V424" s="1146"/>
    </row>
    <row r="425" spans="1:22" s="1147" customFormat="1" ht="15.75" customHeight="1">
      <c r="A425" s="1156" t="s">
        <v>181</v>
      </c>
      <c r="B425" s="1078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4"/>
      <c r="H425" s="948"/>
      <c r="I425" s="948"/>
      <c r="J425" s="948"/>
      <c r="K425" s="948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6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82"/>
      <c r="S426" s="1014"/>
      <c r="T426" s="1014"/>
      <c r="U426" s="1046">
        <v>426</v>
      </c>
      <c r="V426" s="1123"/>
    </row>
    <row r="427" spans="1:22" s="1124" customFormat="1" ht="15.75" customHeight="1">
      <c r="A427" s="1165" t="s">
        <v>277</v>
      </c>
      <c r="B427" s="1078"/>
      <c r="C427" s="751"/>
      <c r="D427" s="751"/>
      <c r="E427" s="751"/>
      <c r="F427" s="751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82"/>
      <c r="S427" s="1014"/>
      <c r="T427" s="1014"/>
      <c r="U427" s="1046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3"/>
      <c r="H428" s="948"/>
      <c r="I428" s="948"/>
      <c r="J428" s="948"/>
      <c r="K428" s="948"/>
      <c r="L428" s="1133"/>
      <c r="M428" s="1119"/>
      <c r="N428" s="1119"/>
      <c r="O428" s="1119"/>
      <c r="P428" s="1119"/>
      <c r="Q428" s="1107"/>
      <c r="R428" s="882"/>
      <c r="S428" s="1014"/>
      <c r="T428" s="1014"/>
      <c r="U428" s="1046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8"/>
      <c r="I429" s="948"/>
      <c r="J429" s="948"/>
      <c r="K429" s="948"/>
      <c r="L429" s="1133"/>
      <c r="M429" s="1119"/>
      <c r="N429" s="1119"/>
      <c r="O429" s="1119"/>
      <c r="P429" s="1119"/>
      <c r="Q429" s="1107"/>
      <c r="R429" s="843"/>
      <c r="S429" s="843"/>
      <c r="T429" s="843"/>
      <c r="U429" s="1046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8"/>
      <c r="I430" s="948"/>
      <c r="J430" s="948"/>
      <c r="K430" s="948"/>
      <c r="L430" s="1133"/>
      <c r="M430" s="1119"/>
      <c r="N430" s="1119"/>
      <c r="O430" s="1119"/>
      <c r="P430" s="1119"/>
      <c r="Q430" s="1107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8"/>
      <c r="I431" s="948"/>
      <c r="J431" s="948"/>
      <c r="K431" s="948"/>
      <c r="L431" s="1090"/>
      <c r="M431" s="948"/>
      <c r="N431" s="948"/>
      <c r="O431" s="948"/>
      <c r="P431" s="948"/>
      <c r="Q431" s="1107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3" t="s">
        <v>256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8"/>
      <c r="I432" s="948"/>
      <c r="J432" s="948"/>
      <c r="K432" s="948"/>
      <c r="L432" s="1090"/>
      <c r="M432" s="948"/>
      <c r="N432" s="948"/>
      <c r="O432" s="948"/>
      <c r="P432" s="948"/>
      <c r="Q432" s="1107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2" t="s">
        <v>257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4"/>
      <c r="I433" s="284"/>
      <c r="J433" s="284"/>
      <c r="K433" s="284"/>
      <c r="L433" s="1090"/>
      <c r="M433" s="948"/>
      <c r="N433" s="948"/>
      <c r="O433" s="948"/>
      <c r="P433" s="948"/>
      <c r="Q433" s="1107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8"/>
      <c r="I434" s="948"/>
      <c r="J434" s="948"/>
      <c r="K434" s="948"/>
      <c r="L434" s="1090"/>
      <c r="M434" s="948"/>
      <c r="N434" s="948"/>
      <c r="O434" s="948"/>
      <c r="P434" s="948"/>
      <c r="Q434" s="1107"/>
      <c r="R434" s="1091"/>
      <c r="S434" s="1092"/>
      <c r="T434" s="1092"/>
      <c r="U434" s="1046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3'!DP100</f>
        <v>0</v>
      </c>
      <c r="I435" s="1121">
        <f>'Data 3'!DQ100</f>
        <v>0</v>
      </c>
      <c r="J435" s="1121">
        <f>'Data 3'!DR100</f>
        <v>0</v>
      </c>
      <c r="K435" s="1121">
        <f>'Data 3'!DS100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82"/>
      <c r="S435" s="1014"/>
      <c r="T435" s="1014"/>
      <c r="U435" s="1046">
        <v>435</v>
      </c>
      <c r="V435" s="46"/>
    </row>
    <row r="436" spans="1:22" ht="15.75" customHeight="1">
      <c r="A436" s="1075" t="s">
        <v>258</v>
      </c>
      <c r="B436" s="1105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4"/>
      <c r="H436" s="1129"/>
      <c r="I436" s="1129"/>
      <c r="J436" s="1129"/>
      <c r="K436" s="1129"/>
      <c r="L436" s="1144"/>
      <c r="M436" s="948"/>
      <c r="N436" s="948"/>
      <c r="O436" s="948"/>
      <c r="P436" s="948"/>
      <c r="Q436" s="1107"/>
      <c r="R436" s="882"/>
      <c r="S436" s="1014"/>
      <c r="T436" s="1014"/>
      <c r="U436" s="1046">
        <v>436</v>
      </c>
      <c r="V436" s="46"/>
    </row>
    <row r="437" spans="1:22" ht="15.75" customHeight="1">
      <c r="A437" s="1099" t="s">
        <v>252</v>
      </c>
      <c r="B437" s="1090"/>
      <c r="C437" s="1125">
        <f>IF(Data!BV437="","",Data!BV437)</f>
        <v>0</v>
      </c>
      <c r="D437" s="1125">
        <f>IF(Data!BW437="","",Data!BW437)</f>
        <v>0</v>
      </c>
      <c r="E437" s="1125">
        <f>IF(Data!BX437="","",Data!BX437)</f>
        <v>0</v>
      </c>
      <c r="F437" s="1125">
        <f>IF(Data!BY437="","",Data!BY437)</f>
        <v>1.1706102117061022E-2</v>
      </c>
      <c r="G437" s="1100"/>
      <c r="H437" s="1125">
        <f>'Data 3'!DP101</f>
        <v>0</v>
      </c>
      <c r="I437" s="1125">
        <f>'Data 3'!DQ101</f>
        <v>0</v>
      </c>
      <c r="J437" s="1125">
        <f>'Data 3'!DR101</f>
        <v>0</v>
      </c>
      <c r="K437" s="1125">
        <f>'Data 3'!DS101</f>
        <v>0</v>
      </c>
      <c r="L437" s="1100"/>
      <c r="M437" s="1126">
        <f>IF(H437="","",SUM(H437)-SUM(C437))</f>
        <v>0</v>
      </c>
      <c r="N437" s="1126">
        <f>IF(I437="","",SUM(I437)-SUM(D437))</f>
        <v>0</v>
      </c>
      <c r="O437" s="1126">
        <f>IF(J437="","",SUM(J437)-SUM(E437))</f>
        <v>0</v>
      </c>
      <c r="P437" s="1126">
        <f>IF(K437="","",SUM(K437)-SUM(F437))</f>
        <v>-1.1706102117061022E-2</v>
      </c>
      <c r="Q437" s="1107"/>
      <c r="R437" s="1045"/>
      <c r="S437" s="1007"/>
      <c r="T437" s="1007"/>
      <c r="U437" s="1046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3"/>
      <c r="H438" s="948"/>
      <c r="I438" s="948"/>
      <c r="J438" s="948"/>
      <c r="K438" s="948"/>
      <c r="L438" s="1133"/>
      <c r="M438" s="1119"/>
      <c r="N438" s="1119"/>
      <c r="O438" s="1119"/>
      <c r="P438" s="1119"/>
      <c r="Q438" s="1107"/>
      <c r="R438" s="882"/>
      <c r="S438" s="1014"/>
      <c r="T438" s="1014"/>
      <c r="U438" s="1046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8"/>
      <c r="I439" s="948"/>
      <c r="J439" s="948"/>
      <c r="K439" s="948"/>
      <c r="L439" s="1133"/>
      <c r="M439" s="1119"/>
      <c r="N439" s="1119"/>
      <c r="O439" s="1119"/>
      <c r="P439" s="1119"/>
      <c r="Q439" s="1107"/>
      <c r="R439" s="843"/>
      <c r="S439" s="843"/>
      <c r="T439" s="843"/>
      <c r="U439" s="1046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8"/>
      <c r="I440" s="948"/>
      <c r="J440" s="948"/>
      <c r="K440" s="948"/>
      <c r="L440" s="1133"/>
      <c r="M440" s="1119"/>
      <c r="N440" s="1119"/>
      <c r="O440" s="1119"/>
      <c r="P440" s="1119"/>
      <c r="Q440" s="1107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8"/>
      <c r="I441" s="948"/>
      <c r="J441" s="948"/>
      <c r="K441" s="948"/>
      <c r="L441" s="1090"/>
      <c r="M441" s="948"/>
      <c r="N441" s="948"/>
      <c r="O441" s="948"/>
      <c r="P441" s="948"/>
      <c r="Q441" s="1107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3" t="s">
        <v>256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8"/>
      <c r="I442" s="948"/>
      <c r="J442" s="948"/>
      <c r="K442" s="948"/>
      <c r="L442" s="1090"/>
      <c r="M442" s="948"/>
      <c r="N442" s="948"/>
      <c r="O442" s="948"/>
      <c r="P442" s="948"/>
      <c r="Q442" s="1107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2" t="s">
        <v>257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4"/>
      <c r="I443" s="284"/>
      <c r="J443" s="284"/>
      <c r="K443" s="284"/>
      <c r="L443" s="1090"/>
      <c r="M443" s="948"/>
      <c r="N443" s="948"/>
      <c r="O443" s="948"/>
      <c r="P443" s="948"/>
      <c r="Q443" s="1107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8"/>
      <c r="I444" s="948"/>
      <c r="J444" s="948"/>
      <c r="K444" s="948"/>
      <c r="L444" s="1090"/>
      <c r="M444" s="948"/>
      <c r="N444" s="948"/>
      <c r="O444" s="948"/>
      <c r="P444" s="948"/>
      <c r="Q444" s="1107"/>
      <c r="R444" s="1091"/>
      <c r="S444" s="1092"/>
      <c r="T444" s="1092"/>
      <c r="U444" s="1046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f>'Data 3'!DP139</f>
        <v>0</v>
      </c>
      <c r="I445" s="1121">
        <f>'Data 3'!DQ139</f>
        <v>0</v>
      </c>
      <c r="J445" s="1121">
        <f>'Data 3'!DR139</f>
        <v>0</v>
      </c>
      <c r="K445" s="1121">
        <f>'Data 3'!DS139</f>
        <v>0</v>
      </c>
      <c r="L445" s="1144"/>
      <c r="M445" s="1098">
        <f>IF(H445="","",SUM(H445)-SUM(C445))</f>
        <v>0</v>
      </c>
      <c r="N445" s="1098">
        <f>IF(I445="","",SUM(I445)-SUM(D445))</f>
        <v>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82"/>
      <c r="S445" s="1014"/>
      <c r="T445" s="1014"/>
      <c r="U445" s="1046">
        <v>445</v>
      </c>
      <c r="V445" s="46"/>
    </row>
    <row r="446" spans="1:22" ht="15.75" customHeight="1">
      <c r="A446" s="1075" t="s">
        <v>258</v>
      </c>
      <c r="B446" s="1090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4"/>
      <c r="H446" s="1129"/>
      <c r="I446" s="1129"/>
      <c r="J446" s="1129"/>
      <c r="K446" s="1129"/>
      <c r="L446" s="1144"/>
      <c r="M446" s="948"/>
      <c r="N446" s="948"/>
      <c r="O446" s="948"/>
      <c r="P446" s="948"/>
      <c r="Q446" s="1107"/>
      <c r="R446" s="882"/>
      <c r="S446" s="1014"/>
      <c r="T446" s="1014"/>
      <c r="U446" s="1046">
        <v>446</v>
      </c>
      <c r="V446" s="46"/>
    </row>
    <row r="447" spans="1:22" ht="15.75" customHeight="1">
      <c r="A447" s="1099" t="s">
        <v>252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f>'Data 3'!DP140</f>
        <v>0</v>
      </c>
      <c r="I447" s="1125">
        <f>'Data 3'!DQ140</f>
        <v>0</v>
      </c>
      <c r="J447" s="1125">
        <f>'Data 3'!DR140</f>
        <v>0</v>
      </c>
      <c r="K447" s="1125">
        <f>'Data 3'!DS140</f>
        <v>0</v>
      </c>
      <c r="L447" s="1100"/>
      <c r="M447" s="1126">
        <f>IF(H447="","",SUM(H447)-SUM(C447))</f>
        <v>0</v>
      </c>
      <c r="N447" s="1126">
        <f>IF(I447="","",SUM(I447)-SUM(D447))</f>
        <v>0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45"/>
      <c r="S447" s="1007"/>
      <c r="T447" s="1007"/>
      <c r="U447" s="1046">
        <v>447</v>
      </c>
      <c r="V447" s="46"/>
    </row>
    <row r="448" spans="1:22" ht="15.75" customHeight="1">
      <c r="A448" s="1165" t="s">
        <v>280</v>
      </c>
      <c r="B448" s="1078"/>
      <c r="C448" s="751"/>
      <c r="D448" s="751"/>
      <c r="E448" s="751"/>
      <c r="F448" s="990"/>
      <c r="G448" s="1081"/>
      <c r="H448" s="948"/>
      <c r="I448" s="948"/>
      <c r="J448" s="948"/>
      <c r="K448" s="948"/>
      <c r="L448" s="1081"/>
      <c r="M448" s="948"/>
      <c r="N448" s="948"/>
      <c r="O448" s="948"/>
      <c r="P448" s="948"/>
      <c r="Q448" s="1107"/>
      <c r="R448" s="843"/>
      <c r="S448" s="843"/>
      <c r="T448" s="843"/>
      <c r="U448" s="1046">
        <v>448</v>
      </c>
      <c r="V448" s="461"/>
    </row>
    <row r="449" spans="1:22" ht="15.75" customHeight="1">
      <c r="A449" s="1366" t="str">
        <f>IF(Data!A449="","",Data!A449)</f>
        <v>Maize meal purchase</v>
      </c>
      <c r="B449" s="1078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1"/>
      <c r="H449" s="948"/>
      <c r="I449" s="948"/>
      <c r="J449" s="948"/>
      <c r="K449" s="948"/>
      <c r="L449" s="1081"/>
      <c r="M449" s="948"/>
      <c r="N449" s="948"/>
      <c r="O449" s="948"/>
      <c r="P449" s="948"/>
      <c r="Q449" s="1107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266</v>
      </c>
      <c r="B450" s="1090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1"/>
      <c r="H450" s="948"/>
      <c r="I450" s="948"/>
      <c r="J450" s="948"/>
      <c r="K450" s="948"/>
      <c r="L450" s="1081"/>
      <c r="M450" s="948"/>
      <c r="N450" s="948"/>
      <c r="O450" s="948"/>
      <c r="P450" s="948"/>
      <c r="Q450" s="1107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282</v>
      </c>
      <c r="B451" s="1090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1"/>
      <c r="H451" s="948"/>
      <c r="I451" s="948"/>
      <c r="J451" s="948"/>
      <c r="K451" s="948"/>
      <c r="L451" s="1081"/>
      <c r="M451" s="948"/>
      <c r="N451" s="948"/>
      <c r="O451" s="948"/>
      <c r="P451" s="948"/>
      <c r="Q451" s="1107"/>
      <c r="R451" s="882"/>
      <c r="S451" s="1014"/>
      <c r="T451" s="1014"/>
      <c r="U451" s="1046">
        <v>451</v>
      </c>
      <c r="V451" s="461"/>
    </row>
    <row r="452" spans="1:22" ht="15.75" customHeight="1">
      <c r="A452" s="1099" t="s">
        <v>283</v>
      </c>
      <c r="B452" s="1078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78"/>
      <c r="H452" s="948"/>
      <c r="I452" s="948"/>
      <c r="J452" s="948"/>
      <c r="K452" s="948"/>
      <c r="L452" s="1078"/>
      <c r="M452" s="948"/>
      <c r="N452" s="948"/>
      <c r="O452" s="948"/>
      <c r="P452" s="948"/>
      <c r="Q452" s="1107"/>
      <c r="R452" s="882"/>
      <c r="S452" s="1014"/>
      <c r="T452" s="1014"/>
      <c r="U452" s="1046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600</v>
      </c>
      <c r="E453" s="1121">
        <f>IF(E451="","",E450*E451*E452)</f>
        <v>600</v>
      </c>
      <c r="F453" s="1121">
        <f>IF(F451="","",F450*F451*F452)</f>
        <v>600</v>
      </c>
      <c r="G453" s="1105"/>
      <c r="H453" s="948"/>
      <c r="I453" s="948"/>
      <c r="J453" s="948"/>
      <c r="K453" s="948"/>
      <c r="L453" s="1105"/>
      <c r="M453" s="948"/>
      <c r="N453" s="948"/>
      <c r="O453" s="948"/>
      <c r="P453" s="948"/>
      <c r="Q453" s="1107"/>
      <c r="R453" s="882"/>
      <c r="S453" s="1014"/>
      <c r="T453" s="1014"/>
      <c r="U453" s="1046">
        <v>453</v>
      </c>
      <c r="V453" s="461"/>
    </row>
    <row r="454" spans="1:22" ht="15.75" customHeight="1">
      <c r="A454" s="1148" t="s">
        <v>292</v>
      </c>
      <c r="B454" s="1078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05"/>
      <c r="H454" s="948"/>
      <c r="I454" s="948"/>
      <c r="J454" s="948"/>
      <c r="K454" s="948"/>
      <c r="L454" s="1105"/>
      <c r="M454" s="948"/>
      <c r="N454" s="948"/>
      <c r="O454" s="948"/>
      <c r="P454" s="948"/>
      <c r="Q454" s="1107"/>
      <c r="R454" s="882"/>
      <c r="S454" s="1014"/>
      <c r="T454" s="1014"/>
      <c r="U454" s="1046">
        <v>454</v>
      </c>
      <c r="V454" s="461"/>
    </row>
    <row r="455" spans="1:22" ht="15.75" customHeight="1">
      <c r="A455" s="1099" t="s">
        <v>252</v>
      </c>
      <c r="B455" s="1078"/>
      <c r="C455" s="1367">
        <f>IF(C453="","",C453*C454/C$46/365/$P$1)</f>
        <v>0.35389669987546701</v>
      </c>
      <c r="D455" s="1367">
        <f>IF(D453="","",D453*D454/D$46/365/$P$1)</f>
        <v>0.35389669987546701</v>
      </c>
      <c r="E455" s="1367">
        <f>IF(E453="","",E453*E454/E$46/365/$P$1)</f>
        <v>0.35389669987546701</v>
      </c>
      <c r="F455" s="1367">
        <f>IF(F453="","",F453*F454/F$46/365/$P$1)</f>
        <v>0.31457484433374844</v>
      </c>
      <c r="G455" s="1090"/>
      <c r="H455" s="948"/>
      <c r="I455" s="948"/>
      <c r="J455" s="948"/>
      <c r="K455" s="948"/>
      <c r="L455" s="1090"/>
      <c r="M455" s="948"/>
      <c r="N455" s="948"/>
      <c r="O455" s="948"/>
      <c r="P455" s="948"/>
      <c r="Q455" s="1107"/>
      <c r="R455" s="1045"/>
      <c r="S455" s="1007"/>
      <c r="T455" s="1007"/>
      <c r="U455" s="1046">
        <v>455</v>
      </c>
      <c r="V455" s="461"/>
    </row>
    <row r="456" spans="1:22" ht="15.75" customHeight="1">
      <c r="A456" s="1166" t="s">
        <v>285</v>
      </c>
      <c r="B456" s="1090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3"/>
      <c r="H456" s="948"/>
      <c r="I456" s="948"/>
      <c r="J456" s="948"/>
      <c r="K456" s="948"/>
      <c r="L456" s="1103"/>
      <c r="M456" s="948"/>
      <c r="N456" s="948"/>
      <c r="O456" s="948"/>
      <c r="P456" s="948"/>
      <c r="Q456" s="1107"/>
      <c r="R456" s="1091"/>
      <c r="S456" s="1092"/>
      <c r="T456" s="1092"/>
      <c r="U456" s="1046">
        <v>456</v>
      </c>
      <c r="V456" s="461"/>
    </row>
    <row r="457" spans="1:22" ht="15.75" customHeight="1">
      <c r="A457" s="1099" t="s">
        <v>286</v>
      </c>
      <c r="B457" s="1078"/>
      <c r="C457" s="1121">
        <f>IF(C456="","",C451*C452*C456)</f>
        <v>2400</v>
      </c>
      <c r="D457" s="1121">
        <f>IF(D456="","",D451*D452*D456)</f>
        <v>2400</v>
      </c>
      <c r="E457" s="1121">
        <f>IF(E456="","",E451*E452*E456)</f>
        <v>2520</v>
      </c>
      <c r="F457" s="1121">
        <f>IF(F456="","",F451*F452*F456)</f>
        <v>2520</v>
      </c>
      <c r="G457" s="1105"/>
      <c r="H457" s="948"/>
      <c r="I457" s="948"/>
      <c r="J457" s="948"/>
      <c r="K457" s="948"/>
      <c r="L457" s="1105"/>
      <c r="M457" s="948"/>
      <c r="N457" s="948"/>
      <c r="O457" s="948"/>
      <c r="P457" s="948"/>
      <c r="Q457" s="1107"/>
      <c r="R457" s="882"/>
      <c r="S457" s="1014"/>
      <c r="T457" s="1014"/>
      <c r="U457" s="1046">
        <v>457</v>
      </c>
      <c r="V457" s="461"/>
    </row>
    <row r="458" spans="1:22" ht="15.75" customHeight="1">
      <c r="A458" s="1366" t="str">
        <f>IF(Data!A458="","",Data!A458)</f>
        <v>Maize samp purchase</v>
      </c>
      <c r="B458" s="1078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05"/>
      <c r="H458" s="948"/>
      <c r="I458" s="948"/>
      <c r="J458" s="948"/>
      <c r="K458" s="948"/>
      <c r="L458" s="1105"/>
      <c r="M458" s="948"/>
      <c r="N458" s="948"/>
      <c r="O458" s="948"/>
      <c r="P458" s="948"/>
      <c r="Q458" s="1107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266</v>
      </c>
      <c r="B459" s="1078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05"/>
      <c r="H459" s="948"/>
      <c r="I459" s="948"/>
      <c r="J459" s="948"/>
      <c r="K459" s="948"/>
      <c r="L459" s="1105"/>
      <c r="M459" s="948"/>
      <c r="N459" s="948"/>
      <c r="O459" s="948"/>
      <c r="P459" s="948"/>
      <c r="Q459" s="1107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282</v>
      </c>
      <c r="B460" s="1078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05"/>
      <c r="H460" s="948"/>
      <c r="I460" s="948"/>
      <c r="J460" s="948"/>
      <c r="K460" s="948"/>
      <c r="L460" s="1105"/>
      <c r="M460" s="948"/>
      <c r="N460" s="948"/>
      <c r="O460" s="948"/>
      <c r="P460" s="948"/>
      <c r="Q460" s="1107"/>
      <c r="R460" s="882"/>
      <c r="S460" s="1014"/>
      <c r="T460" s="1014"/>
      <c r="U460" s="1046">
        <v>460</v>
      </c>
      <c r="V460" s="461"/>
    </row>
    <row r="461" spans="1:22" ht="15.75" customHeight="1">
      <c r="A461" s="1099" t="s">
        <v>283</v>
      </c>
      <c r="B461" s="1081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05"/>
      <c r="H461" s="948"/>
      <c r="I461" s="948"/>
      <c r="J461" s="948"/>
      <c r="K461" s="948"/>
      <c r="L461" s="1105"/>
      <c r="M461" s="948"/>
      <c r="N461" s="948"/>
      <c r="O461" s="948"/>
      <c r="P461" s="948"/>
      <c r="Q461" s="1107"/>
      <c r="R461" s="882"/>
      <c r="S461" s="1014"/>
      <c r="T461" s="1014"/>
      <c r="U461" s="1046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110</v>
      </c>
      <c r="E462" s="1121">
        <f>IF(E460="","",E459*E460*E461)</f>
        <v>100</v>
      </c>
      <c r="F462" s="1121">
        <f>IF(F460="","",F459*F460*F461)</f>
        <v>120</v>
      </c>
      <c r="G462" s="1078"/>
      <c r="H462" s="948"/>
      <c r="I462" s="948"/>
      <c r="J462" s="948"/>
      <c r="K462" s="948"/>
      <c r="L462" s="1078"/>
      <c r="M462" s="948"/>
      <c r="N462" s="948"/>
      <c r="O462" s="948"/>
      <c r="P462" s="948"/>
      <c r="Q462" s="1141"/>
      <c r="R462" s="882"/>
      <c r="S462" s="1014"/>
      <c r="T462" s="1014"/>
      <c r="U462" s="1046">
        <v>462</v>
      </c>
      <c r="V462" s="1142"/>
    </row>
    <row r="463" spans="1:22" ht="15.75" customHeight="1">
      <c r="A463" s="1148" t="s">
        <v>292</v>
      </c>
      <c r="B463" s="1090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78"/>
      <c r="H463" s="948"/>
      <c r="I463" s="948"/>
      <c r="J463" s="948"/>
      <c r="K463" s="948"/>
      <c r="L463" s="1078"/>
      <c r="M463" s="948"/>
      <c r="N463" s="948"/>
      <c r="O463" s="948"/>
      <c r="P463" s="948"/>
      <c r="Q463" s="1107"/>
      <c r="R463" s="882"/>
      <c r="S463" s="1014"/>
      <c r="T463" s="1014"/>
      <c r="U463" s="1046">
        <v>463</v>
      </c>
      <c r="V463" s="461"/>
    </row>
    <row r="464" spans="1:22" ht="15.75" customHeight="1">
      <c r="A464" s="1099" t="s">
        <v>252</v>
      </c>
      <c r="B464" s="1078"/>
      <c r="C464" s="1367">
        <f>IF(C462="","",C462*C463/C$46/365/$P$1)</f>
        <v>7.0974863013698625E-2</v>
      </c>
      <c r="D464" s="1367">
        <f>IF(D462="","",D462*D463/D$46/365/$P$1)</f>
        <v>6.5060291095890413E-2</v>
      </c>
      <c r="E464" s="1367">
        <f>IF(E462="","",E462*E463/E$46/365/$P$1)</f>
        <v>5.9145719178082187E-2</v>
      </c>
      <c r="F464" s="1367">
        <f>IF(F462="","",F462*F463/F$46/365/$P$1)</f>
        <v>6.3088767123287662E-2</v>
      </c>
      <c r="G464" s="1100"/>
      <c r="H464" s="948"/>
      <c r="I464" s="948"/>
      <c r="J464" s="948"/>
      <c r="K464" s="948"/>
      <c r="L464" s="1100"/>
      <c r="M464" s="948"/>
      <c r="N464" s="948"/>
      <c r="O464" s="948"/>
      <c r="P464" s="948"/>
      <c r="Q464" s="1107"/>
      <c r="R464" s="1045"/>
      <c r="S464" s="1007"/>
      <c r="T464" s="1007"/>
      <c r="U464" s="1046">
        <v>464</v>
      </c>
      <c r="V464" s="461"/>
    </row>
    <row r="465" spans="1:22" ht="15.75" customHeight="1">
      <c r="A465" s="1167" t="s">
        <v>285</v>
      </c>
      <c r="B465" s="1078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78"/>
      <c r="H465" s="948"/>
      <c r="I465" s="948"/>
      <c r="J465" s="948"/>
      <c r="K465" s="948"/>
      <c r="L465" s="1078"/>
      <c r="M465" s="948"/>
      <c r="N465" s="948"/>
      <c r="O465" s="948"/>
      <c r="P465" s="948"/>
      <c r="Q465" s="1107"/>
      <c r="R465" s="1091"/>
      <c r="S465" s="1092"/>
      <c r="T465" s="1092"/>
      <c r="U465" s="1046">
        <v>465</v>
      </c>
      <c r="V465" s="461"/>
    </row>
    <row r="466" spans="1:22" ht="15.75" customHeight="1">
      <c r="A466" s="1099" t="s">
        <v>286</v>
      </c>
      <c r="B466" s="1090"/>
      <c r="C466" s="1121">
        <f>IF(C465="","",C460*C461*C465)</f>
        <v>420</v>
      </c>
      <c r="D466" s="1121">
        <f>IF(D465="","",D460*D461*D465)</f>
        <v>385</v>
      </c>
      <c r="E466" s="1121">
        <f>IF(E465="","",E460*E461*E465)</f>
        <v>500</v>
      </c>
      <c r="F466" s="1121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07"/>
      <c r="R466" s="882"/>
      <c r="S466" s="1014"/>
      <c r="T466" s="1014"/>
      <c r="U466" s="1046">
        <v>466</v>
      </c>
      <c r="V466" s="461"/>
    </row>
    <row r="467" spans="1:22" ht="15.75" customHeight="1">
      <c r="A467" s="1366" t="str">
        <f>IF(Data!A467="","",Data!A467)</f>
        <v>Rice purchase</v>
      </c>
      <c r="B467" s="1078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05"/>
      <c r="H467" s="948"/>
      <c r="I467" s="948"/>
      <c r="J467" s="948"/>
      <c r="K467" s="948"/>
      <c r="L467" s="1105"/>
      <c r="M467" s="948"/>
      <c r="N467" s="948"/>
      <c r="O467" s="948"/>
      <c r="P467" s="948"/>
      <c r="Q467" s="1107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266</v>
      </c>
      <c r="B468" s="1078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05"/>
      <c r="H468" s="948"/>
      <c r="I468" s="948"/>
      <c r="J468" s="948"/>
      <c r="K468" s="948"/>
      <c r="L468" s="1105"/>
      <c r="M468" s="948"/>
      <c r="N468" s="948"/>
      <c r="O468" s="948"/>
      <c r="P468" s="948"/>
      <c r="Q468" s="1107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282</v>
      </c>
      <c r="B469" s="1081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0.60310167729347175</v>
      </c>
      <c r="J469" s="1168">
        <f>IF(J$46="","",IF('Exp factors'!$B52="poor",'Exp factors'!$G$52*J$46/$D468/J470,SUM(E469)*'Exp factors'!E$52))</f>
        <v>0.60310167729347175</v>
      </c>
      <c r="K469" s="1168">
        <f>IF(K$46="","",IF('Exp factors'!$B52="poor",'Exp factors'!$G$52*K$46/$D468/K470,SUM(F469)*'Exp factors'!F$52))</f>
        <v>0.67848938695515582</v>
      </c>
      <c r="L469" s="1105"/>
      <c r="M469" s="948"/>
      <c r="N469" s="948"/>
      <c r="O469" s="948"/>
      <c r="P469" s="948"/>
      <c r="Q469" s="1107"/>
      <c r="R469" s="882"/>
      <c r="S469" s="1014"/>
      <c r="T469" s="1014"/>
      <c r="U469" s="1046">
        <v>469</v>
      </c>
      <c r="V469" s="461"/>
    </row>
    <row r="470" spans="1:22" ht="15.75" customHeight="1">
      <c r="A470" s="1099" t="s">
        <v>283</v>
      </c>
      <c r="B470" s="1078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05"/>
      <c r="H470" s="1169">
        <f>I470</f>
        <v>12</v>
      </c>
      <c r="I470" s="1169">
        <f>SUM(D470)</f>
        <v>12</v>
      </c>
      <c r="J470" s="1169">
        <f>I470</f>
        <v>12</v>
      </c>
      <c r="K470" s="1169">
        <f>I470</f>
        <v>12</v>
      </c>
      <c r="L470" s="1105"/>
      <c r="M470" s="948"/>
      <c r="N470" s="948"/>
      <c r="O470" s="948"/>
      <c r="P470" s="948"/>
      <c r="Q470" s="1392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72.372201275216611</v>
      </c>
      <c r="J471" s="1121">
        <f>IF(J$46=0,"",SUM($D468)*J469*J470)</f>
        <v>72.372201275216611</v>
      </c>
      <c r="K471" s="1121">
        <f>IF(K$46=0,"",SUM($D468)*K469*K470)</f>
        <v>81.418726434618691</v>
      </c>
      <c r="L471" s="1078"/>
      <c r="M471" s="948"/>
      <c r="N471" s="948"/>
      <c r="O471" s="948"/>
      <c r="P471" s="948"/>
      <c r="Q471" s="1141"/>
      <c r="R471" s="882"/>
      <c r="S471" s="1014"/>
      <c r="T471" s="1014"/>
      <c r="U471" s="1046">
        <v>471</v>
      </c>
      <c r="V471" s="1142"/>
    </row>
    <row r="472" spans="1:22" ht="15.75" customHeight="1">
      <c r="A472" s="1148" t="s">
        <v>292</v>
      </c>
      <c r="B472" s="1090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78"/>
      <c r="H472" s="948"/>
      <c r="I472" s="948"/>
      <c r="J472" s="948"/>
      <c r="K472" s="948"/>
      <c r="L472" s="1078"/>
      <c r="M472" s="948"/>
      <c r="N472" s="948"/>
      <c r="O472" s="948"/>
      <c r="P472" s="948"/>
      <c r="Q472" s="1107"/>
      <c r="R472" s="882"/>
      <c r="S472" s="1014"/>
      <c r="T472" s="1014"/>
      <c r="U472" s="1046">
        <v>472</v>
      </c>
      <c r="V472" s="461"/>
    </row>
    <row r="473" spans="1:22" ht="15.75" customHeight="1">
      <c r="A473" s="1099" t="s">
        <v>252</v>
      </c>
      <c r="B473" s="1090"/>
      <c r="C473" s="1367">
        <f>IF(C471="","",C471*C472/C$46/365/$P$1)</f>
        <v>6.9215155666251554E-2</v>
      </c>
      <c r="D473" s="1367">
        <f>IF(D471="","",D471*D472/D$46/365/$P$1)</f>
        <v>6.9215155666251554E-2</v>
      </c>
      <c r="E473" s="1367">
        <f>IF(E471="","",E471*E472/E$46/365/$P$1)</f>
        <v>6.9215155666251554E-2</v>
      </c>
      <c r="F473" s="1367">
        <f>IF(F471="","",F471*F472/F$46/365/$P$1)</f>
        <v>6.1524582814445818E-2</v>
      </c>
      <c r="G473" s="1100"/>
      <c r="H473" s="1367">
        <f>IF(H$46=0,"",H471*SUM($D472)/H$46/365/$P$1)</f>
        <v>4.1743776476445053E-2</v>
      </c>
      <c r="I473" s="1367">
        <f>IF(I$46=0,"",I471*SUM($D472)/I$46/365/$P$1)</f>
        <v>4.1743776476445053E-2</v>
      </c>
      <c r="J473" s="1367">
        <f>IF(J$46=0,"",J471*SUM($D472)/J$46/365/$P$1)</f>
        <v>4.1743776476445053E-2</v>
      </c>
      <c r="K473" s="1367">
        <f>IF(K$46=0,"",K471*SUM($D472)/K$46/365/$P$1)</f>
        <v>4.174377647644506E-2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-2.7471379189806501E-2</v>
      </c>
      <c r="O473" s="1126">
        <f>IF(SUM(J473)=SUM(E473),"",SUM(J473)-SUM(E473))</f>
        <v>-2.7471379189806501E-2</v>
      </c>
      <c r="P473" s="1126">
        <f>IF(SUM(K473)=SUM(F473),"",SUM(K473)-SUM(F473))</f>
        <v>-1.9780806338000757E-2</v>
      </c>
      <c r="Q473" s="1107"/>
      <c r="R473" s="1045"/>
      <c r="S473" s="1007"/>
      <c r="T473" s="1007"/>
      <c r="U473" s="1046">
        <v>473</v>
      </c>
      <c r="V473" s="461"/>
    </row>
    <row r="474" spans="1:22" ht="15.75" customHeight="1">
      <c r="A474" s="1167" t="s">
        <v>288</v>
      </c>
      <c r="B474" s="1078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78"/>
      <c r="H474" s="1586">
        <f>$I474</f>
        <v>6</v>
      </c>
      <c r="I474" s="1586">
        <f>IF(SUM($D474)=0,IF(SUM($C474)=0,IF(SUM($E474)=0,IF(SUM($F474)=0,'Exp factors'!$H$52*$D468,SUM($F474)),SUM($E474)),SUM($C474)),SUM($D474))</f>
        <v>6</v>
      </c>
      <c r="J474" s="1586">
        <f>$I474</f>
        <v>6</v>
      </c>
      <c r="K474" s="1586">
        <f>$I474</f>
        <v>6</v>
      </c>
      <c r="L474" s="1078"/>
      <c r="M474" s="948"/>
      <c r="N474" s="948"/>
      <c r="O474" s="948"/>
      <c r="P474" s="948"/>
      <c r="Q474" s="1107"/>
      <c r="R474" s="1091"/>
      <c r="S474" s="1092"/>
      <c r="T474" s="1092"/>
      <c r="U474" s="1046">
        <v>474</v>
      </c>
      <c r="V474" s="461"/>
    </row>
    <row r="475" spans="1:22" ht="15.75" customHeight="1">
      <c r="A475" s="1099" t="s">
        <v>286</v>
      </c>
      <c r="B475" s="1078"/>
      <c r="C475" s="1121">
        <f>IF(C474="","",C471*C474)</f>
        <v>720</v>
      </c>
      <c r="D475" s="1121">
        <f t="shared" ref="D475:F475" si="42">IF(D474="","",D471*D474)</f>
        <v>720</v>
      </c>
      <c r="E475" s="1121">
        <f t="shared" si="42"/>
        <v>840</v>
      </c>
      <c r="F475" s="1121">
        <f t="shared" si="42"/>
        <v>840</v>
      </c>
      <c r="G475" s="1152"/>
      <c r="H475" s="1587">
        <f t="shared" ref="H475" si="43">IF(H$46=0,"",H469*H470*H474)</f>
        <v>43.423320765129972</v>
      </c>
      <c r="I475" s="1587">
        <f>IF(I$46=0,"",I469*I470*I474)</f>
        <v>43.423320765129972</v>
      </c>
      <c r="J475" s="1587">
        <f t="shared" ref="J475:K475" si="44">IF(J$46=0,"",J469*J470*J474)</f>
        <v>43.423320765129972</v>
      </c>
      <c r="K475" s="1587">
        <f t="shared" si="44"/>
        <v>48.851235860771219</v>
      </c>
      <c r="L475" s="1152"/>
      <c r="M475" s="957">
        <f>IF(SUM(H475)=SUM(C475),"",SUM(H475)-SUM(C475))</f>
        <v>-676.57667923486997</v>
      </c>
      <c r="N475" s="957">
        <f>IF(SUM(I475)=SUM(D475),"",SUM(I475)-SUM(D475))</f>
        <v>-676.57667923486997</v>
      </c>
      <c r="O475" s="957">
        <f>IF(SUM(J475)=SUM(E475),"",SUM(J475)-SUM(E475))</f>
        <v>-796.57667923486997</v>
      </c>
      <c r="P475" s="957">
        <f>IF(SUM(K475)=SUM(F475),"",SUM(K475)-SUM(F475))</f>
        <v>-791.14876413922877</v>
      </c>
      <c r="Q475" s="1107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66" t="str">
        <f>IF(Data!A476="","",Data!A476)</f>
        <v>Potatoes purchase</v>
      </c>
      <c r="B476" s="1078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1"/>
      <c r="H476" s="948"/>
      <c r="I476" s="948"/>
      <c r="J476" s="948"/>
      <c r="K476" s="948"/>
      <c r="L476" s="1081"/>
      <c r="M476" s="948"/>
      <c r="N476" s="948"/>
      <c r="O476" s="948"/>
      <c r="P476" s="948"/>
      <c r="Q476" s="1107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266</v>
      </c>
      <c r="B477" s="1090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1"/>
      <c r="H477" s="948"/>
      <c r="I477" s="948"/>
      <c r="J477" s="948"/>
      <c r="K477" s="948"/>
      <c r="L477" s="1081"/>
      <c r="M477" s="948"/>
      <c r="N477" s="948"/>
      <c r="O477" s="948"/>
      <c r="P477" s="948"/>
      <c r="Q477" s="1107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282</v>
      </c>
      <c r="B478" s="1090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0.46712142103581744</v>
      </c>
      <c r="J478" s="1168">
        <f>IF(J$46="","",IF('Exp factors'!$B54="poor",'Exp factors'!$G$54*J$46/$D477/J479,SUM(E478)*'Exp factors'!E$54))</f>
        <v>0.46712142103581744</v>
      </c>
      <c r="K478" s="1168">
        <f>IF(K$46="","",IF('Exp factors'!$B54="poor",'Exp factors'!$G$54*K$46/$D477/K479,SUM(F478)*'Exp factors'!F$54))</f>
        <v>0.52551159866529462</v>
      </c>
      <c r="L478" s="1081"/>
      <c r="M478" s="948"/>
      <c r="N478" s="948"/>
      <c r="O478" s="948"/>
      <c r="P478" s="948"/>
      <c r="Q478" s="1107"/>
      <c r="R478" s="882"/>
      <c r="S478" s="1014"/>
      <c r="T478" s="1014"/>
      <c r="U478" s="1046">
        <v>478</v>
      </c>
      <c r="V478" s="461"/>
    </row>
    <row r="479" spans="1:22" ht="15.75" customHeight="1">
      <c r="A479" s="1099" t="s">
        <v>283</v>
      </c>
      <c r="B479" s="1078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78"/>
      <c r="H479" s="1169">
        <f>I479</f>
        <v>12</v>
      </c>
      <c r="I479" s="1169">
        <f>SUM(D479)</f>
        <v>12</v>
      </c>
      <c r="J479" s="1169">
        <f>I479</f>
        <v>12</v>
      </c>
      <c r="K479" s="1169">
        <f>I479</f>
        <v>12</v>
      </c>
      <c r="L479" s="1078"/>
      <c r="M479" s="948"/>
      <c r="N479" s="948"/>
      <c r="O479" s="948"/>
      <c r="P479" s="948"/>
      <c r="Q479" s="1107"/>
      <c r="R479" s="882"/>
      <c r="S479" s="1014"/>
      <c r="T479" s="1014"/>
      <c r="U479" s="1046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110</v>
      </c>
      <c r="D480" s="1121">
        <f>IF(D478="","",D477*D478*D479)</f>
        <v>120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56.054570524298093</v>
      </c>
      <c r="J480" s="1121">
        <f>IF(J$46=0,"",SUM($D477)*J478*J479)</f>
        <v>56.054570524298093</v>
      </c>
      <c r="K480" s="1121">
        <f>IF(K$46=0,"",SUM($D477)*K478*K479)</f>
        <v>63.061391839835352</v>
      </c>
      <c r="L480" s="1105"/>
      <c r="M480" s="948"/>
      <c r="N480" s="948"/>
      <c r="O480" s="948"/>
      <c r="P480" s="948"/>
      <c r="Q480" s="1107"/>
      <c r="R480" s="882"/>
      <c r="S480" s="1014"/>
      <c r="T480" s="1014"/>
      <c r="U480" s="1046">
        <v>480</v>
      </c>
      <c r="V480" s="461"/>
    </row>
    <row r="481" spans="1:22" ht="15.75" customHeight="1">
      <c r="A481" s="1148" t="s">
        <v>292</v>
      </c>
      <c r="B481" s="1078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05"/>
      <c r="H481" s="948"/>
      <c r="I481" s="948"/>
      <c r="J481" s="948"/>
      <c r="K481" s="948"/>
      <c r="L481" s="1105"/>
      <c r="M481" s="948"/>
      <c r="N481" s="948"/>
      <c r="O481" s="948"/>
      <c r="P481" s="948"/>
      <c r="Q481" s="1107"/>
      <c r="R481" s="882"/>
      <c r="S481" s="1014"/>
      <c r="T481" s="1014"/>
      <c r="U481" s="1046">
        <v>481</v>
      </c>
      <c r="V481" s="461"/>
    </row>
    <row r="482" spans="1:22" ht="15.75" customHeight="1">
      <c r="A482" s="1099" t="s">
        <v>252</v>
      </c>
      <c r="B482" s="1090"/>
      <c r="C482" s="1367">
        <f>IF(C480="","",C480*C481/C$46/365/$P$1)</f>
        <v>1.3442208904109588E-2</v>
      </c>
      <c r="D482" s="1367">
        <f>IF(D480="","",D480*D481/D$46/365/$P$1)</f>
        <v>1.4664227895392278E-2</v>
      </c>
      <c r="E482" s="1367">
        <f>IF(E480="","",E480*E481/E$46/365/$P$1)</f>
        <v>1.4664227895392278E-2</v>
      </c>
      <c r="F482" s="1367">
        <f>IF(F480="","",F480*F481/F$46/365/$P$1)</f>
        <v>1.3034869240348693E-2</v>
      </c>
      <c r="G482" s="1090"/>
      <c r="H482" s="1367">
        <f>IF(H$46=0,"",H480*SUM($D481)/H$46/365/$P$1)</f>
        <v>6.8499749728887158E-3</v>
      </c>
      <c r="I482" s="1367">
        <f>IF(I$46=0,"",I480*SUM($D481)/I$46/365/$P$1)</f>
        <v>6.8499749728887158E-3</v>
      </c>
      <c r="J482" s="1367">
        <f>IF(J$46=0,"",J480*SUM($D481)/J$46/365/$P$1)</f>
        <v>6.8499749728887158E-3</v>
      </c>
      <c r="K482" s="1367">
        <f>IF(K$46=0,"",K480*SUM($D481)/K$46/365/$P$1)</f>
        <v>6.8499749728887149E-3</v>
      </c>
      <c r="L482" s="1090"/>
      <c r="M482" s="1126">
        <f>IF(SUM(H482)=SUM(C482),"",SUM(H482)-SUM(C482))</f>
        <v>-6.5922339312208724E-3</v>
      </c>
      <c r="N482" s="1126">
        <f>IF(SUM(I482)=SUM(D482),"",SUM(I482)-SUM(D482))</f>
        <v>-7.8142529225035621E-3</v>
      </c>
      <c r="O482" s="1126">
        <f>IF(SUM(J482)=SUM(E482),"",SUM(J482)-SUM(E482))</f>
        <v>-7.8142529225035621E-3</v>
      </c>
      <c r="P482" s="1126">
        <f>IF(SUM(K482)=SUM(F482),"",SUM(K482)-SUM(F482))</f>
        <v>-6.1848942674599785E-3</v>
      </c>
      <c r="Q482" s="1107"/>
      <c r="R482" s="1045"/>
      <c r="S482" s="1007"/>
      <c r="T482" s="1007"/>
      <c r="U482" s="1046">
        <v>482</v>
      </c>
      <c r="V482" s="461"/>
    </row>
    <row r="483" spans="1:22" ht="15.75" customHeight="1">
      <c r="A483" s="1167" t="s">
        <v>285</v>
      </c>
      <c r="B483" s="1090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78"/>
      <c r="H483" s="1586">
        <f>$I483</f>
        <v>40</v>
      </c>
      <c r="I483" s="1586">
        <f>IF(SUM($D483)=0,IF(SUM($C483)=0,IF(SUM($E483)=0,IF(SUM($F483)=0,'Exp factors'!$H$54*$D477,SUM($F483)),SUM($E483)),SUM($C483)),SUM($D483))</f>
        <v>40</v>
      </c>
      <c r="J483" s="1586">
        <f>$I483</f>
        <v>40</v>
      </c>
      <c r="K483" s="1586">
        <f>$I483</f>
        <v>40</v>
      </c>
      <c r="L483" s="1078"/>
      <c r="M483" s="948"/>
      <c r="N483" s="948"/>
      <c r="O483" s="948"/>
      <c r="P483" s="948"/>
      <c r="Q483" s="1107"/>
      <c r="R483" s="1091"/>
      <c r="S483" s="1092"/>
      <c r="T483" s="1092"/>
      <c r="U483" s="1046">
        <v>483</v>
      </c>
      <c r="V483" s="461"/>
    </row>
    <row r="484" spans="1:22" ht="15.75" customHeight="1">
      <c r="A484" s="1099" t="s">
        <v>286</v>
      </c>
      <c r="B484" s="1078"/>
      <c r="C484" s="1121">
        <f>IF(C483="","",C478*C479*C483)</f>
        <v>440</v>
      </c>
      <c r="D484" s="1121">
        <f>IF(D483="","",D478*D479*D483)</f>
        <v>480</v>
      </c>
      <c r="E484" s="1121">
        <f>IF(E483="","",E478*E479*E483)</f>
        <v>480</v>
      </c>
      <c r="F484" s="1121">
        <f>IF(F483="","",F478*F479*F483)</f>
        <v>480</v>
      </c>
      <c r="G484" s="1105"/>
      <c r="H484" s="1587">
        <f t="shared" ref="H484:K484" si="45">IF(H$46=0,"",H478*H479*H483)</f>
        <v>224.21828209719237</v>
      </c>
      <c r="I484" s="1587">
        <f>IF(I$46=0,"",I478*I479*I483)</f>
        <v>224.21828209719237</v>
      </c>
      <c r="J484" s="1587">
        <f t="shared" si="45"/>
        <v>224.21828209719237</v>
      </c>
      <c r="K484" s="1587">
        <f t="shared" si="45"/>
        <v>252.24556735934144</v>
      </c>
      <c r="L484" s="1105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-227.75443264065856</v>
      </c>
      <c r="Q484" s="1107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66" t="str">
        <f>IF(Data!A485="","",Data!A485)</f>
        <v>Brown bread purchase</v>
      </c>
      <c r="B485" s="1090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78"/>
      <c r="H485" s="948"/>
      <c r="I485" s="948"/>
      <c r="J485" s="948"/>
      <c r="K485" s="948"/>
      <c r="L485" s="1078"/>
      <c r="M485" s="948"/>
      <c r="N485" s="948"/>
      <c r="O485" s="948"/>
      <c r="P485" s="948"/>
      <c r="Q485" s="1107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266</v>
      </c>
      <c r="B486" s="1078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78"/>
      <c r="H486" s="948"/>
      <c r="I486" s="948"/>
      <c r="J486" s="948"/>
      <c r="K486" s="948"/>
      <c r="L486" s="1078"/>
      <c r="M486" s="948"/>
      <c r="N486" s="948"/>
      <c r="O486" s="948"/>
      <c r="P486" s="948"/>
      <c r="Q486" s="1107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282</v>
      </c>
      <c r="B487" s="1078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45.820090801074038</v>
      </c>
      <c r="J487" s="1168">
        <f>IF(J$46="","",IF('Exp factors'!$B50="poor",'Exp factors'!$G$50*J$46/$D486/J488,SUM(E487)*'Exp factors'!E$50))</f>
        <v>45.820090801074038</v>
      </c>
      <c r="K487" s="1168">
        <f>IF(K$46="","",IF('Exp factors'!$B50="poor",'Exp factors'!$G$50*K$46/$D486/K488,SUM(F487)*'Exp factors'!F$50))</f>
        <v>51.547602151208302</v>
      </c>
      <c r="L487" s="1078"/>
      <c r="M487" s="948"/>
      <c r="N487" s="948"/>
      <c r="O487" s="948"/>
      <c r="P487" s="948"/>
      <c r="Q487" s="1107"/>
      <c r="R487" s="882"/>
      <c r="S487" s="1014"/>
      <c r="T487" s="1014"/>
      <c r="U487" s="1046">
        <v>487</v>
      </c>
      <c r="V487" s="461"/>
    </row>
    <row r="488" spans="1:22" ht="15.75" customHeight="1">
      <c r="A488" s="1099" t="s">
        <v>283</v>
      </c>
      <c r="B488" s="1078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78"/>
      <c r="H488" s="1169">
        <f>I488</f>
        <v>12</v>
      </c>
      <c r="I488" s="1169">
        <f>SUM(D488)</f>
        <v>12</v>
      </c>
      <c r="J488" s="1169">
        <f>I488</f>
        <v>12</v>
      </c>
      <c r="K488" s="1169">
        <f>I488</f>
        <v>12</v>
      </c>
      <c r="L488" s="1078"/>
      <c r="M488" s="948"/>
      <c r="N488" s="948"/>
      <c r="O488" s="948"/>
      <c r="P488" s="948"/>
      <c r="Q488" s="1107"/>
      <c r="R488" s="882"/>
      <c r="S488" s="1014"/>
      <c r="T488" s="1014"/>
      <c r="U488" s="1046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>
        <f>IF(F487="","",F486*F487*F488)</f>
        <v>126</v>
      </c>
      <c r="G489" s="1105"/>
      <c r="H489" s="1121">
        <f>IF(H$46=0,"",SUM($D486)*H487*H488)</f>
        <v>384.88876272902189</v>
      </c>
      <c r="I489" s="1121">
        <f>IF(I$46=0,"",SUM($D486)*I487*I488)</f>
        <v>384.88876272902189</v>
      </c>
      <c r="J489" s="1121">
        <f>IF(J$46=0,"",SUM($D486)*J487*J488)</f>
        <v>384.88876272902189</v>
      </c>
      <c r="K489" s="1121">
        <f>IF(K$46=0,"",SUM($D486)*K487*K488)</f>
        <v>432.99985807014968</v>
      </c>
      <c r="L489" s="1105"/>
      <c r="M489" s="948"/>
      <c r="N489" s="948"/>
      <c r="O489" s="948"/>
      <c r="P489" s="948"/>
      <c r="Q489" s="1107"/>
      <c r="R489" s="882"/>
      <c r="S489" s="1014"/>
      <c r="T489" s="1014"/>
      <c r="U489" s="1046">
        <v>489</v>
      </c>
      <c r="V489" s="461"/>
    </row>
    <row r="490" spans="1:22" ht="15.75" customHeight="1">
      <c r="A490" s="1148" t="s">
        <v>292</v>
      </c>
      <c r="B490" s="1090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05"/>
      <c r="H490" s="948"/>
      <c r="I490" s="948"/>
      <c r="J490" s="948"/>
      <c r="K490" s="948"/>
      <c r="L490" s="1105"/>
      <c r="M490" s="948"/>
      <c r="N490" s="948"/>
      <c r="O490" s="948"/>
      <c r="P490" s="948"/>
      <c r="Q490" s="1107"/>
      <c r="R490" s="882"/>
      <c r="S490" s="1014"/>
      <c r="T490" s="1014"/>
      <c r="U490" s="1046">
        <v>490</v>
      </c>
      <c r="V490" s="461"/>
    </row>
    <row r="491" spans="1:22" ht="15.75" customHeight="1">
      <c r="A491" s="1099" t="s">
        <v>252</v>
      </c>
      <c r="B491" s="1078"/>
      <c r="C491" s="1367" t="str">
        <f>IF(C489="","",C489*C490/C$46/365/$P$1)</f>
        <v/>
      </c>
      <c r="D491" s="1367" t="str">
        <f>IF(D489="","",D489*D490/D$46/365/$P$1)</f>
        <v/>
      </c>
      <c r="E491" s="1367" t="str">
        <f>IF(E489="","",E489*E490/E$46/365/$P$1)</f>
        <v/>
      </c>
      <c r="F491" s="1367">
        <f>IF(F489="","",F489*F490/F$46/365/$P$1)</f>
        <v>4.4344625155666249E-2</v>
      </c>
      <c r="G491" s="1090"/>
      <c r="H491" s="1367">
        <f>IF(H$46=0,"",H489*SUM($D490)/H$46/365/$P$1)</f>
        <v>0.15239060633791646</v>
      </c>
      <c r="I491" s="1367">
        <f>IF(I$46=0,"",I489*SUM($D490)/I$46/365/$P$1)</f>
        <v>0.15239060633791646</v>
      </c>
      <c r="J491" s="1367">
        <f>IF(J$46=0,"",J489*SUM($D490)/J$46/365/$P$1)</f>
        <v>0.15239060633791646</v>
      </c>
      <c r="K491" s="1367">
        <f>IF(K$46=0,"",K489*SUM($D490)/K$46/365/$P$1)</f>
        <v>0.15239060633791646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0.15239060633791646</v>
      </c>
      <c r="O491" s="1126">
        <f>IF(SUM(J491)=SUM(E491),"",SUM(J491)-SUM(E491))</f>
        <v>0.15239060633791646</v>
      </c>
      <c r="P491" s="1126">
        <f>IF(SUM(K491)=SUM(F491),"",SUM(K491)-SUM(F491))</f>
        <v>0.1080459811822502</v>
      </c>
      <c r="Q491" s="1107"/>
      <c r="R491" s="1045"/>
      <c r="S491" s="1007"/>
      <c r="T491" s="1007"/>
      <c r="U491" s="1046">
        <v>491</v>
      </c>
      <c r="V491" s="461"/>
    </row>
    <row r="492" spans="1:22" ht="15.75" customHeight="1">
      <c r="A492" s="1166" t="s">
        <v>285</v>
      </c>
      <c r="B492" s="1078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3"/>
      <c r="H492" s="1586">
        <f>$I492</f>
        <v>8</v>
      </c>
      <c r="I492" s="1586">
        <f>IF(SUM($D492)=0,IF(SUM($C492)=0,IF(SUM($E492)=0,IF(SUM($F492)=0,'Exp factors'!$H$50*$D486,SUM($F492)),SUM($E492)),SUM($C492)),SUM($D492))</f>
        <v>8</v>
      </c>
      <c r="J492" s="1586">
        <f>$I492</f>
        <v>8</v>
      </c>
      <c r="K492" s="1586">
        <f>$I492</f>
        <v>8</v>
      </c>
      <c r="L492" s="1103"/>
      <c r="M492" s="948"/>
      <c r="N492" s="948"/>
      <c r="O492" s="948"/>
      <c r="P492" s="948"/>
      <c r="Q492" s="1107"/>
      <c r="R492" s="1091"/>
      <c r="S492" s="1092"/>
      <c r="T492" s="1092"/>
      <c r="U492" s="1046">
        <v>492</v>
      </c>
      <c r="V492" s="461"/>
    </row>
    <row r="493" spans="1:22" ht="15.75" customHeight="1">
      <c r="A493" s="1099" t="s">
        <v>286</v>
      </c>
      <c r="B493" s="1078"/>
      <c r="C493" s="1121" t="str">
        <f>IF(C492="","",C487*C488*C492)</f>
        <v/>
      </c>
      <c r="D493" s="1121" t="str">
        <f>IF(D492="","",D487*D488*D492)</f>
        <v/>
      </c>
      <c r="E493" s="1121" t="str">
        <f>IF(E492="","",E487*E488*E492)</f>
        <v/>
      </c>
      <c r="F493" s="1121">
        <f>IF(F492="","",F487*F488*F492)</f>
        <v>1440</v>
      </c>
      <c r="G493" s="1105"/>
      <c r="H493" s="1587">
        <f t="shared" ref="H493" si="46">IF(H$46=0,"",H487*H488*H492)</f>
        <v>4398.7287169031079</v>
      </c>
      <c r="I493" s="1587">
        <f>IF(I$46=0,"",I487*I488*I492)</f>
        <v>4398.7287169031079</v>
      </c>
      <c r="J493" s="1587">
        <f t="shared" ref="J493:K493" si="47">IF(J$46=0,"",J487*J488*J492)</f>
        <v>4398.7287169031079</v>
      </c>
      <c r="K493" s="1587">
        <f t="shared" si="47"/>
        <v>4948.5698065159968</v>
      </c>
      <c r="L493" s="1105"/>
      <c r="M493" s="957">
        <f>IF(SUM(H493)=SUM(C493),"",SUM(H493)-SUM(C493))</f>
        <v>4398.7287169031079</v>
      </c>
      <c r="N493" s="957">
        <f>IF(SUM(I493)=SUM(D493),"",SUM(I493)-SUM(D493))</f>
        <v>4398.7287169031079</v>
      </c>
      <c r="O493" s="957">
        <f>IF(SUM(J493)=SUM(E493),"",SUM(J493)-SUM(E493))</f>
        <v>4398.7287169031079</v>
      </c>
      <c r="P493" s="957">
        <f>IF(SUM(K493)=SUM(F493),"",SUM(K493)-SUM(F493))</f>
        <v>3508.5698065159968</v>
      </c>
      <c r="Q493" s="1107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66" t="str">
        <f>IF(Data!A494="","",Data!A494)</f>
        <v>White bread purchase</v>
      </c>
      <c r="B494" s="1079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78"/>
      <c r="H494" s="948"/>
      <c r="I494" s="948"/>
      <c r="J494" s="948"/>
      <c r="K494" s="948"/>
      <c r="L494" s="1078"/>
      <c r="M494" s="948"/>
      <c r="N494" s="948"/>
      <c r="O494" s="948"/>
      <c r="P494" s="948"/>
      <c r="Q494" s="1107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266</v>
      </c>
      <c r="B495" s="1081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78"/>
      <c r="H495" s="948"/>
      <c r="I495" s="948"/>
      <c r="J495" s="948"/>
      <c r="K495" s="948"/>
      <c r="L495" s="1078"/>
      <c r="M495" s="948"/>
      <c r="N495" s="948"/>
      <c r="O495" s="948"/>
      <c r="P495" s="948"/>
      <c r="Q495" s="1107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282</v>
      </c>
      <c r="B496" s="1081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10.915962646679544</v>
      </c>
      <c r="J496" s="1168">
        <f>IF(J$46="","",IF('Exp factors'!$B51="poor",'Exp factors'!$G$51*J$46/$D495/J497,SUM(E496)*'Exp factors'!E$51))</f>
        <v>10.915962646679544</v>
      </c>
      <c r="K496" s="1168">
        <f>IF(K$46="","",IF('Exp factors'!$B51="poor",'Exp factors'!$G$51*K$46/$D495/K497,SUM(F496)*'Exp factors'!F$51))</f>
        <v>12.280457977514487</v>
      </c>
      <c r="L496" s="1078"/>
      <c r="M496" s="948"/>
      <c r="N496" s="948"/>
      <c r="O496" s="948"/>
      <c r="P496" s="948"/>
      <c r="Q496" s="1107"/>
      <c r="R496" s="882"/>
      <c r="S496" s="1014"/>
      <c r="T496" s="1014"/>
      <c r="U496" s="1046">
        <v>496</v>
      </c>
      <c r="V496" s="461"/>
    </row>
    <row r="497" spans="1:22" ht="15.75" customHeight="1">
      <c r="A497" s="1099" t="s">
        <v>283</v>
      </c>
      <c r="B497" s="1078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78"/>
      <c r="H497" s="1169">
        <f>I497</f>
        <v>12</v>
      </c>
      <c r="I497" s="1169">
        <f>SUM(D497)</f>
        <v>12</v>
      </c>
      <c r="J497" s="1169">
        <f>I497</f>
        <v>12</v>
      </c>
      <c r="K497" s="1169">
        <f>I497</f>
        <v>12</v>
      </c>
      <c r="L497" s="1078"/>
      <c r="M497" s="948"/>
      <c r="N497" s="948"/>
      <c r="O497" s="948"/>
      <c r="P497" s="948"/>
      <c r="Q497" s="1107"/>
      <c r="R497" s="882"/>
      <c r="S497" s="1014"/>
      <c r="T497" s="1014"/>
      <c r="U497" s="1046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>
        <f>IF(F496="","",F495*F496*F497)</f>
        <v>126</v>
      </c>
      <c r="G498" s="1105"/>
      <c r="H498" s="1121">
        <f>IF(H$46=0,"",SUM($D495)*H496*H497)</f>
        <v>91.694086232108162</v>
      </c>
      <c r="I498" s="1121">
        <f>IF(I$46=0,"",SUM($D495)*I496*I497)</f>
        <v>91.694086232108162</v>
      </c>
      <c r="J498" s="1121">
        <f>IF(J$46=0,"",SUM($D495)*J496*J497)</f>
        <v>91.694086232108162</v>
      </c>
      <c r="K498" s="1121">
        <f>IF(K$46=0,"",SUM($D495)*K496*K497)</f>
        <v>103.15584701112169</v>
      </c>
      <c r="L498" s="1105"/>
      <c r="M498" s="948"/>
      <c r="N498" s="948"/>
      <c r="O498" s="948"/>
      <c r="P498" s="948"/>
      <c r="Q498" s="1107"/>
      <c r="R498" s="882"/>
      <c r="S498" s="1014"/>
      <c r="T498" s="1014"/>
      <c r="U498" s="1046">
        <v>498</v>
      </c>
      <c r="V498" s="461"/>
    </row>
    <row r="499" spans="1:22" ht="15.75" customHeight="1">
      <c r="A499" s="1148" t="s">
        <v>292</v>
      </c>
      <c r="B499" s="1078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05"/>
      <c r="H499" s="948"/>
      <c r="I499" s="948"/>
      <c r="J499" s="948"/>
      <c r="K499" s="948"/>
      <c r="L499" s="1105"/>
      <c r="M499" s="948"/>
      <c r="N499" s="948"/>
      <c r="O499" s="948"/>
      <c r="P499" s="948"/>
      <c r="Q499" s="1107"/>
      <c r="R499" s="882"/>
      <c r="S499" s="1014"/>
      <c r="T499" s="1014"/>
      <c r="U499" s="1046">
        <v>499</v>
      </c>
      <c r="V499" s="461"/>
    </row>
    <row r="500" spans="1:22" ht="15.75" customHeight="1">
      <c r="A500" s="1099" t="s">
        <v>252</v>
      </c>
      <c r="B500" s="1079"/>
      <c r="C500" s="1367" t="str">
        <f>IF(C498="","",C498*C499/C$46/365/$P$1)</f>
        <v/>
      </c>
      <c r="D500" s="1367" t="str">
        <f>IF(D498="","",D498*D499/D$46/365/$P$1)</f>
        <v/>
      </c>
      <c r="E500" s="1367" t="str">
        <f>IF(E498="","",E498*E499/E$46/365/$P$1)</f>
        <v/>
      </c>
      <c r="F500" s="1367">
        <f>IF(F498="","",F498*F499/F$46/365/$P$1)</f>
        <v>4.8906829389788298E-2</v>
      </c>
      <c r="G500" s="1090"/>
      <c r="H500" s="1367">
        <f>IF(H$46=0,"",H498*SUM($D499)/H$46/365/$P$1)</f>
        <v>4.0039884208984369E-2</v>
      </c>
      <c r="I500" s="1367">
        <f>IF(I$46=0,"",I498*SUM($D499)/I$46/365/$P$1)</f>
        <v>4.0039884208984369E-2</v>
      </c>
      <c r="J500" s="1367">
        <f>IF(J$46=0,"",J498*SUM($D499)/J$46/365/$P$1)</f>
        <v>4.0039884208984369E-2</v>
      </c>
      <c r="K500" s="1367">
        <f>IF(K$46=0,"",K498*SUM($D499)/K$46/365/$P$1)</f>
        <v>4.0039884208984376E-2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4.0039884208984369E-2</v>
      </c>
      <c r="P500" s="1126">
        <f>IF(SUM(K500)=SUM(F500),"",SUM(K500)-SUM(F500))</f>
        <v>-8.8669451808039215E-3</v>
      </c>
      <c r="Q500" s="1107"/>
      <c r="R500" s="1045"/>
      <c r="S500" s="1007"/>
      <c r="T500" s="1007"/>
      <c r="U500" s="1046">
        <v>500</v>
      </c>
      <c r="V500" s="461"/>
    </row>
    <row r="501" spans="1:22" ht="15.75" customHeight="1">
      <c r="A501" s="1166" t="s">
        <v>285</v>
      </c>
      <c r="B501" s="1081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3"/>
      <c r="H501" s="1586">
        <f>$I501</f>
        <v>9</v>
      </c>
      <c r="I501" s="1586">
        <f>IF(SUM($D501)=0,IF(SUM($C501)=0,IF(SUM($E501)=0,IF(SUM($F501)=0,'Exp factors'!$H$51*$D495,SUM($F501)),SUM($E501)),SUM($C501)),SUM($D501))</f>
        <v>9</v>
      </c>
      <c r="J501" s="1586">
        <f>$I501</f>
        <v>9</v>
      </c>
      <c r="K501" s="1586">
        <f>$I501</f>
        <v>9</v>
      </c>
      <c r="L501" s="1103"/>
      <c r="M501" s="948"/>
      <c r="N501" s="948"/>
      <c r="O501" s="948"/>
      <c r="P501" s="948"/>
      <c r="Q501" s="1107"/>
      <c r="R501" s="1091"/>
      <c r="S501" s="1092"/>
      <c r="T501" s="1092"/>
      <c r="U501" s="1046">
        <v>501</v>
      </c>
      <c r="V501" s="461"/>
    </row>
    <row r="502" spans="1:22" ht="15.75" customHeight="1">
      <c r="A502" s="1099" t="s">
        <v>286</v>
      </c>
      <c r="B502" s="1081"/>
      <c r="C502" s="1121" t="str">
        <f t="shared" ref="C502:E502" si="48">IF(C501="","",C496*C497*C501)</f>
        <v/>
      </c>
      <c r="D502" s="1121" t="str">
        <f t="shared" si="48"/>
        <v/>
      </c>
      <c r="E502" s="1121" t="str">
        <f t="shared" si="48"/>
        <v/>
      </c>
      <c r="F502" s="1121">
        <f>IF(F501="","",F496*F497*F501)</f>
        <v>1620</v>
      </c>
      <c r="G502" s="1105"/>
      <c r="H502" s="1587">
        <f t="shared" ref="H502:K502" si="49">IF(H$46=0,"",H496*H497*H501)</f>
        <v>1178.9239658413908</v>
      </c>
      <c r="I502" s="1587">
        <f>IF(I$46=0,"",I496*I497*I501)</f>
        <v>1178.9239658413908</v>
      </c>
      <c r="J502" s="1587">
        <f t="shared" si="49"/>
        <v>1178.9239658413908</v>
      </c>
      <c r="K502" s="1587">
        <f t="shared" si="49"/>
        <v>1326.2894615715645</v>
      </c>
      <c r="L502" s="1105"/>
      <c r="M502" s="957">
        <f>IF(SUM(H502)=SUM(C502),"",SUM(H502)-SUM(C502))</f>
        <v>1178.9239658413908</v>
      </c>
      <c r="N502" s="957">
        <f>IF(SUM(I502)=SUM(D502),"",SUM(I502)-SUM(D502))</f>
        <v>1178.9239658413908</v>
      </c>
      <c r="O502" s="957">
        <f>IF(SUM(J502)=SUM(E502),"",SUM(J502)-SUM(E502))</f>
        <v>1178.9239658413908</v>
      </c>
      <c r="P502" s="957">
        <f>IF(SUM(K502)=SUM(F502),"",SUM(K502)-SUM(F502))</f>
        <v>-293.71053842843548</v>
      </c>
      <c r="Q502" s="1107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3" t="str">
        <f>IF(Data!A503="","",Data!A503)</f>
        <v>Brown sugar purchase</v>
      </c>
      <c r="B503" s="1078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2.5897302423551731</v>
      </c>
      <c r="J503" s="1168">
        <f>IF(J$46="","",IF('Exp factors'!$B61="poor",'Exp factors'!$G$61*J$46/J504,SUM(E503)*'Exp factors'!E$61))</f>
        <v>2.5897302423551731</v>
      </c>
      <c r="K503" s="1168">
        <f>IF(K$46="","",IF('Exp factors'!$B61="poor",'Exp factors'!$G$61*K$46/K504,SUM(F503)*'Exp factors'!F$61))</f>
        <v>2.9134465226495698</v>
      </c>
      <c r="L503" s="1078"/>
      <c r="M503" s="948"/>
      <c r="N503" s="948"/>
      <c r="O503" s="948"/>
      <c r="P503" s="948"/>
      <c r="Q503" s="1107"/>
      <c r="R503" s="882"/>
      <c r="S503" s="1014"/>
      <c r="T503" s="1014"/>
      <c r="U503" s="1046">
        <v>503</v>
      </c>
      <c r="V503" s="461"/>
    </row>
    <row r="504" spans="1:22" s="1143" customFormat="1" ht="15.75" customHeight="1">
      <c r="A504" s="1099" t="s">
        <v>289</v>
      </c>
      <c r="B504" s="1078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78"/>
      <c r="H504" s="1169">
        <f>I504</f>
        <v>12</v>
      </c>
      <c r="I504" s="1169">
        <f>IF(SUM(D504)=0,IF(SUM(C504)=0,IF(SUM(E504)=0,IF(SUM(F504)=0,12,SUM(F504)),SUM(E504)),SUM(C504)),SUM(D504))</f>
        <v>12</v>
      </c>
      <c r="J504" s="1169">
        <f>I504</f>
        <v>12</v>
      </c>
      <c r="K504" s="1169">
        <f>I504</f>
        <v>12</v>
      </c>
      <c r="L504" s="1078"/>
      <c r="M504" s="948"/>
      <c r="N504" s="948"/>
      <c r="O504" s="948"/>
      <c r="P504" s="948"/>
      <c r="Q504" s="1141"/>
      <c r="R504" s="882"/>
      <c r="S504" s="1014"/>
      <c r="T504" s="1014"/>
      <c r="U504" s="1046">
        <v>504</v>
      </c>
      <c r="V504" s="1142"/>
    </row>
    <row r="505" spans="1:22" s="1143" customFormat="1" ht="15.75" customHeight="1">
      <c r="A505" s="1148" t="s">
        <v>292</v>
      </c>
      <c r="B505" s="1078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78"/>
      <c r="H505" s="948"/>
      <c r="I505" s="948"/>
      <c r="J505" s="948"/>
      <c r="K505" s="948"/>
      <c r="L505" s="1078"/>
      <c r="M505" s="1094"/>
      <c r="N505" s="1094"/>
      <c r="O505" s="1094"/>
      <c r="P505" s="1094"/>
      <c r="Q505" s="1141"/>
      <c r="R505" s="882"/>
      <c r="S505" s="1014"/>
      <c r="T505" s="1014"/>
      <c r="U505" s="1046">
        <v>505</v>
      </c>
      <c r="V505" s="1142"/>
    </row>
    <row r="506" spans="1:22" ht="15.75" customHeight="1">
      <c r="A506" s="1099" t="s">
        <v>252</v>
      </c>
      <c r="B506" s="1079"/>
      <c r="C506" s="1371" t="str">
        <f>IF(SUM(C503)=0,"",C503*C504*C505/C$46/365/$P$1)</f>
        <v/>
      </c>
      <c r="D506" s="1371" t="str">
        <f>IF(SUM(D503)=0,"",D503*D504*D505/D$46/365/$P$1)</f>
        <v/>
      </c>
      <c r="E506" s="1371" t="str">
        <f>IF(SUM(E503)=0,"",E503*E504*E505/E$46/365/$P$1)</f>
        <v/>
      </c>
      <c r="F506" s="1371" t="str">
        <f>IF(SUM(F503)=0,"",F503*F504*F505/F$46/365/$P$1)</f>
        <v/>
      </c>
      <c r="G506" s="1090"/>
      <c r="H506" s="1371">
        <f>IF(H$46=0,"",H503*H504*SUM($D505)/H$46/365/$P$1)</f>
        <v>2.0254077046125727E-2</v>
      </c>
      <c r="I506" s="1371">
        <f>IF(I$46=0,"",I503*I504*SUM($D505)/I$46/365/$P$1)</f>
        <v>2.0254077046125727E-2</v>
      </c>
      <c r="J506" s="1371">
        <f>IF(J$46=0,"",J503*J504*SUM($D505)/J$46/365/$P$1)</f>
        <v>2.0254077046125727E-2</v>
      </c>
      <c r="K506" s="1371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2.0254077046125727E-2</v>
      </c>
      <c r="O506" s="1126">
        <f>IF(SUM(J506)=SUM(E506),"",SUM(J506)-SUM(E506))</f>
        <v>2.0254077046125727E-2</v>
      </c>
      <c r="P506" s="1126">
        <f>IF(SUM(K506)=SUM(F506),"",SUM(K506)-SUM(F506))</f>
        <v>2.0254077046125731E-2</v>
      </c>
      <c r="Q506" s="1107"/>
      <c r="R506" s="1045"/>
      <c r="S506" s="1007"/>
      <c r="T506" s="1007"/>
      <c r="U506" s="1046">
        <v>506</v>
      </c>
      <c r="V506" s="461"/>
    </row>
    <row r="507" spans="1:22" ht="15.75" customHeight="1">
      <c r="A507" s="1167" t="s">
        <v>288</v>
      </c>
      <c r="B507" s="1081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78"/>
      <c r="H507" s="1586">
        <f>$I507</f>
        <v>21.820450281425892</v>
      </c>
      <c r="I507" s="1586">
        <f>IF(SUM($D507)=0,IF(SUM($C507)=0,IF(SUM($E507)=0,IF(SUM($F507)=0,'Exp factors'!$H$61,SUM($F507)),SUM($E507)),SUM($C507)),SUM($D507))</f>
        <v>21.820450281425892</v>
      </c>
      <c r="J507" s="1586">
        <f>$I507</f>
        <v>21.820450281425892</v>
      </c>
      <c r="K507" s="1586">
        <f>$I507</f>
        <v>21.820450281425892</v>
      </c>
      <c r="L507" s="1078"/>
      <c r="M507" s="948"/>
      <c r="N507" s="948"/>
      <c r="O507" s="948"/>
      <c r="P507" s="948"/>
      <c r="Q507" s="1107"/>
      <c r="R507" s="1091"/>
      <c r="S507" s="1092"/>
      <c r="T507" s="1092"/>
      <c r="U507" s="1046">
        <v>507</v>
      </c>
      <c r="V507" s="461"/>
    </row>
    <row r="508" spans="1:22" ht="15.75" customHeight="1">
      <c r="A508" s="1099" t="s">
        <v>286</v>
      </c>
      <c r="B508" s="1078"/>
      <c r="C508" s="1372" t="str">
        <f>IF(C507="","",C503*C504*C507)</f>
        <v/>
      </c>
      <c r="D508" s="1372" t="str">
        <f>IF(D507="","",D503*D504*D507)</f>
        <v/>
      </c>
      <c r="E508" s="1372" t="str">
        <f>IF(E507="","",E503*E504*E507)</f>
        <v/>
      </c>
      <c r="F508" s="1372" t="str">
        <f>IF(F507="","",F503*F504*F507)</f>
        <v/>
      </c>
      <c r="G508" s="1078"/>
      <c r="H508" s="1372">
        <f>IF(H$46=0,"",H503*H504*H507)</f>
        <v>678.10895994739292</v>
      </c>
      <c r="I508" s="1372">
        <f t="shared" ref="I508" si="50">IF(I$46=0,"",I503*I504*I507)</f>
        <v>678.10895994739292</v>
      </c>
      <c r="J508" s="1372">
        <f t="shared" ref="J508" si="51">IF(J$46=0,"",J503*J504*J507)</f>
        <v>678.10895994739292</v>
      </c>
      <c r="K508" s="1372">
        <f t="shared" ref="K508" si="52">IF(K$46=0,"",K503*K504*K507)</f>
        <v>762.8725799408171</v>
      </c>
      <c r="L508" s="1078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07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1.6839933126226247</v>
      </c>
      <c r="J509" s="1168">
        <f>IF(J$46="","",IF('Exp factors'!$B62="poor",'Exp factors'!$G$62*J$46/J510,SUM(E509)*'Exp factors'!E$62))</f>
        <v>1.6839933126226247</v>
      </c>
      <c r="K509" s="1168">
        <f>IF(K$46="","",IF('Exp factors'!$B62="poor",'Exp factors'!$G$62*K$46/K510,SUM(F509)*'Exp factors'!F$62))</f>
        <v>1.894492476700453</v>
      </c>
      <c r="L509" s="1078"/>
      <c r="M509" s="948"/>
      <c r="N509" s="948"/>
      <c r="O509" s="948"/>
      <c r="P509" s="948"/>
      <c r="Q509" s="1107"/>
      <c r="R509" s="882"/>
      <c r="S509" s="1014"/>
      <c r="T509" s="1014"/>
      <c r="U509" s="1046">
        <v>509</v>
      </c>
      <c r="V509" s="461"/>
    </row>
    <row r="510" spans="1:22" ht="15.75" customHeight="1">
      <c r="A510" s="1099" t="s">
        <v>289</v>
      </c>
      <c r="B510" s="1079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78"/>
      <c r="H510" s="1169">
        <f>I510</f>
        <v>12</v>
      </c>
      <c r="I510" s="1169">
        <f>IF(SUM(D510)=0,IF(SUM(C510)=0,IF(SUM(E510)=0,IF(SUM(F510)=0,12,SUM(F510)),SUM(E510)),SUM(C510)),SUM(D510))</f>
        <v>12</v>
      </c>
      <c r="J510" s="1169">
        <f>I510</f>
        <v>12</v>
      </c>
      <c r="K510" s="1169">
        <f>I510</f>
        <v>12</v>
      </c>
      <c r="L510" s="1078"/>
      <c r="M510" s="948"/>
      <c r="N510" s="948"/>
      <c r="O510" s="948"/>
      <c r="P510" s="948"/>
      <c r="Q510" s="1107"/>
      <c r="R510" s="882"/>
      <c r="S510" s="1014"/>
      <c r="T510" s="1014"/>
      <c r="U510" s="1046">
        <v>510</v>
      </c>
      <c r="V510" s="461"/>
    </row>
    <row r="511" spans="1:22" ht="15.75" customHeight="1">
      <c r="A511" s="1148" t="s">
        <v>292</v>
      </c>
      <c r="B511" s="1078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78"/>
      <c r="H511" s="948"/>
      <c r="I511" s="948"/>
      <c r="J511" s="948"/>
      <c r="K511" s="948"/>
      <c r="L511" s="1078"/>
      <c r="M511" s="1094"/>
      <c r="N511" s="1094"/>
      <c r="O511" s="1094"/>
      <c r="P511" s="1094"/>
      <c r="Q511" s="1107"/>
      <c r="R511" s="882"/>
      <c r="S511" s="1014"/>
      <c r="T511" s="1014"/>
      <c r="U511" s="1046">
        <v>511</v>
      </c>
      <c r="V511" s="461"/>
    </row>
    <row r="512" spans="1:22" ht="15.75" customHeight="1">
      <c r="A512" s="1099" t="s">
        <v>252</v>
      </c>
      <c r="B512" s="1081"/>
      <c r="C512" s="1371">
        <f>IF(SUM(C509)=0,"",C509*C510*C511/C$46/365/$P$1)</f>
        <v>7.9186830635118305E-2</v>
      </c>
      <c r="D512" s="1371">
        <f>IF(SUM(D509)=0,"",D509*D510*D511/D$46/365/$P$1)</f>
        <v>7.9186830635118305E-2</v>
      </c>
      <c r="E512" s="1371">
        <f>IF(SUM(E509)=0,"",E509*E510*E511/E$46/365/$P$1)</f>
        <v>7.9186830635118305E-2</v>
      </c>
      <c r="F512" s="1371">
        <f>IF(SUM(F509)=0,"",F509*F510*F511/F$46/365/$P$1)</f>
        <v>7.0388293897882939E-2</v>
      </c>
      <c r="G512" s="1090"/>
      <c r="H512" s="1371">
        <f>IF(H$46=0,"",H509*H510*SUM($D511)/H$46/365/$P$1)</f>
        <v>1.3335009323731963E-2</v>
      </c>
      <c r="I512" s="1371">
        <f>IF(I$46=0,"",I509*I510*SUM($D511)/I$46/365/$P$1)</f>
        <v>1.3335009323731963E-2</v>
      </c>
      <c r="J512" s="1371">
        <f>IF(J$46=0,"",J509*J510*SUM($D511)/J$46/365/$P$1)</f>
        <v>1.3335009323731963E-2</v>
      </c>
      <c r="K512" s="1371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-6.5851821311386338E-2</v>
      </c>
      <c r="O512" s="1126">
        <f>IF(SUM(J512)=SUM(E512),"",SUM(J512)-SUM(E512))</f>
        <v>-6.5851821311386338E-2</v>
      </c>
      <c r="P512" s="1126">
        <f>IF(SUM(K512)=SUM(F512),"",SUM(K512)-SUM(F512))</f>
        <v>-5.7053284574150973E-2</v>
      </c>
      <c r="Q512" s="1107"/>
      <c r="R512" s="1045"/>
      <c r="S512" s="1007"/>
      <c r="T512" s="1007"/>
      <c r="U512" s="1046">
        <v>512</v>
      </c>
      <c r="V512" s="461"/>
    </row>
    <row r="513" spans="1:22" ht="15.75" customHeight="1">
      <c r="A513" s="1167" t="s">
        <v>288</v>
      </c>
      <c r="B513" s="1081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78"/>
      <c r="H513" s="1586">
        <f>$I513</f>
        <v>7</v>
      </c>
      <c r="I513" s="1586">
        <f>IF(SUM($D513)=0,IF(SUM($C513)=0,IF(SUM($E513)=0,IF(SUM($F513)=0,'Exp factors'!$H$62,SUM($F513)),SUM($E513)),SUM($C513)),SUM($D513))</f>
        <v>7</v>
      </c>
      <c r="J513" s="1586">
        <f>$I513</f>
        <v>7</v>
      </c>
      <c r="K513" s="1586">
        <f>$I513</f>
        <v>7</v>
      </c>
      <c r="L513" s="1078"/>
      <c r="M513" s="948"/>
      <c r="N513" s="948"/>
      <c r="O513" s="948"/>
      <c r="P513" s="948"/>
      <c r="Q513" s="1107"/>
      <c r="R513" s="1091"/>
      <c r="S513" s="1092"/>
      <c r="T513" s="1092"/>
      <c r="U513" s="1046">
        <v>513</v>
      </c>
      <c r="V513" s="461"/>
    </row>
    <row r="514" spans="1:22" s="1143" customFormat="1" ht="15.75" customHeight="1">
      <c r="A514" s="1099" t="s">
        <v>286</v>
      </c>
      <c r="B514" s="1078"/>
      <c r="C514" s="1372">
        <f>IF(C513="","",C509*C510*C513)</f>
        <v>840</v>
      </c>
      <c r="D514" s="1372">
        <f>IF(D513="","",D509*D510*D513)</f>
        <v>840</v>
      </c>
      <c r="E514" s="1372">
        <f>IF(E513="","",E509*E510*E513)</f>
        <v>840</v>
      </c>
      <c r="F514" s="1372">
        <f>IF(F513="","",F509*F510*F513)</f>
        <v>840</v>
      </c>
      <c r="G514" s="1078"/>
      <c r="H514" s="1372">
        <f>IF(H$46=0,"",H509*H510*H513)</f>
        <v>141.45543826030047</v>
      </c>
      <c r="I514" s="1372">
        <f t="shared" ref="I514" si="53">IF(I$46=0,"",I509*I510*I513)</f>
        <v>141.45543826030047</v>
      </c>
      <c r="J514" s="1372">
        <f t="shared" ref="J514" si="54">IF(J$46=0,"",J509*J510*J513)</f>
        <v>141.45543826030047</v>
      </c>
      <c r="K514" s="1372">
        <f t="shared" ref="K514" si="55">IF(K$46=0,"",K509*K510*K513)</f>
        <v>159.13736804283803</v>
      </c>
      <c r="L514" s="1078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07" t="str">
        <f>[1]ExpFactors!$I$62</f>
        <v>fpl</v>
      </c>
      <c r="R514" s="882"/>
      <c r="S514" s="1014"/>
      <c r="T514" s="1014"/>
      <c r="U514" s="1046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3.9337825283139201</v>
      </c>
      <c r="J515" s="1168">
        <f>IF(J$46="","",IF('Exp factors'!$B53="poor",'Exp factors'!$G$53*J$46/J516,SUM(E515)*'Exp factors'!E$53))</f>
        <v>3.9337825283139201</v>
      </c>
      <c r="K515" s="1168">
        <f>IF(K$46="","",IF('Exp factors'!$B53="poor",'Exp factors'!$G$53*K$46/K516,SUM(F515)*'Exp factors'!F$53))</f>
        <v>4.4255053443531605</v>
      </c>
      <c r="L515" s="1078"/>
      <c r="M515" s="948"/>
      <c r="N515" s="948"/>
      <c r="O515" s="948"/>
      <c r="P515" s="948"/>
      <c r="Q515" s="1107"/>
      <c r="R515" s="882"/>
      <c r="S515" s="1014"/>
      <c r="T515" s="1014"/>
      <c r="U515" s="1046">
        <v>515</v>
      </c>
      <c r="V515" s="461"/>
    </row>
    <row r="516" spans="1:22" ht="15.75" customHeight="1">
      <c r="A516" s="1099" t="s">
        <v>289</v>
      </c>
      <c r="B516" s="1078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78"/>
      <c r="H516" s="1169">
        <f>I516</f>
        <v>12</v>
      </c>
      <c r="I516" s="1169">
        <f>IF(SUM(D516)=0,IF(SUM(C516)=0,IF(SUM(E516)=0,IF(SUM(F516)=0,12,SUM(F516)),SUM(E516)),SUM(C516)),SUM(D516))</f>
        <v>12</v>
      </c>
      <c r="J516" s="1169">
        <f>I516</f>
        <v>12</v>
      </c>
      <c r="K516" s="1169">
        <f>I516</f>
        <v>12</v>
      </c>
      <c r="L516" s="1078"/>
      <c r="M516" s="948"/>
      <c r="N516" s="948"/>
      <c r="O516" s="948"/>
      <c r="P516" s="948"/>
      <c r="Q516" s="1107"/>
      <c r="R516" s="882"/>
      <c r="S516" s="1014"/>
      <c r="T516" s="1014"/>
      <c r="U516" s="1046">
        <v>516</v>
      </c>
      <c r="V516" s="461"/>
    </row>
    <row r="517" spans="1:22" ht="15.75" customHeight="1">
      <c r="A517" s="1148" t="s">
        <v>292</v>
      </c>
      <c r="B517" s="1078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78"/>
      <c r="H517" s="948"/>
      <c r="I517" s="948"/>
      <c r="J517" s="948"/>
      <c r="K517" s="948"/>
      <c r="L517" s="1078"/>
      <c r="M517" s="1094"/>
      <c r="N517" s="1094"/>
      <c r="O517" s="1094"/>
      <c r="P517" s="1094"/>
      <c r="Q517" s="1107"/>
      <c r="R517" s="882"/>
      <c r="S517" s="1014"/>
      <c r="T517" s="1014"/>
      <c r="U517" s="1046">
        <v>517</v>
      </c>
      <c r="V517" s="461"/>
    </row>
    <row r="518" spans="1:22" ht="15.75" customHeight="1">
      <c r="A518" s="1099" t="s">
        <v>252</v>
      </c>
      <c r="B518" s="1079"/>
      <c r="C518" s="1371">
        <f>IF(SUM(C515)=0,"",C515*C516*C517/C$46/365/$P$1)</f>
        <v>8.7985367372353671E-2</v>
      </c>
      <c r="D518" s="1371">
        <f>IF(SUM(D515)=0,"",D515*D516*D517/D$46/365/$P$1)</f>
        <v>8.7985367372353671E-2</v>
      </c>
      <c r="E518" s="1371">
        <f>IF(SUM(E515)=0,"",E515*E516*E517/E$46/365/$P$1)</f>
        <v>8.7985367372353671E-2</v>
      </c>
      <c r="F518" s="1371">
        <f>IF(SUM(F515)=0,"",F515*F516*F517/F$46/365/$P$1)</f>
        <v>7.8209215442092153E-2</v>
      </c>
      <c r="G518" s="1090"/>
      <c r="H518" s="1371">
        <f>IF(H$46=0,"",H515*H516*SUM($D517)/H$46/365/$P$1)</f>
        <v>6.9223060183329313E-2</v>
      </c>
      <c r="I518" s="1371">
        <f>IF(I$46=0,"",I515*I516*SUM($D517)/I$46/365/$P$1)</f>
        <v>6.9223060183329313E-2</v>
      </c>
      <c r="J518" s="1371">
        <f>IF(J$46=0,"",J515*J516*SUM($D517)/J$46/365/$P$1)</f>
        <v>6.9223060183329313E-2</v>
      </c>
      <c r="K518" s="1371">
        <f>IF(K$46=0,"",K515*K516*SUM($D517)/K$46/365/$P$1)</f>
        <v>6.9223060183329313E-2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-1.8762307189024358E-2</v>
      </c>
      <c r="O518" s="1126">
        <f>IF(SUM(J518)=SUM(E518),"",SUM(J518)-SUM(E518))</f>
        <v>-1.8762307189024358E-2</v>
      </c>
      <c r="P518" s="1126">
        <f>IF(SUM(K518)=SUM(F518),"",SUM(K518)-SUM(F518))</f>
        <v>-8.9861552587628402E-3</v>
      </c>
      <c r="Q518" s="1107"/>
      <c r="R518" s="1045"/>
      <c r="S518" s="1007"/>
      <c r="T518" s="1007"/>
      <c r="U518" s="1046">
        <v>518</v>
      </c>
      <c r="V518" s="461"/>
    </row>
    <row r="519" spans="1:22" ht="15.75" customHeight="1">
      <c r="A519" s="1167" t="s">
        <v>288</v>
      </c>
      <c r="B519" s="1078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78"/>
      <c r="H519" s="1586">
        <f>$I519</f>
        <v>12</v>
      </c>
      <c r="I519" s="1586">
        <f>IF(SUM($D519)=0,IF(SUM($C519)=0,IF(SUM($E519)=0,IF(SUM($F519)=0,'Exp factors'!$H$53,SUM($F519)),SUM($E519)),SUM($C519)),SUM($D519))</f>
        <v>12</v>
      </c>
      <c r="J519" s="1586">
        <f>$I519</f>
        <v>12</v>
      </c>
      <c r="K519" s="1586">
        <f>$I519</f>
        <v>12</v>
      </c>
      <c r="L519" s="1078"/>
      <c r="M519" s="948"/>
      <c r="N519" s="948"/>
      <c r="O519" s="948"/>
      <c r="P519" s="948"/>
      <c r="Q519" s="1107"/>
      <c r="R519" s="1091"/>
      <c r="S519" s="1092"/>
      <c r="T519" s="1092"/>
      <c r="U519" s="1046">
        <v>519</v>
      </c>
      <c r="V519" s="461"/>
    </row>
    <row r="520" spans="1:22" ht="15.75" customHeight="1">
      <c r="A520" s="1099" t="s">
        <v>286</v>
      </c>
      <c r="B520" s="1078"/>
      <c r="C520" s="1372">
        <f>IF(C519="","",C515*C516*C519)</f>
        <v>720</v>
      </c>
      <c r="D520" s="1372">
        <f>IF(D519="","",D515*D516*D519)</f>
        <v>720</v>
      </c>
      <c r="E520" s="1372">
        <f>IF(E519="","",E515*E516*E519)</f>
        <v>720</v>
      </c>
      <c r="F520" s="1372">
        <f>IF(F519="","",F515*F516*F519)</f>
        <v>660</v>
      </c>
      <c r="G520" s="1078"/>
      <c r="H520" s="1372">
        <f>IF(H$46=0,"",H515*H516*H519)</f>
        <v>566.46468407720454</v>
      </c>
      <c r="I520" s="1372">
        <f t="shared" ref="I520" si="56">IF(I$46=0,"",I515*I516*I519)</f>
        <v>566.46468407720454</v>
      </c>
      <c r="J520" s="1372">
        <f t="shared" ref="J520" si="57">IF(J$46=0,"",J515*J516*J519)</f>
        <v>566.46468407720454</v>
      </c>
      <c r="K520" s="1372">
        <f t="shared" ref="K520" si="58">IF(K$46=0,"",K515*K516*K519)</f>
        <v>637.27276958685513</v>
      </c>
      <c r="L520" s="1078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07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3.3454952241287761</v>
      </c>
      <c r="J521" s="1168">
        <f>IF(J$46="","",IF('Exp factors'!$B44="poor",'Exp factors'!$G$44*J$46/J522,SUM(E521)*'Exp factors'!E$44))</f>
        <v>3.3454952241287761</v>
      </c>
      <c r="K521" s="1168">
        <f>IF(K$46="","",IF('Exp factors'!$B44="poor",'Exp factors'!$G$44*K$46/K522,SUM(F521)*'Exp factors'!F$44))</f>
        <v>3.7636821271448735</v>
      </c>
      <c r="L521" s="1078"/>
      <c r="M521" s="948"/>
      <c r="N521" s="948"/>
      <c r="O521" s="948"/>
      <c r="P521" s="948"/>
      <c r="Q521" s="1107"/>
      <c r="R521" s="882"/>
      <c r="S521" s="1014"/>
      <c r="T521" s="1014"/>
      <c r="U521" s="1046">
        <v>521</v>
      </c>
      <c r="V521" s="461"/>
    </row>
    <row r="522" spans="1:22" ht="15.75" customHeight="1">
      <c r="A522" s="1099" t="s">
        <v>289</v>
      </c>
      <c r="B522" s="1078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78"/>
      <c r="H522" s="1169">
        <f>I522</f>
        <v>12</v>
      </c>
      <c r="I522" s="1169">
        <f>IF(SUM(D522)=0,IF(SUM(C522)=0,IF(SUM(E522)=0,IF(SUM(F522)=0,12,SUM(F522)),SUM(E522)),SUM(C522)),SUM(D522))</f>
        <v>12</v>
      </c>
      <c r="J522" s="1169">
        <f>I522</f>
        <v>12</v>
      </c>
      <c r="K522" s="1169">
        <f>I522</f>
        <v>12</v>
      </c>
      <c r="L522" s="1078"/>
      <c r="M522" s="948"/>
      <c r="N522" s="948"/>
      <c r="O522" s="948"/>
      <c r="P522" s="948"/>
      <c r="Q522" s="1107"/>
      <c r="R522" s="882"/>
      <c r="S522" s="1014"/>
      <c r="T522" s="1014"/>
      <c r="U522" s="1046">
        <v>522</v>
      </c>
      <c r="V522" s="461"/>
    </row>
    <row r="523" spans="1:22" ht="15.75" customHeight="1">
      <c r="A523" s="1148" t="s">
        <v>292</v>
      </c>
      <c r="B523" s="1081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78"/>
      <c r="H523" s="948"/>
      <c r="I523" s="948"/>
      <c r="J523" s="948"/>
      <c r="K523" s="948"/>
      <c r="L523" s="1078"/>
      <c r="M523" s="1094"/>
      <c r="N523" s="1094"/>
      <c r="O523" s="1094"/>
      <c r="P523" s="1094"/>
      <c r="Q523" s="1107"/>
      <c r="R523" s="882"/>
      <c r="S523" s="1014"/>
      <c r="T523" s="1014"/>
      <c r="U523" s="1046">
        <v>523</v>
      </c>
      <c r="V523" s="461"/>
    </row>
    <row r="524" spans="1:22" ht="15.75" customHeight="1">
      <c r="A524" s="1099" t="s">
        <v>252</v>
      </c>
      <c r="B524" s="1081"/>
      <c r="C524" s="1371" t="str">
        <f>IF(SUM(C521)=0,"",C521*C522*C523/C$46/365/$P$1)</f>
        <v/>
      </c>
      <c r="D524" s="1371" t="str">
        <f>IF(SUM(D521)=0,"",D521*D522*D523/D$46/365/$P$1)</f>
        <v/>
      </c>
      <c r="E524" s="1371" t="str">
        <f>IF(SUM(E521)=0,"",E521*E522*E523/E$46/365/$P$1)</f>
        <v/>
      </c>
      <c r="F524" s="1371" t="str">
        <f>IF(SUM(F521)=0,"",F521*F522*F523/F$46/365/$P$1)</f>
        <v/>
      </c>
      <c r="G524" s="1090"/>
      <c r="H524" s="1371">
        <f>IF(H$46=0,"",H521*H522*SUM($D523)/H$46/365/$P$1)</f>
        <v>4.1863769079100452E-3</v>
      </c>
      <c r="I524" s="1371">
        <f>IF(I$46=0,"",I521*I522*SUM($D523)/I$46/365/$P$1)</f>
        <v>4.1863769079100452E-3</v>
      </c>
      <c r="J524" s="1371">
        <f>IF(J$46=0,"",J521*J522*SUM($D523)/J$46/365/$P$1)</f>
        <v>4.1863769079100452E-3</v>
      </c>
      <c r="K524" s="1371">
        <f>IF(K$46=0,"",K521*K522*SUM($D523)/K$46/365/$P$1)</f>
        <v>4.1863769079100461E-3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4.1863769079100452E-3</v>
      </c>
      <c r="P524" s="1126">
        <f>IF(SUM(K524)=SUM(F524),"",SUM(K524)-SUM(F524))</f>
        <v>4.1863769079100461E-3</v>
      </c>
      <c r="Q524" s="1107"/>
      <c r="R524" s="1045"/>
      <c r="S524" s="1007"/>
      <c r="T524" s="1007"/>
      <c r="U524" s="1046">
        <v>524</v>
      </c>
      <c r="V524" s="461"/>
    </row>
    <row r="525" spans="1:22" ht="15.75" customHeight="1">
      <c r="A525" s="1167" t="s">
        <v>288</v>
      </c>
      <c r="B525" s="1081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78"/>
      <c r="H525" s="1586">
        <f>$I525</f>
        <v>8.8394160583941606</v>
      </c>
      <c r="I525" s="1586">
        <f>IF(SUM($D525)=0,IF(SUM($C525)=0,IF(SUM($E525)=0,IF(SUM($F525)=0,'Exp factors'!$H$44,SUM($F525)),SUM($E525)),SUM($C525)),SUM($D525))</f>
        <v>8.8394160583941606</v>
      </c>
      <c r="J525" s="1586">
        <f>$I525</f>
        <v>8.8394160583941606</v>
      </c>
      <c r="K525" s="1586">
        <f>$I525</f>
        <v>8.8394160583941606</v>
      </c>
      <c r="L525" s="1078"/>
      <c r="M525" s="948"/>
      <c r="N525" s="948"/>
      <c r="O525" s="948"/>
      <c r="P525" s="948"/>
      <c r="Q525" s="1107"/>
      <c r="R525" s="1091"/>
      <c r="S525" s="1092"/>
      <c r="T525" s="1092"/>
      <c r="U525" s="1046">
        <v>525</v>
      </c>
      <c r="V525" s="461"/>
    </row>
    <row r="526" spans="1:22" ht="15.75" customHeight="1">
      <c r="A526" s="1099" t="s">
        <v>286</v>
      </c>
      <c r="B526" s="1078"/>
      <c r="C526" s="1372" t="str">
        <f>IF(C525="","",C521*C522*C525)</f>
        <v/>
      </c>
      <c r="D526" s="1372" t="str">
        <f>IF(D525="","",D521*D522*D525)</f>
        <v/>
      </c>
      <c r="E526" s="1372" t="str">
        <f>IF(E525="","",E521*E522*E525)</f>
        <v/>
      </c>
      <c r="F526" s="1372" t="str">
        <f>IF(F525="","",F521*F522*F525)</f>
        <v/>
      </c>
      <c r="G526" s="1078"/>
      <c r="H526" s="1372">
        <f>IF(H$46=0,"",H521*H522*H525)</f>
        <v>354.86669048933851</v>
      </c>
      <c r="I526" s="1372">
        <f t="shared" ref="I526" si="59">IF(I$46=0,"",I521*I522*I525)</f>
        <v>354.86669048933851</v>
      </c>
      <c r="J526" s="1372">
        <f t="shared" ref="J526" si="60">IF(J$46=0,"",J521*J522*J525)</f>
        <v>354.86669048933851</v>
      </c>
      <c r="K526" s="1372">
        <f t="shared" ref="K526" si="61">IF(K$46=0,"",K521*K522*K525)</f>
        <v>399.22502680050587</v>
      </c>
      <c r="L526" s="1078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07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8"/>
      <c r="N527" s="948"/>
      <c r="O527" s="948"/>
      <c r="P527" s="948"/>
      <c r="Q527" s="1107"/>
      <c r="R527" s="882"/>
      <c r="S527" s="1014"/>
      <c r="T527" s="1014"/>
      <c r="U527" s="1046">
        <v>527</v>
      </c>
      <c r="V527" s="461"/>
    </row>
    <row r="528" spans="1:22" ht="15.75" customHeight="1">
      <c r="A528" s="1591" t="s">
        <v>293</v>
      </c>
      <c r="B528" s="1078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25.837199132039679</v>
      </c>
      <c r="J528" s="1168">
        <f>IF(J$46="","",IF('Exp factors'!$B45="poor",'Exp factors'!$G$45*J$46,SUM(E528)*'Exp factors'!E$45))</f>
        <v>25.837199132039679</v>
      </c>
      <c r="K528" s="1168">
        <f>IF(K$46="","",IF('Exp factors'!$B45="poor",'Exp factors'!$G$45*K$46,SUM(F528)*'Exp factors'!F$45))</f>
        <v>29.066849023544638</v>
      </c>
      <c r="L528" s="1078"/>
      <c r="M528" s="948"/>
      <c r="N528" s="948"/>
      <c r="O528" s="948"/>
      <c r="P528" s="948"/>
      <c r="Q528" s="1107"/>
      <c r="R528" s="882"/>
      <c r="S528" s="1014"/>
      <c r="T528" s="1014"/>
      <c r="U528" s="1046">
        <v>528</v>
      </c>
      <c r="V528" s="461"/>
    </row>
    <row r="529" spans="1:22" ht="15.75" customHeight="1">
      <c r="A529" s="1148" t="s">
        <v>292</v>
      </c>
      <c r="B529" s="1081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78"/>
      <c r="H529" s="948"/>
      <c r="I529" s="948"/>
      <c r="J529" s="948"/>
      <c r="K529" s="948"/>
      <c r="L529" s="1078"/>
      <c r="M529" s="1094"/>
      <c r="N529" s="1094"/>
      <c r="O529" s="1094"/>
      <c r="P529" s="1094"/>
      <c r="Q529" s="1107"/>
      <c r="R529" s="882"/>
      <c r="S529" s="1014"/>
      <c r="T529" s="1014"/>
      <c r="U529" s="1046">
        <v>529</v>
      </c>
      <c r="V529" s="461"/>
    </row>
    <row r="530" spans="1:22" ht="15.75" customHeight="1">
      <c r="A530" s="1099" t="s">
        <v>252</v>
      </c>
      <c r="B530" s="1081"/>
      <c r="C530" s="1371" t="str">
        <f>IF(SUM(C528)=0,"",C528*C529/C$46/365/$P$1)</f>
        <v/>
      </c>
      <c r="D530" s="1371">
        <f>IF(SUM(D528)=0,"",D528*D529/D$46/365/$P$1)</f>
        <v>1.1069862702366127E-2</v>
      </c>
      <c r="E530" s="1371">
        <f>IF(SUM(E528)=0,"",E528*E529/E$46/365/$P$1)</f>
        <v>1.1069862702366127E-2</v>
      </c>
      <c r="F530" s="1371">
        <f>IF(SUM(F528)=0,"",F528*F529/F$46/365/$P$1)</f>
        <v>9.839877957658779E-3</v>
      </c>
      <c r="G530" s="1078"/>
      <c r="H530" s="1371">
        <f>IF(H$46=0,"",H528*SUM($D529)/H$46/365/$P$1)</f>
        <v>6.6514941164040114E-3</v>
      </c>
      <c r="I530" s="1371">
        <f>IF(I$46=0,"",I528*SUM($D529)/I$46/365/$P$1)</f>
        <v>6.6514941164040114E-3</v>
      </c>
      <c r="J530" s="1371">
        <f>IF(J$46=0,"",J528*SUM($D529)/J$46/365/$P$1)</f>
        <v>6.6514941164040114E-3</v>
      </c>
      <c r="K530" s="1371">
        <f>IF(K$46=0,"",K528*SUM($D529)/K$46/365/$P$1)</f>
        <v>6.6514941164040114E-3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-4.4183685859621154E-3</v>
      </c>
      <c r="O530" s="1126">
        <f>IF(SUM(J530)=SUM(E530),"",SUM(J530)-SUM(E530))</f>
        <v>-4.4183685859621154E-3</v>
      </c>
      <c r="P530" s="1126">
        <f>IF(SUM(K530)=SUM(F530),"",SUM(K530)-SUM(F530))</f>
        <v>-3.1883838412547676E-3</v>
      </c>
      <c r="Q530" s="1107"/>
      <c r="R530" s="882"/>
      <c r="S530" s="1014"/>
      <c r="T530" s="1014"/>
      <c r="U530" s="1046">
        <v>530</v>
      </c>
      <c r="V530" s="461"/>
    </row>
    <row r="531" spans="1:22" ht="15.75" customHeight="1">
      <c r="A531" s="1167" t="s">
        <v>288</v>
      </c>
      <c r="B531" s="1081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78"/>
      <c r="H531" s="1586">
        <f>$I531</f>
        <v>15</v>
      </c>
      <c r="I531" s="1586">
        <f>IF(SUM($D531)=0,IF(SUM($C531)=0,IF(SUM($E531)=0,IF(SUM($F531)=0,'Exp factors'!$H$45,SUM($F531)),SUM($E531)),SUM($C531)),SUM($D531))</f>
        <v>15</v>
      </c>
      <c r="J531" s="1586">
        <f>$I531</f>
        <v>15</v>
      </c>
      <c r="K531" s="1586">
        <f>$I531</f>
        <v>15</v>
      </c>
      <c r="L531" s="1078"/>
      <c r="M531" s="948"/>
      <c r="N531" s="948"/>
      <c r="O531" s="948"/>
      <c r="P531" s="948"/>
      <c r="Q531" s="1107"/>
      <c r="R531" s="882"/>
      <c r="S531" s="1014"/>
      <c r="T531" s="1014"/>
      <c r="U531" s="1046">
        <v>531</v>
      </c>
      <c r="V531" s="461"/>
    </row>
    <row r="532" spans="1:22" ht="15.75" customHeight="1">
      <c r="A532" s="1099" t="s">
        <v>286</v>
      </c>
      <c r="B532" s="1078"/>
      <c r="C532" s="1372" t="str">
        <f>IF(C531="","",C528*C531)</f>
        <v/>
      </c>
      <c r="D532" s="1372">
        <f>IF(D531="","",D528*D531)</f>
        <v>645</v>
      </c>
      <c r="E532" s="1372">
        <f>IF(E531="","",E528*E531)</f>
        <v>688</v>
      </c>
      <c r="F532" s="1372">
        <f>IF(F531="","",F528*F531)</f>
        <v>731</v>
      </c>
      <c r="G532" s="1078"/>
      <c r="H532" s="1372">
        <f>IF(H$46=0,"",IF($D531="",H528*H531,H528*$D531))</f>
        <v>387.55798698059516</v>
      </c>
      <c r="I532" s="1372">
        <f t="shared" ref="I532:K532" si="62">IF(I$46=0,"",IF($D531="",I528*I531,I528*$D531))</f>
        <v>387.55798698059516</v>
      </c>
      <c r="J532" s="1372">
        <f t="shared" si="62"/>
        <v>387.55798698059516</v>
      </c>
      <c r="K532" s="1372">
        <f t="shared" si="62"/>
        <v>436.00273535316956</v>
      </c>
      <c r="L532" s="1078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07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8"/>
      <c r="N533" s="948"/>
      <c r="O533" s="948"/>
      <c r="P533" s="948"/>
      <c r="Q533" s="1107"/>
      <c r="R533" s="882"/>
      <c r="S533" s="1014"/>
      <c r="T533" s="1014"/>
      <c r="U533" s="1046">
        <v>533</v>
      </c>
      <c r="V533" s="461"/>
    </row>
    <row r="534" spans="1:22" ht="15.75" customHeight="1">
      <c r="A534" s="1591" t="s">
        <v>293</v>
      </c>
      <c r="B534" s="1078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186.22383616885378</v>
      </c>
      <c r="J534" s="1168">
        <f>IF(J$46="","",IF('Exp factors'!$B46="poor",'Exp factors'!$G$46*J$46,SUM(E534)*'Exp factors'!E$46))</f>
        <v>186.22383616885378</v>
      </c>
      <c r="K534" s="1168">
        <f>IF(K$46="","",IF('Exp factors'!$B46="poor",'Exp factors'!$G$46*K$46,SUM(F534)*'Exp factors'!F$46))</f>
        <v>209.50181568996049</v>
      </c>
      <c r="L534" s="1078"/>
      <c r="M534" s="948"/>
      <c r="N534" s="948"/>
      <c r="O534" s="948"/>
      <c r="P534" s="948"/>
      <c r="Q534" s="1107"/>
      <c r="R534" s="882"/>
      <c r="S534" s="1014"/>
      <c r="T534" s="1014"/>
      <c r="U534" s="1046">
        <v>534</v>
      </c>
      <c r="V534" s="461"/>
    </row>
    <row r="535" spans="1:22" ht="15.75" customHeight="1">
      <c r="A535" s="1148" t="s">
        <v>292</v>
      </c>
      <c r="B535" s="1081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78"/>
      <c r="H535" s="948"/>
      <c r="I535" s="948"/>
      <c r="J535" s="948"/>
      <c r="K535" s="948"/>
      <c r="L535" s="1078"/>
      <c r="M535" s="1094"/>
      <c r="N535" s="1094"/>
      <c r="O535" s="1094"/>
      <c r="P535" s="1094"/>
      <c r="Q535" s="1107"/>
      <c r="R535" s="882"/>
      <c r="S535" s="1014"/>
      <c r="T535" s="1014"/>
      <c r="U535" s="1046">
        <v>535</v>
      </c>
      <c r="V535" s="461"/>
    </row>
    <row r="536" spans="1:22" ht="15.75" customHeight="1">
      <c r="A536" s="1099" t="s">
        <v>252</v>
      </c>
      <c r="B536" s="1081"/>
      <c r="C536" s="1371">
        <f>IF(SUM(C534)=0,"",C534*C535/C$46/365/$P$1)</f>
        <v>7.0062422166874208E-3</v>
      </c>
      <c r="D536" s="1371">
        <f>IF(SUM(D534)=0,"",D534*D535/D$46/365/$P$1)</f>
        <v>2.1018726650062266E-2</v>
      </c>
      <c r="E536" s="1371">
        <f>IF(SUM(E534)=0,"",E534*E535/E$46/365/$P$1)</f>
        <v>2.1018726650062266E-2</v>
      </c>
      <c r="F536" s="1371">
        <f>IF(SUM(F534)=0,"",F534*F535/F$46/365/$P$1)</f>
        <v>1.8683312577833126E-2</v>
      </c>
      <c r="G536" s="1078"/>
      <c r="H536" s="1371">
        <f>IF(H$46=0,"",H534*SUM($D535)/H$46/365/$P$1)</f>
        <v>6.5236465135985258E-2</v>
      </c>
      <c r="I536" s="1371">
        <f>IF(I$46=0,"",I534*SUM($D535)/I$46/365/$P$1)</f>
        <v>6.5236465135985258E-2</v>
      </c>
      <c r="J536" s="1371">
        <f>IF(J$46=0,"",J534*SUM($D535)/J$46/365/$P$1)</f>
        <v>6.5236465135985258E-2</v>
      </c>
      <c r="K536" s="1371">
        <f>IF(K$46=0,"",K534*SUM($D535)/K$46/365/$P$1)</f>
        <v>6.5236465135985258E-2</v>
      </c>
      <c r="L536" s="1078"/>
      <c r="M536" s="1126">
        <f>IF(SUM(H536)=SUM(C536),"",SUM(H536)-SUM(C536))</f>
        <v>5.8230222919297837E-2</v>
      </c>
      <c r="N536" s="1126">
        <f>IF(SUM(I536)=SUM(D536),"",SUM(I536)-SUM(D536))</f>
        <v>4.4217738485922989E-2</v>
      </c>
      <c r="O536" s="1126">
        <f>IF(SUM(J536)=SUM(E536),"",SUM(J536)-SUM(E536))</f>
        <v>4.4217738485922989E-2</v>
      </c>
      <c r="P536" s="1126">
        <f>IF(SUM(K536)=SUM(F536),"",SUM(K536)-SUM(F536))</f>
        <v>4.6553152558152136E-2</v>
      </c>
      <c r="Q536" s="1107"/>
      <c r="R536" s="882"/>
      <c r="S536" s="1014"/>
      <c r="T536" s="1014"/>
      <c r="U536" s="1046">
        <v>536</v>
      </c>
      <c r="V536" s="461"/>
    </row>
    <row r="537" spans="1:22" ht="15.75" customHeight="1">
      <c r="A537" s="1167" t="s">
        <v>288</v>
      </c>
      <c r="B537" s="1081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78"/>
      <c r="H537" s="1586">
        <f>$I537</f>
        <v>18</v>
      </c>
      <c r="I537" s="1586">
        <f>IF(SUM($D537)=0,IF(SUM($C537)=0,IF(SUM($E537)=0,IF(SUM($F537)=0,'Exp factors'!$H$46,SUM($F537)),SUM($E537)),SUM($C537)),SUM($D537))</f>
        <v>18</v>
      </c>
      <c r="J537" s="1586">
        <f>$I537</f>
        <v>18</v>
      </c>
      <c r="K537" s="1586">
        <f>$I537</f>
        <v>18</v>
      </c>
      <c r="L537" s="1078"/>
      <c r="M537" s="948"/>
      <c r="N537" s="948"/>
      <c r="O537" s="948"/>
      <c r="P537" s="948"/>
      <c r="Q537" s="1107"/>
      <c r="R537" s="882"/>
      <c r="S537" s="1014"/>
      <c r="T537" s="1014"/>
      <c r="U537" s="1046">
        <v>537</v>
      </c>
      <c r="V537" s="461"/>
    </row>
    <row r="538" spans="1:22" ht="15.75" customHeight="1">
      <c r="A538" s="1099" t="s">
        <v>286</v>
      </c>
      <c r="B538" s="1078"/>
      <c r="C538" s="1372">
        <f>IF(C537="","",C534*C537)</f>
        <v>360</v>
      </c>
      <c r="D538" s="1372">
        <f>IF(D537="","",D534*D537)</f>
        <v>1080</v>
      </c>
      <c r="E538" s="1372">
        <f>IF(E537="","",E534*E537)</f>
        <v>1200</v>
      </c>
      <c r="F538" s="1372">
        <f>IF(F537="","",F534*F537)</f>
        <v>1260</v>
      </c>
      <c r="G538" s="1078"/>
      <c r="H538" s="1372">
        <f>IF(H$46=0,"",IF($D537="",H534*H537,H534*$D537))</f>
        <v>3352.0290510393679</v>
      </c>
      <c r="I538" s="1372">
        <f t="shared" ref="I538:K538" si="63">IF(I$46=0,"",IF($D537="",I534*I537,I534*$D537))</f>
        <v>3352.0290510393679</v>
      </c>
      <c r="J538" s="1372">
        <f t="shared" si="63"/>
        <v>3352.0290510393679</v>
      </c>
      <c r="K538" s="1372">
        <f t="shared" si="63"/>
        <v>3771.0326824192889</v>
      </c>
      <c r="L538" s="1078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07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78"/>
      <c r="H539" s="1168">
        <f>IF(H$46="","",IF('Exp factors'!$B47="poor",'Exp factors'!$G$47*H$46/H540,SUM(C539)*'Exp factors'!C$47))</f>
        <v>5.4765723972628146</v>
      </c>
      <c r="I539" s="1168">
        <f>IF(I$46="","",IF('Exp factors'!$B47="poor",'Exp factors'!$G$47*I$46/I540,SUM(D539)*'Exp factors'!D$47))</f>
        <v>5.4765723972628146</v>
      </c>
      <c r="J539" s="1168">
        <f>IF(J$46="","",IF('Exp factors'!$B47="poor",'Exp factors'!$G$47*J$46/J540,SUM(E539)*'Exp factors'!E$47))</f>
        <v>5.4765723972628146</v>
      </c>
      <c r="K539" s="1168">
        <f>IF(K$46="","",IF('Exp factors'!$B47="poor",'Exp factors'!$G$47*K$46/K540,SUM(F539)*'Exp factors'!F$47))</f>
        <v>6.1611439469206664</v>
      </c>
      <c r="L539" s="1078"/>
      <c r="M539" s="948"/>
      <c r="N539" s="948"/>
      <c r="O539" s="948"/>
      <c r="P539" s="948"/>
      <c r="Q539" s="1107"/>
      <c r="R539" s="882"/>
      <c r="S539" s="1014"/>
      <c r="T539" s="1014"/>
      <c r="U539" s="1046">
        <v>539</v>
      </c>
      <c r="V539" s="461"/>
    </row>
    <row r="540" spans="1:22" ht="15.75" customHeight="1">
      <c r="A540" s="1099" t="s">
        <v>289</v>
      </c>
      <c r="B540" s="1078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78"/>
      <c r="H540" s="1169">
        <f>I540</f>
        <v>5</v>
      </c>
      <c r="I540" s="1169">
        <f>IF(SUM(D540)=0,IF(SUM(C540)=0,IF(SUM(E540)=0,IF(SUM(F540)=0,12,SUM(F540)),SUM(E540)),SUM(C540)),SUM(D540))</f>
        <v>5</v>
      </c>
      <c r="J540" s="1169">
        <f>I540</f>
        <v>5</v>
      </c>
      <c r="K540" s="1169">
        <f>I540</f>
        <v>5</v>
      </c>
      <c r="L540" s="1078"/>
      <c r="M540" s="948"/>
      <c r="N540" s="948"/>
      <c r="O540" s="948"/>
      <c r="P540" s="948"/>
      <c r="Q540" s="1107"/>
      <c r="R540" s="882"/>
      <c r="S540" s="1014"/>
      <c r="T540" s="1014"/>
      <c r="U540" s="1046">
        <v>540</v>
      </c>
      <c r="V540" s="461"/>
    </row>
    <row r="541" spans="1:22" ht="15.75" customHeight="1">
      <c r="A541" s="1148" t="s">
        <v>292</v>
      </c>
      <c r="B541" s="1081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78"/>
      <c r="H541" s="948"/>
      <c r="I541" s="948"/>
      <c r="J541" s="948"/>
      <c r="K541" s="948"/>
      <c r="L541" s="1078"/>
      <c r="M541" s="1094"/>
      <c r="N541" s="1094"/>
      <c r="O541" s="1094"/>
      <c r="P541" s="1094"/>
      <c r="Q541" s="1107"/>
      <c r="R541" s="882"/>
      <c r="S541" s="1014"/>
      <c r="T541" s="1014"/>
      <c r="U541" s="1046">
        <v>541</v>
      </c>
      <c r="V541" s="461"/>
    </row>
    <row r="542" spans="1:22" ht="15.75" customHeight="1">
      <c r="A542" s="1099" t="s">
        <v>252</v>
      </c>
      <c r="B542" s="1081"/>
      <c r="C542" s="1371" t="str">
        <f>IF(SUM(C539)=0,"",C539*C540*C541/C$46/365/$P$1)</f>
        <v/>
      </c>
      <c r="D542" s="1371" t="str">
        <f>IF(SUM(D539)=0,"",D539*D540*D541/D$46/365/$P$1)</f>
        <v/>
      </c>
      <c r="E542" s="1371">
        <f>IF(SUM(E539)=0,"",E539*E540*E541/E$46/365/$P$1)</f>
        <v>9.5724820983810709E-3</v>
      </c>
      <c r="F542" s="1371">
        <f>IF(SUM(F539)=0,"",F539*F540*F541/F$46/365/$P$1)</f>
        <v>2.0421295143212951E-2</v>
      </c>
      <c r="G542" s="1078"/>
      <c r="H542" s="1371">
        <f>IF(H$46=0,"",H539*H540*SUM($D541)/H$46/365/$P$1)</f>
        <v>1.0484878246657239E-2</v>
      </c>
      <c r="I542" s="1371">
        <f>IF(I$46=0,"",I539*I540*SUM($D541)/I$46/365/$P$1)</f>
        <v>1.0484878246657239E-2</v>
      </c>
      <c r="J542" s="1371">
        <f>IF(J$46=0,"",J539*J540*SUM($D541)/J$46/365/$P$1)</f>
        <v>1.0484878246657239E-2</v>
      </c>
      <c r="K542" s="1371">
        <f>IF(K$46=0,"",K539*K540*SUM($D541)/K$46/365/$P$1)</f>
        <v>1.0484878246657239E-2</v>
      </c>
      <c r="L542" s="1078"/>
      <c r="M542" s="1126">
        <f>IF(SUM(H542)=SUM(C542),"",SUM(H542)-SUM(C542))</f>
        <v>1.0484878246657239E-2</v>
      </c>
      <c r="N542" s="1126">
        <f>IF(SUM(I542)=SUM(D542),"",SUM(I542)-SUM(D542))</f>
        <v>1.0484878246657239E-2</v>
      </c>
      <c r="O542" s="1126">
        <f>IF(SUM(J542)=SUM(E542),"",SUM(J542)-SUM(E542))</f>
        <v>9.1239614827616847E-4</v>
      </c>
      <c r="P542" s="1126">
        <f>IF(SUM(K542)=SUM(F542),"",SUM(K542)-SUM(F542))</f>
        <v>-9.9364168965557116E-3</v>
      </c>
      <c r="Q542" s="1107"/>
      <c r="R542" s="882"/>
      <c r="S542" s="1014"/>
      <c r="T542" s="1014"/>
      <c r="U542" s="1046">
        <v>542</v>
      </c>
      <c r="V542" s="461"/>
    </row>
    <row r="543" spans="1:22" ht="15.75" customHeight="1">
      <c r="A543" s="1167" t="s">
        <v>288</v>
      </c>
      <c r="B543" s="1081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78"/>
      <c r="H543" s="1586">
        <f>$I543</f>
        <v>30</v>
      </c>
      <c r="I543" s="1586">
        <f>IF(SUM($D543)=0,IF(SUM($C543)=0,IF(SUM($E543)=0,IF(SUM($F543)=0,'Exp factors'!$H$47,SUM($F543)),SUM($E543)),SUM($C543)),SUM($D543))</f>
        <v>30</v>
      </c>
      <c r="J543" s="1586">
        <f>$I543</f>
        <v>30</v>
      </c>
      <c r="K543" s="1586">
        <f>$I543</f>
        <v>30</v>
      </c>
      <c r="L543" s="1078"/>
      <c r="M543" s="948"/>
      <c r="N543" s="948"/>
      <c r="O543" s="948"/>
      <c r="P543" s="948"/>
      <c r="Q543" s="1107"/>
      <c r="R543" s="882"/>
      <c r="S543" s="1014"/>
      <c r="T543" s="1014"/>
      <c r="U543" s="1046">
        <v>543</v>
      </c>
      <c r="V543" s="461"/>
    </row>
    <row r="544" spans="1:22" ht="15.75" customHeight="1">
      <c r="A544" s="1099" t="s">
        <v>286</v>
      </c>
      <c r="B544" s="1078"/>
      <c r="C544" s="1372" t="str">
        <f>IF(C543="","",C539*C540*C543)</f>
        <v/>
      </c>
      <c r="D544" s="1372" t="str">
        <f>IF(D543="","",D539*D540*D543)</f>
        <v/>
      </c>
      <c r="E544" s="1372">
        <f>IF(E543="","",E539*E540*E543)</f>
        <v>750</v>
      </c>
      <c r="F544" s="1372">
        <f>IF(F543="","",F539*F540*F543)</f>
        <v>2100</v>
      </c>
      <c r="G544" s="1078"/>
      <c r="H544" s="1372">
        <f>IF(H$46=0,"",H539*H540*H543)</f>
        <v>821.48585958942215</v>
      </c>
      <c r="I544" s="1372">
        <f t="shared" ref="I544" si="64">IF(I$46=0,"",I539*I540*I543)</f>
        <v>821.48585958942215</v>
      </c>
      <c r="J544" s="1372">
        <f t="shared" ref="J544" si="65">IF(J$46=0,"",J539*J540*J543)</f>
        <v>821.48585958942215</v>
      </c>
      <c r="K544" s="1372">
        <f t="shared" ref="K544" si="66">IF(K$46=0,"",K539*K540*K543)</f>
        <v>924.17159203810002</v>
      </c>
      <c r="L544" s="1078"/>
      <c r="M544" s="957">
        <f>IF(SUM(H544)=SUM(C544),"",SUM(H544)-SUM(C544))</f>
        <v>821.48585958942215</v>
      </c>
      <c r="N544" s="957">
        <f>IF(SUM(I544)=SUM(D544),"",SUM(I544)-SUM(D544))</f>
        <v>821.48585958942215</v>
      </c>
      <c r="O544" s="957">
        <f>IF(SUM(J544)=SUM(E544),"",SUM(J544)-SUM(E544))</f>
        <v>71.485859589422148</v>
      </c>
      <c r="P544" s="957">
        <f>IF(SUM(K544)=SUM(F544),"",SUM(K544)-SUM(F544))</f>
        <v>-1175.8284079619</v>
      </c>
      <c r="Q544" s="1107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8"/>
      <c r="H545" s="1168"/>
      <c r="I545" s="1168"/>
      <c r="J545" s="1168"/>
      <c r="K545" s="1168"/>
      <c r="L545" s="1078"/>
      <c r="M545" s="948"/>
      <c r="N545" s="948"/>
      <c r="O545" s="948"/>
      <c r="P545" s="948"/>
      <c r="Q545" s="1107"/>
      <c r="R545" s="882"/>
      <c r="S545" s="1014"/>
      <c r="T545" s="1014"/>
      <c r="U545" s="1046">
        <v>545</v>
      </c>
      <c r="V545" s="461"/>
    </row>
    <row r="546" spans="1:22" ht="15.75" customHeight="1">
      <c r="A546" s="1591" t="s">
        <v>293</v>
      </c>
      <c r="B546" s="1078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10.301662070912585</v>
      </c>
      <c r="J546" s="1168">
        <f>IF(J$46="","",IF('Exp factors'!$B48="poor",'Exp factors'!$G$48*J$46,SUM(E546)*'Exp factors'!E$48))</f>
        <v>10.301662070912585</v>
      </c>
      <c r="K546" s="1168">
        <f>IF(K$46="","",IF('Exp factors'!$B48="poor",'Exp factors'!$G$48*K$46,SUM(F546)*'Exp factors'!F$48))</f>
        <v>11.589369829776658</v>
      </c>
      <c r="L546" s="1078"/>
      <c r="M546" s="948"/>
      <c r="N546" s="948"/>
      <c r="O546" s="948"/>
      <c r="P546" s="948"/>
      <c r="Q546" s="1107"/>
      <c r="R546" s="882"/>
      <c r="S546" s="1014"/>
      <c r="T546" s="1014"/>
      <c r="U546" s="1046">
        <v>546</v>
      </c>
      <c r="V546" s="461"/>
    </row>
    <row r="547" spans="1:22" ht="15.75" customHeight="1">
      <c r="A547" s="1148" t="s">
        <v>292</v>
      </c>
      <c r="B547" s="1081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78"/>
      <c r="H547" s="948"/>
      <c r="I547" s="948"/>
      <c r="J547" s="948"/>
      <c r="K547" s="948"/>
      <c r="L547" s="1078"/>
      <c r="M547" s="1094"/>
      <c r="N547" s="1094"/>
      <c r="O547" s="1094"/>
      <c r="P547" s="1094"/>
      <c r="Q547" s="1107"/>
      <c r="R547" s="882"/>
      <c r="S547" s="1014"/>
      <c r="T547" s="1014"/>
      <c r="U547" s="1046">
        <v>547</v>
      </c>
      <c r="V547" s="461"/>
    </row>
    <row r="548" spans="1:22" ht="15.75" customHeight="1">
      <c r="A548" s="1099" t="s">
        <v>252</v>
      </c>
      <c r="B548" s="1081"/>
      <c r="C548" s="1371" t="str">
        <f>IF(SUM(C546)=0,"",C546*C547/C$46/365/$P$1)</f>
        <v/>
      </c>
      <c r="D548" s="1371" t="str">
        <f>IF(SUM(D546)=0,"",D546*D547/D$46/365/$P$1)</f>
        <v/>
      </c>
      <c r="E548" s="1371" t="str">
        <f>IF(SUM(E546)=0,"",E546*E547/E$46/365/$P$1)</f>
        <v/>
      </c>
      <c r="F548" s="1371" t="str">
        <f>IF(SUM(F546)=0,"",F546*F547/F$46/365/$P$1)</f>
        <v/>
      </c>
      <c r="G548" s="1078"/>
      <c r="H548" s="1371">
        <f>IF(H$46=0,"",H546*SUM($D547)/H$46/365/$P$1)</f>
        <v>4.7146460909842777E-3</v>
      </c>
      <c r="I548" s="1371">
        <f>IF(I$46=0,"",I546*SUM($D547)/I$46/365/$P$1)</f>
        <v>4.7146460909842777E-3</v>
      </c>
      <c r="J548" s="1371">
        <f>IF(J$46=0,"",J546*SUM($D547)/J$46/365/$P$1)</f>
        <v>4.7146460909842777E-3</v>
      </c>
      <c r="K548" s="1371">
        <f>IF(K$46=0,"",K546*SUM($D547)/K$46/365/$P$1)</f>
        <v>4.7146460909842768E-3</v>
      </c>
      <c r="L548" s="1078"/>
      <c r="M548" s="1126">
        <f>IF(SUM(H548)=SUM(C548),"",SUM(H548)-SUM(C548))</f>
        <v>4.7146460909842777E-3</v>
      </c>
      <c r="N548" s="1126">
        <f>IF(SUM(I548)=SUM(D548),"",SUM(I548)-SUM(D548))</f>
        <v>4.7146460909842777E-3</v>
      </c>
      <c r="O548" s="1126">
        <f>IF(SUM(J548)=SUM(E548),"",SUM(J548)-SUM(E548))</f>
        <v>4.7146460909842777E-3</v>
      </c>
      <c r="P548" s="1126">
        <f>IF(SUM(K548)=SUM(F548),"",SUM(K548)-SUM(F548))</f>
        <v>4.7146460909842768E-3</v>
      </c>
      <c r="Q548" s="1107"/>
      <c r="R548" s="882"/>
      <c r="S548" s="1014"/>
      <c r="T548" s="1014"/>
      <c r="U548" s="1046">
        <v>548</v>
      </c>
      <c r="V548" s="461"/>
    </row>
    <row r="549" spans="1:22" ht="15.75" customHeight="1">
      <c r="A549" s="1167" t="s">
        <v>288</v>
      </c>
      <c r="B549" s="1081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78"/>
      <c r="H549" s="1586">
        <f>$I549</f>
        <v>46.997666110978805</v>
      </c>
      <c r="I549" s="1586">
        <f>IF(SUM($D549)=0,IF(SUM($C549)=0,IF(SUM($E549)=0,IF(SUM($F549)=0,'Exp factors'!$H$48,SUM($F549)),SUM($E549)),SUM($C549)),SUM($D549))</f>
        <v>46.997666110978805</v>
      </c>
      <c r="J549" s="1586">
        <f>$I549</f>
        <v>46.997666110978805</v>
      </c>
      <c r="K549" s="1586">
        <f>$I549</f>
        <v>46.997666110978805</v>
      </c>
      <c r="L549" s="1078"/>
      <c r="M549" s="948"/>
      <c r="N549" s="948"/>
      <c r="O549" s="948"/>
      <c r="P549" s="948"/>
      <c r="Q549" s="1107"/>
      <c r="R549" s="882"/>
      <c r="S549" s="1014"/>
      <c r="T549" s="1014"/>
      <c r="U549" s="1046">
        <v>549</v>
      </c>
      <c r="V549" s="461"/>
    </row>
    <row r="550" spans="1:22" ht="15.75" customHeight="1">
      <c r="A550" s="1099" t="s">
        <v>286</v>
      </c>
      <c r="B550" s="1078"/>
      <c r="C550" s="1372" t="str">
        <f>IF(C549="","",C546*C549)</f>
        <v/>
      </c>
      <c r="D550" s="1372" t="str">
        <f>IF(D549="","",D546*D549)</f>
        <v/>
      </c>
      <c r="E550" s="1372" t="str">
        <f>IF(E549="","",E546*E549)</f>
        <v/>
      </c>
      <c r="F550" s="1372" t="str">
        <f>IF(F549="","",F546*F549)</f>
        <v/>
      </c>
      <c r="G550" s="1078"/>
      <c r="H550" s="1372">
        <f>IF(H$46=0,"",IF($D549="",H546*H549,H546*$D549))</f>
        <v>484.15407439688414</v>
      </c>
      <c r="I550" s="1372">
        <f t="shared" ref="I550:K550" si="67">IF(I$46=0,"",IF($D549="",I546*I549,I546*$D549))</f>
        <v>484.15407439688414</v>
      </c>
      <c r="J550" s="1372">
        <f t="shared" si="67"/>
        <v>484.15407439688414</v>
      </c>
      <c r="K550" s="1372">
        <f t="shared" si="67"/>
        <v>544.67333369649464</v>
      </c>
      <c r="L550" s="1078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07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8"/>
      <c r="N551" s="948"/>
      <c r="O551" s="948"/>
      <c r="P551" s="948"/>
      <c r="Q551" s="1107"/>
      <c r="R551" s="882"/>
      <c r="S551" s="1014"/>
      <c r="T551" s="1014"/>
      <c r="U551" s="1046">
        <v>551</v>
      </c>
      <c r="V551" s="461"/>
    </row>
    <row r="552" spans="1:22" ht="15.75" customHeight="1">
      <c r="A552" s="1591" t="s">
        <v>293</v>
      </c>
      <c r="B552" s="1078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13.615804252244885</v>
      </c>
      <c r="J552" s="1168">
        <f>IF(J$46="","",IF('Exp factors'!$B49="poor",'Exp factors'!$G$49*J$46,SUM(E552)*'Exp factors'!E$49))</f>
        <v>13.615804252244885</v>
      </c>
      <c r="K552" s="1168">
        <f>IF(K$46="","",IF('Exp factors'!$B49="poor",'Exp factors'!$G$49*K$46,SUM(F552)*'Exp factors'!F$49))</f>
        <v>15.317779783775496</v>
      </c>
      <c r="L552" s="1078"/>
      <c r="M552" s="948"/>
      <c r="N552" s="948"/>
      <c r="O552" s="948"/>
      <c r="P552" s="948"/>
      <c r="Q552" s="1107"/>
      <c r="R552" s="882"/>
      <c r="S552" s="1014"/>
      <c r="T552" s="1014"/>
      <c r="U552" s="1046">
        <v>552</v>
      </c>
      <c r="V552" s="461"/>
    </row>
    <row r="553" spans="1:22" ht="15.75" customHeight="1">
      <c r="A553" s="1148" t="s">
        <v>292</v>
      </c>
      <c r="B553" s="1078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78"/>
      <c r="H553" s="948"/>
      <c r="I553" s="948"/>
      <c r="J553" s="948"/>
      <c r="K553" s="948"/>
      <c r="L553" s="1078"/>
      <c r="M553" s="1094"/>
      <c r="N553" s="1094"/>
      <c r="O553" s="1094"/>
      <c r="P553" s="1094"/>
      <c r="Q553" s="1107"/>
      <c r="R553" s="882"/>
      <c r="S553" s="1014"/>
      <c r="T553" s="1014"/>
      <c r="U553" s="1046">
        <v>553</v>
      </c>
      <c r="V553" s="461"/>
    </row>
    <row r="554" spans="1:22" ht="15.75" customHeight="1">
      <c r="A554" s="1099" t="s">
        <v>252</v>
      </c>
      <c r="B554" s="1078"/>
      <c r="C554" s="1371" t="str">
        <f>IF(SUM(C552)=0,"",C552*C553/C$46/365/$P$1)</f>
        <v/>
      </c>
      <c r="D554" s="1371" t="str">
        <f>IF(SUM(D552)=0,"",D552*D553/D$46/365/$P$1)</f>
        <v/>
      </c>
      <c r="E554" s="1371" t="str">
        <f>IF(SUM(E552)=0,"",E552*E553/E$46/365/$P$1)</f>
        <v/>
      </c>
      <c r="F554" s="1371" t="str">
        <f>IF(SUM(F552)=0,"",F552*F553/F$46/365/$P$1)</f>
        <v/>
      </c>
      <c r="G554" s="1078"/>
      <c r="H554" s="1371">
        <f>IF(H$46=0,"",H552*SUM($D553)/H$46/365/$P$1)</f>
        <v>2.3294279928963192E-3</v>
      </c>
      <c r="I554" s="1371">
        <f>IF(I$46=0,"",I552*SUM($D553)/I$46/365/$P$1)</f>
        <v>2.3294279928963192E-3</v>
      </c>
      <c r="J554" s="1371">
        <f>IF(J$46=0,"",J552*SUM($D553)/J$46/365/$P$1)</f>
        <v>2.3294279928963192E-3</v>
      </c>
      <c r="K554" s="1371">
        <f>IF(K$46=0,"",K552*SUM($D553)/K$46/365/$P$1)</f>
        <v>2.3294279928963196E-3</v>
      </c>
      <c r="L554" s="1078"/>
      <c r="M554" s="1126">
        <f>IF(SUM(H554)=SUM(C554),"",SUM(H554)-SUM(C554))</f>
        <v>2.3294279928963192E-3</v>
      </c>
      <c r="N554" s="1126">
        <f>IF(SUM(I554)=SUM(D554),"",SUM(I554)-SUM(D554))</f>
        <v>2.3294279928963192E-3</v>
      </c>
      <c r="O554" s="1126">
        <f>IF(SUM(J554)=SUM(E554),"",SUM(J554)-SUM(E554))</f>
        <v>2.3294279928963192E-3</v>
      </c>
      <c r="P554" s="1126">
        <f>IF(SUM(K554)=SUM(F554),"",SUM(K554)-SUM(F554))</f>
        <v>2.3294279928963196E-3</v>
      </c>
      <c r="Q554" s="1107"/>
      <c r="R554" s="882"/>
      <c r="S554" s="1014"/>
      <c r="T554" s="1014"/>
      <c r="U554" s="1046">
        <v>554</v>
      </c>
      <c r="V554" s="461"/>
    </row>
    <row r="555" spans="1:22" ht="15.75" customHeight="1">
      <c r="A555" s="1167" t="s">
        <v>288</v>
      </c>
      <c r="B555" s="1078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78"/>
      <c r="H555" s="1586">
        <f>$I555</f>
        <v>41.423255813953475</v>
      </c>
      <c r="I555" s="1586">
        <f>IF(SUM($D555)=0,IF(SUM($C555)=0,IF(SUM($E555)=0,IF(SUM($F555)=0,'Exp factors'!$H$49,SUM($F555)),SUM($E555)),SUM($C555)),SUM($D555))</f>
        <v>41.423255813953475</v>
      </c>
      <c r="J555" s="1586">
        <f>$I555</f>
        <v>41.423255813953475</v>
      </c>
      <c r="K555" s="1586">
        <f>$I555</f>
        <v>41.423255813953475</v>
      </c>
      <c r="L555" s="1078"/>
      <c r="M555" s="948"/>
      <c r="N555" s="948"/>
      <c r="O555" s="948"/>
      <c r="P555" s="948"/>
      <c r="Q555" s="1107"/>
      <c r="R555" s="882"/>
      <c r="S555" s="1014"/>
      <c r="T555" s="1014"/>
      <c r="U555" s="1046">
        <v>555</v>
      </c>
      <c r="V555" s="461"/>
    </row>
    <row r="556" spans="1:22" ht="15.75" customHeight="1">
      <c r="A556" s="1099" t="s">
        <v>286</v>
      </c>
      <c r="B556" s="1078"/>
      <c r="C556" s="1372" t="str">
        <f>IF(C555="","",C552*C555)</f>
        <v/>
      </c>
      <c r="D556" s="1372" t="str">
        <f>IF(D555="","",D552*D555)</f>
        <v/>
      </c>
      <c r="E556" s="1372" t="str">
        <f>IF(E555="","",E552*E555)</f>
        <v/>
      </c>
      <c r="F556" s="1372" t="str">
        <f>IF(F555="","",F552*F555)</f>
        <v/>
      </c>
      <c r="G556" s="1078"/>
      <c r="H556" s="1372">
        <f>IF(H$46=0,"",IF($D555="",H552*H555,H552*$D555))</f>
        <v>564.01094265345534</v>
      </c>
      <c r="I556" s="1372">
        <f t="shared" ref="I556:K556" si="68">IF(I$46=0,"",IF($D555="",I552*I555,I552*$D555))</f>
        <v>564.01094265345534</v>
      </c>
      <c r="J556" s="1372">
        <f t="shared" si="68"/>
        <v>564.01094265345534</v>
      </c>
      <c r="K556" s="1372">
        <f t="shared" si="68"/>
        <v>634.51231048513728</v>
      </c>
      <c r="L556" s="1078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07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8"/>
      <c r="H557" s="1168"/>
      <c r="I557" s="1168"/>
      <c r="J557" s="1168"/>
      <c r="K557" s="1168"/>
      <c r="L557" s="1078"/>
      <c r="M557" s="948"/>
      <c r="N557" s="948"/>
      <c r="O557" s="948"/>
      <c r="P557" s="948"/>
      <c r="Q557" s="1107"/>
      <c r="R557" s="882"/>
      <c r="S557" s="1014"/>
      <c r="T557" s="1014"/>
      <c r="U557" s="1046">
        <v>557</v>
      </c>
      <c r="V557" s="461"/>
    </row>
    <row r="558" spans="1:22" ht="15.75" customHeight="1">
      <c r="A558" s="1591" t="s">
        <v>293</v>
      </c>
      <c r="B558" s="1078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36.533407093272281</v>
      </c>
      <c r="J558" s="1168">
        <f>IF(J$46="","",IF('Exp factors'!$B55="poor",'Exp factors'!$G$55*J$46,SUM(E558)*'Exp factors'!E$55))</f>
        <v>36.533407093272281</v>
      </c>
      <c r="K558" s="1168">
        <f>IF(K$46="","",IF('Exp factors'!$B55="poor",'Exp factors'!$G$55*K$46,SUM(F558)*'Exp factors'!F$55))</f>
        <v>41.100082979931315</v>
      </c>
      <c r="L558" s="1078"/>
      <c r="M558" s="948"/>
      <c r="N558" s="948"/>
      <c r="O558" s="948"/>
      <c r="P558" s="948"/>
      <c r="Q558" s="1107"/>
      <c r="R558" s="882"/>
      <c r="S558" s="1014"/>
      <c r="T558" s="1014"/>
      <c r="U558" s="1046">
        <v>558</v>
      </c>
      <c r="V558" s="461"/>
    </row>
    <row r="559" spans="1:22" ht="15.75" customHeight="1">
      <c r="A559" s="1148" t="s">
        <v>292</v>
      </c>
      <c r="B559" s="1078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78"/>
      <c r="H559" s="948"/>
      <c r="I559" s="948"/>
      <c r="J559" s="948"/>
      <c r="K559" s="948"/>
      <c r="L559" s="1078"/>
      <c r="M559" s="1094"/>
      <c r="N559" s="1094"/>
      <c r="O559" s="1094"/>
      <c r="P559" s="1094"/>
      <c r="Q559" s="1107"/>
      <c r="R559" s="882"/>
      <c r="S559" s="1014"/>
      <c r="T559" s="1014"/>
      <c r="U559" s="1046">
        <v>559</v>
      </c>
      <c r="V559" s="461"/>
    </row>
    <row r="560" spans="1:22" ht="15.75" customHeight="1">
      <c r="A560" s="1099" t="s">
        <v>252</v>
      </c>
      <c r="B560" s="1078"/>
      <c r="C560" s="1371" t="str">
        <f>IF(SUM(C558)=0,"",C558*C559/C$46/365/$P$1)</f>
        <v/>
      </c>
      <c r="D560" s="1371" t="str">
        <f>IF(SUM(D558)=0,"",D558*D559/D$46/365/$P$1)</f>
        <v/>
      </c>
      <c r="E560" s="1371" t="str">
        <f>IF(SUM(E558)=0,"",E558*E559/E$46/365/$P$1)</f>
        <v/>
      </c>
      <c r="F560" s="1371" t="str">
        <f>IF(SUM(F558)=0,"",F558*F559/F$46/365/$P$1)</f>
        <v/>
      </c>
      <c r="G560" s="1078"/>
      <c r="H560" s="1371">
        <f>IF(H$46=0,"",H558*SUM($D559)/H$46/365/$P$1)</f>
        <v>1.190520460913079E-3</v>
      </c>
      <c r="I560" s="1371">
        <f>IF(I$46=0,"",I558*SUM($D559)/I$46/365/$P$1)</f>
        <v>1.190520460913079E-3</v>
      </c>
      <c r="J560" s="1371">
        <f>IF(J$46=0,"",J558*SUM($D559)/J$46/365/$P$1)</f>
        <v>1.190520460913079E-3</v>
      </c>
      <c r="K560" s="1371">
        <f>IF(K$46=0,"",K558*SUM($D559)/K$46/365/$P$1)</f>
        <v>1.1905204609130788E-3</v>
      </c>
      <c r="L560" s="1078"/>
      <c r="M560" s="1126">
        <f>IF(SUM(H560)=SUM(C560),"",SUM(H560)-SUM(C560))</f>
        <v>1.190520460913079E-3</v>
      </c>
      <c r="N560" s="1126">
        <f>IF(SUM(I560)=SUM(D560),"",SUM(I560)-SUM(D560))</f>
        <v>1.190520460913079E-3</v>
      </c>
      <c r="O560" s="1126">
        <f>IF(SUM(J560)=SUM(E560),"",SUM(J560)-SUM(E560))</f>
        <v>1.190520460913079E-3</v>
      </c>
      <c r="P560" s="1126">
        <f>IF(SUM(K560)=SUM(F560),"",SUM(K560)-SUM(F560))</f>
        <v>1.1905204609130788E-3</v>
      </c>
      <c r="Q560" s="1107"/>
      <c r="R560" s="882"/>
      <c r="S560" s="1014"/>
      <c r="T560" s="1014"/>
      <c r="U560" s="1046">
        <v>560</v>
      </c>
      <c r="V560" s="461"/>
    </row>
    <row r="561" spans="1:22" ht="15.75" customHeight="1">
      <c r="A561" s="1167" t="s">
        <v>288</v>
      </c>
      <c r="B561" s="1078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78"/>
      <c r="H561" s="1586">
        <f>$I561</f>
        <v>13.548061389337644</v>
      </c>
      <c r="I561" s="1586">
        <f>IF(SUM($D561)=0,IF(SUM($C561)=0,IF(SUM($E561)=0,IF(SUM($F561)=0,'Exp factors'!$H$55,SUM($F561)),SUM($E561)),SUM($C561)),SUM($D561))</f>
        <v>13.548061389337644</v>
      </c>
      <c r="J561" s="1586">
        <f>$I561</f>
        <v>13.548061389337644</v>
      </c>
      <c r="K561" s="1586">
        <f>$I561</f>
        <v>13.548061389337644</v>
      </c>
      <c r="L561" s="1078"/>
      <c r="M561" s="948"/>
      <c r="N561" s="948"/>
      <c r="O561" s="948"/>
      <c r="P561" s="948"/>
      <c r="Q561" s="1107"/>
      <c r="R561" s="882"/>
      <c r="S561" s="1014"/>
      <c r="T561" s="1014"/>
      <c r="U561" s="1046">
        <v>561</v>
      </c>
      <c r="V561" s="461"/>
    </row>
    <row r="562" spans="1:22" ht="15.75" customHeight="1">
      <c r="A562" s="1099" t="s">
        <v>286</v>
      </c>
      <c r="B562" s="1078"/>
      <c r="C562" s="1372" t="str">
        <f>IF(C561="","",C558*C561)</f>
        <v/>
      </c>
      <c r="D562" s="1372" t="str">
        <f>IF(D561="","",D558*D561)</f>
        <v/>
      </c>
      <c r="E562" s="1372" t="str">
        <f>IF(E561="","",E558*E561)</f>
        <v/>
      </c>
      <c r="F562" s="1372" t="str">
        <f>IF(F561="","",F558*F561)</f>
        <v/>
      </c>
      <c r="G562" s="1078"/>
      <c r="H562" s="1372">
        <f>IF(H$46=0,"",IF($D561="",H558*H561,H558*$D561))</f>
        <v>494.95684206131619</v>
      </c>
      <c r="I562" s="1372">
        <f t="shared" ref="I562:K562" si="69">IF(I$46=0,"",IF($D561="",I558*I561,I558*$D561))</f>
        <v>494.95684206131619</v>
      </c>
      <c r="J562" s="1372">
        <f t="shared" si="69"/>
        <v>494.95684206131619</v>
      </c>
      <c r="K562" s="1372">
        <f t="shared" si="69"/>
        <v>556.82644731898074</v>
      </c>
      <c r="L562" s="1078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07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8"/>
      <c r="H563" s="1168"/>
      <c r="I563" s="1168"/>
      <c r="J563" s="1168"/>
      <c r="K563" s="1168"/>
      <c r="L563" s="1078"/>
      <c r="M563" s="948"/>
      <c r="N563" s="948"/>
      <c r="O563" s="948"/>
      <c r="P563" s="948"/>
      <c r="Q563" s="1107"/>
      <c r="R563" s="882"/>
      <c r="S563" s="1014"/>
      <c r="T563" s="1014"/>
      <c r="U563" s="1046">
        <v>563</v>
      </c>
      <c r="V563" s="461"/>
    </row>
    <row r="564" spans="1:22" ht="15.75" customHeight="1">
      <c r="A564" s="1591" t="s">
        <v>293</v>
      </c>
      <c r="B564" s="1078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32.517339755729161</v>
      </c>
      <c r="J564" s="1168">
        <f>IF(J$46="","",IF('Exp factors'!$B56="poor",'Exp factors'!$G$56*J$46,SUM(E564)*'Exp factors'!E$56))</f>
        <v>32.517339755729161</v>
      </c>
      <c r="K564" s="1168">
        <f>IF(K$46="","",IF('Exp factors'!$B56="poor",'Exp factors'!$G$56*K$46,SUM(F564)*'Exp factors'!F$56))</f>
        <v>36.582007225195305</v>
      </c>
      <c r="L564" s="1078"/>
      <c r="M564" s="948"/>
      <c r="N564" s="948"/>
      <c r="O564" s="948"/>
      <c r="P564" s="948"/>
      <c r="Q564" s="1107"/>
      <c r="R564" s="882"/>
      <c r="S564" s="1014"/>
      <c r="T564" s="1014"/>
      <c r="U564" s="1046">
        <v>564</v>
      </c>
      <c r="V564" s="461"/>
    </row>
    <row r="565" spans="1:22" ht="15.75" customHeight="1">
      <c r="A565" s="1148" t="s">
        <v>292</v>
      </c>
      <c r="B565" s="1078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78"/>
      <c r="H565" s="948"/>
      <c r="I565" s="948"/>
      <c r="J565" s="948"/>
      <c r="K565" s="948"/>
      <c r="L565" s="1078"/>
      <c r="M565" s="1094"/>
      <c r="N565" s="1094"/>
      <c r="O565" s="1094"/>
      <c r="P565" s="1094"/>
      <c r="Q565" s="1107"/>
      <c r="R565" s="882"/>
      <c r="S565" s="1014"/>
      <c r="T565" s="1014"/>
      <c r="U565" s="1046">
        <v>565</v>
      </c>
      <c r="V565" s="461"/>
    </row>
    <row r="566" spans="1:22" ht="15.75" customHeight="1">
      <c r="A566" s="1099" t="s">
        <v>252</v>
      </c>
      <c r="B566" s="1078"/>
      <c r="C566" s="1371">
        <f>IF(SUM(C564)=0,"",C564*C565/C$46/365/$P$1)</f>
        <v>9.3851058530510581E-3</v>
      </c>
      <c r="D566" s="1371">
        <f>IF(SUM(D564)=0,"",D564*D565/D$46/365/$P$1)</f>
        <v>4.6925529265255291E-3</v>
      </c>
      <c r="E566" s="1371">
        <f>IF(SUM(E564)=0,"",E564*E565/E$46/365/$P$1)</f>
        <v>9.3851058530510581E-3</v>
      </c>
      <c r="F566" s="1371">
        <f>IF(SUM(F564)=0,"",F564*F565/F$46/365/$P$1)</f>
        <v>8.3423163138231626E-3</v>
      </c>
      <c r="G566" s="1078"/>
      <c r="H566" s="1371">
        <f>IF(H$46=0,"",H564*SUM($D565)/H$46/365/$P$1)</f>
        <v>2.54315563055953E-3</v>
      </c>
      <c r="I566" s="1371">
        <f>IF(I$46=0,"",I564*SUM($D565)/I$46/365/$P$1)</f>
        <v>2.54315563055953E-3</v>
      </c>
      <c r="J566" s="1371">
        <f>IF(J$46=0,"",J564*SUM($D565)/J$46/365/$P$1)</f>
        <v>2.54315563055953E-3</v>
      </c>
      <c r="K566" s="1371">
        <f>IF(K$46=0,"",K564*SUM($D565)/K$46/365/$P$1)</f>
        <v>2.54315563055953E-3</v>
      </c>
      <c r="L566" s="1078"/>
      <c r="M566" s="1126">
        <f>IF(SUM(H566)=SUM(C566),"",SUM(H566)-SUM(C566))</f>
        <v>-6.8419502224915281E-3</v>
      </c>
      <c r="N566" s="1126">
        <f>IF(SUM(I566)=SUM(D566),"",SUM(I566)-SUM(D566))</f>
        <v>-2.149397295965999E-3</v>
      </c>
      <c r="O566" s="1126">
        <f>IF(SUM(J566)=SUM(E566),"",SUM(J566)-SUM(E566))</f>
        <v>-6.8419502224915281E-3</v>
      </c>
      <c r="P566" s="1126">
        <f>IF(SUM(K566)=SUM(F566),"",SUM(K566)-SUM(F566))</f>
        <v>-5.7991606832636326E-3</v>
      </c>
      <c r="Q566" s="1107"/>
      <c r="R566" s="882"/>
      <c r="S566" s="1014"/>
      <c r="T566" s="1014"/>
      <c r="U566" s="1046">
        <v>566</v>
      </c>
      <c r="V566" s="461"/>
    </row>
    <row r="567" spans="1:22" ht="15.75" customHeight="1">
      <c r="A567" s="1167" t="s">
        <v>288</v>
      </c>
      <c r="B567" s="1078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78"/>
      <c r="H567" s="1586">
        <f>$I567</f>
        <v>4</v>
      </c>
      <c r="I567" s="1586">
        <f>IF(SUM($D567)=0,IF(SUM($C567)=0,IF(SUM($E567)=0,IF(SUM($F567)=0,'Exp factors'!$H$56,SUM($F567)),SUM($E567)),SUM($C567)),SUM($D567))</f>
        <v>4</v>
      </c>
      <c r="J567" s="1586">
        <f>$I567</f>
        <v>4</v>
      </c>
      <c r="K567" s="1586">
        <f>$I567</f>
        <v>4</v>
      </c>
      <c r="L567" s="1078"/>
      <c r="M567" s="948"/>
      <c r="N567" s="948"/>
      <c r="O567" s="948"/>
      <c r="P567" s="948"/>
      <c r="Q567" s="1107"/>
      <c r="R567" s="882"/>
      <c r="S567" s="1014"/>
      <c r="T567" s="1014"/>
      <c r="U567" s="1046">
        <v>567</v>
      </c>
      <c r="V567" s="461"/>
    </row>
    <row r="568" spans="1:22" ht="15.75" customHeight="1">
      <c r="A568" s="1099" t="s">
        <v>286</v>
      </c>
      <c r="B568" s="1078"/>
      <c r="C568" s="1372">
        <f>IF(C567="","",C564*C567)</f>
        <v>840</v>
      </c>
      <c r="D568" s="1372">
        <f>IF(D567="","",D564*D567)</f>
        <v>240</v>
      </c>
      <c r="E568" s="1372">
        <f>IF(E567="","",E564*E567)</f>
        <v>480</v>
      </c>
      <c r="F568" s="1372">
        <f>IF(F567="","",F564*F567)</f>
        <v>480</v>
      </c>
      <c r="G568" s="1078"/>
      <c r="H568" s="1372">
        <f>IF(H$46=0,"",IF($D567="",H564*H567,H564*$D567))</f>
        <v>130.06935902291664</v>
      </c>
      <c r="I568" s="1372">
        <f t="shared" ref="I568:K568" si="70">IF(I$46=0,"",IF($D567="",I564*I567,I564*$D567))</f>
        <v>130.06935902291664</v>
      </c>
      <c r="J568" s="1372">
        <f t="shared" si="70"/>
        <v>130.06935902291664</v>
      </c>
      <c r="K568" s="1372">
        <f t="shared" si="70"/>
        <v>146.32802890078122</v>
      </c>
      <c r="L568" s="1078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07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8"/>
      <c r="H569" s="1168"/>
      <c r="I569" s="1168"/>
      <c r="J569" s="1168"/>
      <c r="K569" s="1168"/>
      <c r="L569" s="1078"/>
      <c r="M569" s="948"/>
      <c r="N569" s="948"/>
      <c r="O569" s="948"/>
      <c r="P569" s="948"/>
      <c r="Q569" s="1107"/>
      <c r="R569" s="882"/>
      <c r="S569" s="1014"/>
      <c r="T569" s="1014"/>
      <c r="U569" s="1046">
        <v>569</v>
      </c>
      <c r="V569" s="461"/>
    </row>
    <row r="570" spans="1:22" ht="15.75" customHeight="1">
      <c r="A570" s="1591" t="s">
        <v>293</v>
      </c>
      <c r="B570" s="1078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34.100811628108644</v>
      </c>
      <c r="J570" s="1168">
        <f>IF(J$46="","",IF('Exp factors'!$B57="poor",'Exp factors'!$G$57*J$46,SUM(E570)*'Exp factors'!E$57))</f>
        <v>34.100811628108644</v>
      </c>
      <c r="K570" s="1168">
        <f>IF(K$46="","",IF('Exp factors'!$B57="poor",'Exp factors'!$G$57*K$46,SUM(F570)*'Exp factors'!F$57))</f>
        <v>38.363413081622227</v>
      </c>
      <c r="L570" s="1078"/>
      <c r="M570" s="948"/>
      <c r="N570" s="948"/>
      <c r="O570" s="948"/>
      <c r="P570" s="948"/>
      <c r="Q570" s="1107"/>
      <c r="R570" s="882"/>
      <c r="S570" s="1014"/>
      <c r="T570" s="1014"/>
      <c r="U570" s="1046">
        <v>570</v>
      </c>
      <c r="V570" s="461"/>
    </row>
    <row r="571" spans="1:22" ht="15.75" customHeight="1">
      <c r="A571" s="1148" t="s">
        <v>292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8"/>
      <c r="I571" s="948"/>
      <c r="J571" s="948"/>
      <c r="K571" s="948"/>
      <c r="L571" s="1078"/>
      <c r="M571" s="1094"/>
      <c r="N571" s="1094"/>
      <c r="O571" s="1094"/>
      <c r="P571" s="1094"/>
      <c r="Q571" s="1107"/>
      <c r="R571" s="882"/>
      <c r="S571" s="1014"/>
      <c r="T571" s="1014"/>
      <c r="U571" s="1046">
        <v>571</v>
      </c>
      <c r="V571" s="461"/>
    </row>
    <row r="572" spans="1:22" ht="15.75" customHeight="1">
      <c r="A572" s="1099" t="s">
        <v>252</v>
      </c>
      <c r="B572" s="1078"/>
      <c r="C572" s="1371" t="str">
        <f>IF(SUM(C570)=0,"",C570*C571/C$46/365/$P$1)</f>
        <v/>
      </c>
      <c r="D572" s="1371" t="str">
        <f>IF(SUM(D570)=0,"",D570*D571/D$46/365/$P$1)</f>
        <v/>
      </c>
      <c r="E572" s="1371" t="str">
        <f>IF(SUM(E570)=0,"",E570*E571/E$46/365/$P$1)</f>
        <v/>
      </c>
      <c r="F572" s="1371" t="str">
        <f>IF(SUM(F570)=0,"",F570*F571/F$46/365/$P$1)</f>
        <v/>
      </c>
      <c r="G572" s="1078"/>
      <c r="H572" s="1371">
        <f>IF(H$46=0,"",H570*SUM($D571)/H$46/365/$P$1)</f>
        <v>6.4452444981512964E-3</v>
      </c>
      <c r="I572" s="1371">
        <f>IF(I$46=0,"",I570*SUM($D571)/I$46/365/$P$1)</f>
        <v>6.4452444981512964E-3</v>
      </c>
      <c r="J572" s="1371">
        <f>IF(J$46=0,"",J570*SUM($D571)/J$46/365/$P$1)</f>
        <v>6.4452444981512964E-3</v>
      </c>
      <c r="K572" s="1371">
        <f>IF(K$46=0,"",K570*SUM($D571)/K$46/365/$P$1)</f>
        <v>6.4452444981512973E-3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6.4452444981512964E-3</v>
      </c>
      <c r="P572" s="1126">
        <f>IF(SUM(K572)=SUM(F572),"",SUM(K572)-SUM(F572))</f>
        <v>6.4452444981512973E-3</v>
      </c>
      <c r="Q572" s="1107"/>
      <c r="R572" s="882"/>
      <c r="S572" s="1014"/>
      <c r="T572" s="1014"/>
      <c r="U572" s="1046">
        <v>572</v>
      </c>
      <c r="V572" s="461"/>
    </row>
    <row r="573" spans="1:22" ht="15.75" customHeight="1">
      <c r="A573" s="1167" t="s">
        <v>288</v>
      </c>
      <c r="B573" s="1078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78"/>
      <c r="H573" s="1586">
        <f>$I573</f>
        <v>5.9211901121304793</v>
      </c>
      <c r="I573" s="1586">
        <f>IF(SUM($D573)=0,IF(SUM($C573)=0,IF(SUM($E573)=0,IF(SUM($F573)=0,'Exp factors'!$H$57,SUM($F573)),SUM($E573)),SUM($C573)),SUM($D573))</f>
        <v>5.9211901121304793</v>
      </c>
      <c r="J573" s="1586">
        <f>$I573</f>
        <v>5.9211901121304793</v>
      </c>
      <c r="K573" s="1586">
        <f>$I573</f>
        <v>5.9211901121304793</v>
      </c>
      <c r="L573" s="1078"/>
      <c r="M573" s="948"/>
      <c r="N573" s="948"/>
      <c r="O573" s="948"/>
      <c r="P573" s="948"/>
      <c r="Q573" s="1107"/>
      <c r="R573" s="882"/>
      <c r="S573" s="1014"/>
      <c r="T573" s="1014"/>
      <c r="U573" s="1046">
        <v>573</v>
      </c>
      <c r="V573" s="461"/>
    </row>
    <row r="574" spans="1:22" ht="15.75" customHeight="1">
      <c r="A574" s="1099" t="s">
        <v>286</v>
      </c>
      <c r="B574" s="1078"/>
      <c r="C574" s="1372" t="str">
        <f>IF(C573="","",C570*C573)</f>
        <v/>
      </c>
      <c r="D574" s="1372" t="str">
        <f>IF(D573="","",D570*D573)</f>
        <v/>
      </c>
      <c r="E574" s="1372" t="str">
        <f>IF(E573="","",E570*E573)</f>
        <v/>
      </c>
      <c r="F574" s="1372" t="str">
        <f>IF(F573="","",F570*F573)</f>
        <v/>
      </c>
      <c r="G574" s="1078"/>
      <c r="H574" s="1372">
        <f>IF(H$46=0,"",IF($D573="",H570*H573,H570*$D573))</f>
        <v>201.91738862798098</v>
      </c>
      <c r="I574" s="1372">
        <f t="shared" ref="I574:K574" si="71">IF(I$46=0,"",IF($D573="",I570*I573,I570*$D573))</f>
        <v>201.91738862798098</v>
      </c>
      <c r="J574" s="1372">
        <f t="shared" si="71"/>
        <v>201.91738862798098</v>
      </c>
      <c r="K574" s="1372">
        <f t="shared" si="71"/>
        <v>227.1570622064786</v>
      </c>
      <c r="L574" s="1078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07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3.875520439243894</v>
      </c>
      <c r="J575" s="1168">
        <f>IF(J$46="","",IF('Exp factors'!$B58="poor",'Exp factors'!$G$58*J$46/J576,SUM(E575)*'Exp factors'!E$58))</f>
        <v>3.875520439243894</v>
      </c>
      <c r="K575" s="1168">
        <f>IF(K$46="","",IF('Exp factors'!$B58="poor",'Exp factors'!$G$58*K$46/K576,SUM(F575)*'Exp factors'!F$58))</f>
        <v>4.359960494149381</v>
      </c>
      <c r="L575" s="1078"/>
      <c r="M575" s="948"/>
      <c r="N575" s="948"/>
      <c r="O575" s="948"/>
      <c r="P575" s="948"/>
      <c r="Q575" s="1107"/>
      <c r="R575" s="882"/>
      <c r="S575" s="1014"/>
      <c r="T575" s="1014"/>
      <c r="U575" s="1046">
        <v>575</v>
      </c>
      <c r="V575" s="461"/>
    </row>
    <row r="576" spans="1:22" ht="15.75" customHeight="1">
      <c r="A576" s="1099" t="s">
        <v>289</v>
      </c>
      <c r="B576" s="1078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78"/>
      <c r="H576" s="1169">
        <f>I576</f>
        <v>12</v>
      </c>
      <c r="I576" s="1169">
        <f>IF(SUM(D576)=0,IF(SUM(C576)=0,IF(SUM(E576)=0,IF(SUM(F576)=0,12,SUM(F576)),SUM(E576)),SUM(C576)),SUM(D576))</f>
        <v>12</v>
      </c>
      <c r="J576" s="1169">
        <f>I576</f>
        <v>12</v>
      </c>
      <c r="K576" s="1169">
        <f>I576</f>
        <v>12</v>
      </c>
      <c r="L576" s="1078"/>
      <c r="M576" s="948"/>
      <c r="N576" s="948"/>
      <c r="O576" s="948"/>
      <c r="P576" s="948"/>
      <c r="Q576" s="1107"/>
      <c r="R576" s="882"/>
      <c r="S576" s="1014"/>
      <c r="T576" s="1014"/>
      <c r="U576" s="1046">
        <v>576</v>
      </c>
      <c r="V576" s="461"/>
    </row>
    <row r="577" spans="1:22" ht="15.75" customHeight="1">
      <c r="A577" s="1148" t="s">
        <v>292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8"/>
      <c r="I577" s="948"/>
      <c r="J577" s="948"/>
      <c r="K577" s="948"/>
      <c r="L577" s="1078"/>
      <c r="M577" s="1094"/>
      <c r="N577" s="1094"/>
      <c r="O577" s="1094"/>
      <c r="P577" s="1094"/>
      <c r="Q577" s="1107"/>
      <c r="R577" s="882"/>
      <c r="S577" s="1014"/>
      <c r="T577" s="1014"/>
      <c r="U577" s="1046">
        <v>577</v>
      </c>
      <c r="V577" s="461"/>
    </row>
    <row r="578" spans="1:22" ht="15.75" customHeight="1">
      <c r="A578" s="1099" t="s">
        <v>252</v>
      </c>
      <c r="B578" s="1078"/>
      <c r="C578" s="1371" t="str">
        <f>IF(SUM(C575)=0,"",C575*C576*C577/C$46/365/$P$1)</f>
        <v/>
      </c>
      <c r="D578" s="1371" t="str">
        <f>IF(SUM(D575)=0,"",D575*D576*D577/D$46/365/$P$1)</f>
        <v/>
      </c>
      <c r="E578" s="1371" t="str">
        <f>IF(SUM(E575)=0,"",E575*E576*E577/E$46/365/$P$1)</f>
        <v/>
      </c>
      <c r="F578" s="1371" t="str">
        <f>IF(SUM(F575)=0,"",F575*F576*F577/F$46/365/$P$1)</f>
        <v/>
      </c>
      <c r="G578" s="1078"/>
      <c r="H578" s="1371">
        <f>IF(H$46=0,"",H575*H576*SUM($D577)/H$46/365/$P$1)</f>
        <v>1.7428331246525793E-3</v>
      </c>
      <c r="I578" s="1371">
        <f>IF(I$46=0,"",I575*I576*SUM($D577)/I$46/365/$P$1)</f>
        <v>1.7428331246525793E-3</v>
      </c>
      <c r="J578" s="1371">
        <f>IF(J$46=0,"",J575*J576*SUM($D577)/J$46/365/$P$1)</f>
        <v>1.7428331246525793E-3</v>
      </c>
      <c r="K578" s="1371">
        <f>IF(K$46=0,"",K575*K576*SUM($D577)/K$46/365/$P$1)</f>
        <v>1.7428331246525798E-3</v>
      </c>
      <c r="L578" s="1078"/>
      <c r="M578" s="1126">
        <f>IF(SUM(H578)=SUM(C578),"",SUM(H578)-SUM(C578))</f>
        <v>1.7428331246525793E-3</v>
      </c>
      <c r="N578" s="1126">
        <f>IF(SUM(I578)=SUM(D578),"",SUM(I578)-SUM(D578))</f>
        <v>1.7428331246525793E-3</v>
      </c>
      <c r="O578" s="1126">
        <f>IF(SUM(J578)=SUM(E578),"",SUM(J578)-SUM(E578))</f>
        <v>1.7428331246525793E-3</v>
      </c>
      <c r="P578" s="1126">
        <f>IF(SUM(K578)=SUM(F578),"",SUM(K578)-SUM(F578))</f>
        <v>1.7428331246525798E-3</v>
      </c>
      <c r="Q578" s="1107"/>
      <c r="R578" s="882"/>
      <c r="S578" s="1014"/>
      <c r="T578" s="1014"/>
      <c r="U578" s="1046">
        <v>578</v>
      </c>
      <c r="V578" s="461"/>
    </row>
    <row r="579" spans="1:22" ht="15.75" customHeight="1">
      <c r="A579" s="1167" t="s">
        <v>288</v>
      </c>
      <c r="B579" s="1078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78"/>
      <c r="H579" s="1586">
        <f>$I579</f>
        <v>8.9993857493857483</v>
      </c>
      <c r="I579" s="1586">
        <f>IF(SUM($D579)=0,IF(SUM($C579)=0,IF(SUM($E579)=0,IF(SUM($F579)=0,'Exp factors'!$H$58,SUM($F579)),SUM($E579)),SUM($C579)),SUM($D579))</f>
        <v>8.9993857493857483</v>
      </c>
      <c r="J579" s="1586">
        <f>$I579</f>
        <v>8.9993857493857483</v>
      </c>
      <c r="K579" s="1586">
        <f>$I579</f>
        <v>8.9993857493857483</v>
      </c>
      <c r="L579" s="1078"/>
      <c r="M579" s="948"/>
      <c r="N579" s="948"/>
      <c r="O579" s="948"/>
      <c r="P579" s="948"/>
      <c r="Q579" s="1107"/>
      <c r="R579" s="882"/>
      <c r="S579" s="1014"/>
      <c r="T579" s="1014"/>
      <c r="U579" s="1046">
        <v>579</v>
      </c>
      <c r="V579" s="461"/>
    </row>
    <row r="580" spans="1:22" ht="15.75" customHeight="1">
      <c r="A580" s="1099" t="s">
        <v>286</v>
      </c>
      <c r="B580" s="1078"/>
      <c r="C580" s="1372" t="str">
        <f>IF(C579="","",C575*C576*C579)</f>
        <v/>
      </c>
      <c r="D580" s="1372" t="str">
        <f>IF(D579="","",D575*D576*D579)</f>
        <v/>
      </c>
      <c r="E580" s="1372" t="str">
        <f>IF(E579="","",E575*E576*E579)</f>
        <v/>
      </c>
      <c r="F580" s="1372" t="str">
        <f>IF(F579="","",F575*F576*F579)</f>
        <v/>
      </c>
      <c r="G580" s="1078"/>
      <c r="H580" s="1372">
        <f>IF(H$46=0,"",H575*H576*H579)</f>
        <v>418.52764094861635</v>
      </c>
      <c r="I580" s="1372">
        <f t="shared" ref="I580:K580" si="72">IF(I$46=0,"",I575*I576*I579)</f>
        <v>418.52764094861635</v>
      </c>
      <c r="J580" s="1372">
        <f t="shared" si="72"/>
        <v>418.52764094861635</v>
      </c>
      <c r="K580" s="1372">
        <f t="shared" si="72"/>
        <v>470.84359606719346</v>
      </c>
      <c r="L580" s="1078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07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90" t="str">
        <f>IF(Data!BV581="","",Data!BV581)</f>
        <v/>
      </c>
      <c r="D581" s="990" t="str">
        <f>IF(Data!BW581="","",Data!BW581)</f>
        <v/>
      </c>
      <c r="E581" s="990" t="str">
        <f>IF(Data!BX581="","",Data!BX581)</f>
        <v/>
      </c>
      <c r="F581" s="990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3.4662905418105794</v>
      </c>
      <c r="J581" s="1168">
        <f>IF(J$46="","",IF('Exp factors'!$B59="poor",'Exp factors'!$G$59*J$46/J582,SUM(E581)*'Exp factors'!E$59))</f>
        <v>3.4662905418105794</v>
      </c>
      <c r="K581" s="1168">
        <f>IF(K$46="","",IF('Exp factors'!$B59="poor",'Exp factors'!$G$59*K$46/K582,SUM(F581)*'Exp factors'!F$59))</f>
        <v>3.8995768595369018</v>
      </c>
      <c r="L581" s="1078"/>
      <c r="M581" s="948"/>
      <c r="N581" s="948"/>
      <c r="O581" s="948"/>
      <c r="P581" s="948"/>
      <c r="Q581" s="1107"/>
      <c r="R581" s="882"/>
      <c r="S581" s="1014"/>
      <c r="T581" s="1014"/>
      <c r="U581" s="1046">
        <v>581</v>
      </c>
      <c r="V581" s="461"/>
    </row>
    <row r="582" spans="1:22" ht="15.75" customHeight="1">
      <c r="A582" s="1099" t="s">
        <v>289</v>
      </c>
      <c r="B582" s="1078"/>
      <c r="C582" s="990" t="str">
        <f>IF(Data!BV582="","",Data!BV582)</f>
        <v/>
      </c>
      <c r="D582" s="990" t="str">
        <f>IF(Data!BW582="","",Data!BW582)</f>
        <v/>
      </c>
      <c r="E582" s="990" t="str">
        <f>IF(Data!BX582="","",Data!BX582)</f>
        <v/>
      </c>
      <c r="F582" s="990" t="str">
        <f>IF(Data!BY582="","",Data!BY582)</f>
        <v/>
      </c>
      <c r="G582" s="1078"/>
      <c r="H582" s="1169">
        <f>I582</f>
        <v>12</v>
      </c>
      <c r="I582" s="1169">
        <f>IF(SUM(D582)=0,IF(SUM(C582)=0,IF(SUM(E582)=0,IF(SUM(F582)=0,12,SUM(F582)),SUM(E582)),SUM(C582)),SUM(D582))</f>
        <v>12</v>
      </c>
      <c r="J582" s="1169">
        <f>I582</f>
        <v>12</v>
      </c>
      <c r="K582" s="1169">
        <f>I582</f>
        <v>12</v>
      </c>
      <c r="L582" s="1078"/>
      <c r="M582" s="948"/>
      <c r="N582" s="948"/>
      <c r="O582" s="948"/>
      <c r="P582" s="948"/>
      <c r="Q582" s="1107"/>
      <c r="R582" s="882"/>
      <c r="S582" s="1014"/>
      <c r="T582" s="1014"/>
      <c r="U582" s="1046">
        <v>582</v>
      </c>
      <c r="V582" s="461"/>
    </row>
    <row r="583" spans="1:22" ht="15.75" customHeight="1">
      <c r="A583" s="1148" t="s">
        <v>292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8"/>
      <c r="I583" s="948"/>
      <c r="J583" s="948"/>
      <c r="K583" s="948"/>
      <c r="L583" s="1078"/>
      <c r="M583" s="1094"/>
      <c r="N583" s="1094"/>
      <c r="O583" s="1094"/>
      <c r="P583" s="1094"/>
      <c r="Q583" s="1107"/>
      <c r="R583" s="882"/>
      <c r="S583" s="1014"/>
      <c r="T583" s="1014"/>
      <c r="U583" s="1046">
        <v>583</v>
      </c>
      <c r="V583" s="461"/>
    </row>
    <row r="584" spans="1:22" ht="15.75" customHeight="1">
      <c r="A584" s="1099" t="s">
        <v>252</v>
      </c>
      <c r="B584" s="1078"/>
      <c r="C584" s="1371" t="str">
        <f>IF(SUM(C581)=0,"",C581*C582*C583/C$46/365/$P$1)</f>
        <v/>
      </c>
      <c r="D584" s="1371" t="str">
        <f>IF(SUM(D581)=0,"",D581*D582*D583/D$46/365/$P$1)</f>
        <v/>
      </c>
      <c r="E584" s="1371" t="str">
        <f>IF(SUM(E581)=0,"",E581*E582*E583/E$46/365/$P$1)</f>
        <v/>
      </c>
      <c r="F584" s="1371" t="str">
        <f>IF(SUM(F581)=0,"",F581*F582*F583/F$46/365/$P$1)</f>
        <v/>
      </c>
      <c r="G584" s="1078"/>
      <c r="H584" s="1371">
        <f>IF(H$46=0,"",H581*H582*SUM($D583)/H$46/365/$P$1)</f>
        <v>1.8095648906604107E-2</v>
      </c>
      <c r="I584" s="1371">
        <f>IF(I$46=0,"",I581*I582*SUM($D583)/I$46/365/$P$1)</f>
        <v>1.8095648906604107E-2</v>
      </c>
      <c r="J584" s="1371">
        <f>IF(J$46=0,"",J581*J582*SUM($D583)/J$46/365/$P$1)</f>
        <v>1.8095648906604107E-2</v>
      </c>
      <c r="K584" s="1371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82"/>
      <c r="S584" s="1014"/>
      <c r="T584" s="1014"/>
      <c r="U584" s="1046">
        <v>584</v>
      </c>
      <c r="V584" s="461"/>
    </row>
    <row r="585" spans="1:22" ht="15.75" customHeight="1">
      <c r="A585" s="1167" t="s">
        <v>288</v>
      </c>
      <c r="B585" s="1078"/>
      <c r="C585" s="990" t="str">
        <f>IF(Data!BV585="","",Data!BV585)</f>
        <v/>
      </c>
      <c r="D585" s="990" t="str">
        <f>IF(Data!BW585="","",Data!BW585)</f>
        <v/>
      </c>
      <c r="E585" s="990" t="str">
        <f>IF(Data!BX585="","",Data!BX585)</f>
        <v/>
      </c>
      <c r="F585" s="990" t="str">
        <f>IF(Data!BY585="","",Data!BY585)</f>
        <v/>
      </c>
      <c r="G585" s="1078"/>
      <c r="H585" s="1586">
        <f>$I585</f>
        <v>58.337174721189591</v>
      </c>
      <c r="I585" s="1586">
        <f>IF(SUM($D585)=0,IF(SUM($C585)=0,IF(SUM($E585)=0,IF(SUM($F585)=0,'Exp factors'!$H$59,SUM($F585)),SUM($E585)),SUM($C585)),SUM($D585))</f>
        <v>58.337174721189591</v>
      </c>
      <c r="J585" s="1586">
        <f>$I585</f>
        <v>58.337174721189591</v>
      </c>
      <c r="K585" s="1586">
        <f>$I585</f>
        <v>58.337174721189591</v>
      </c>
      <c r="L585" s="1078"/>
      <c r="M585" s="948"/>
      <c r="N585" s="948"/>
      <c r="O585" s="948"/>
      <c r="P585" s="948"/>
      <c r="Q585" s="1107"/>
      <c r="R585" s="882"/>
      <c r="S585" s="1014"/>
      <c r="T585" s="1014"/>
      <c r="U585" s="1046">
        <v>585</v>
      </c>
      <c r="V585" s="461"/>
    </row>
    <row r="586" spans="1:22" ht="15.75" customHeight="1">
      <c r="A586" s="1099" t="s">
        <v>286</v>
      </c>
      <c r="B586" s="1078"/>
      <c r="C586" s="1372" t="str">
        <f>IF(C585="","",C581*C582*C585)</f>
        <v/>
      </c>
      <c r="D586" s="1372" t="str">
        <f>IF(D585="","",D581*D582*D585)</f>
        <v/>
      </c>
      <c r="E586" s="1372" t="str">
        <f>IF(E585="","",E581*E582*E585)</f>
        <v/>
      </c>
      <c r="F586" s="1372" t="str">
        <f>IF(F585="","",F581*F582*F585)</f>
        <v/>
      </c>
      <c r="G586" s="1078"/>
      <c r="H586" s="1372">
        <f>IF(H$46=0,"",H581*H582*H585)</f>
        <v>2426.5631636641283</v>
      </c>
      <c r="I586" s="1372">
        <f t="shared" ref="I586" si="73">IF(I$46=0,"",I581*I582*I585)</f>
        <v>2426.5631636641283</v>
      </c>
      <c r="J586" s="1372">
        <f t="shared" ref="J586" si="74">IF(J$46=0,"",J581*J582*J585)</f>
        <v>2426.5631636641283</v>
      </c>
      <c r="K586" s="1372">
        <f t="shared" ref="K586" si="75">IF(K$46=0,"",K581*K582*K585)</f>
        <v>2729.8835591221446</v>
      </c>
      <c r="L586" s="1078"/>
      <c r="M586" s="957">
        <f>IF(SUM(H586)=SUM(C586),"",SUM(H586)-SUM(C586))</f>
        <v>2426.5631636641283</v>
      </c>
      <c r="N586" s="957">
        <f>IF(SUM(I586)=SUM(D586),"",SUM(I586)-SUM(D586))</f>
        <v>2426.5631636641283</v>
      </c>
      <c r="O586" s="957">
        <f>IF(SUM(J586)=SUM(E586),"",SUM(J586)-SUM(E586))</f>
        <v>2426.5631636641283</v>
      </c>
      <c r="P586" s="957">
        <f>IF(SUM(K586)=SUM(F586),"",SUM(K586)-SUM(F586))</f>
        <v>2729.8835591221446</v>
      </c>
      <c r="Q586" s="1107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0.28434800043521419</v>
      </c>
      <c r="J587" s="1168">
        <f>IF(J$46="","",IF('Exp factors'!$B60="poor",'Exp factors'!$G$60*J$46/J588,SUM(E587)*'Exp factors'!E$60))</f>
        <v>0.28434800043521419</v>
      </c>
      <c r="K587" s="1168">
        <f>IF(K$46="","",IF('Exp factors'!$B60="poor",'Exp factors'!$G$60*K$46/K588,SUM(F587)*'Exp factors'!F$60))</f>
        <v>0.31989150048961595</v>
      </c>
      <c r="L587" s="1078"/>
      <c r="M587" s="948"/>
      <c r="N587" s="948"/>
      <c r="O587" s="948"/>
      <c r="P587" s="948"/>
      <c r="Q587" s="1107"/>
      <c r="R587" s="882"/>
      <c r="S587" s="1014"/>
      <c r="T587" s="1014"/>
      <c r="U587" s="1046">
        <v>587</v>
      </c>
      <c r="V587" s="461"/>
    </row>
    <row r="588" spans="1:22" ht="15.75" customHeight="1">
      <c r="A588" s="1099" t="s">
        <v>289</v>
      </c>
      <c r="B588" s="1078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78"/>
      <c r="H588" s="1169">
        <f>I588</f>
        <v>12</v>
      </c>
      <c r="I588" s="1169">
        <f>IF(SUM(D588)=0,IF(SUM(C588)=0,IF(SUM(E588)=0,IF(SUM(F588)=0,12,SUM(F588)),SUM(E588)),SUM(C588)),SUM(D588))</f>
        <v>12</v>
      </c>
      <c r="J588" s="1169">
        <f>I588</f>
        <v>12</v>
      </c>
      <c r="K588" s="1169">
        <f>I588</f>
        <v>12</v>
      </c>
      <c r="L588" s="1078"/>
      <c r="M588" s="948"/>
      <c r="N588" s="948"/>
      <c r="O588" s="948"/>
      <c r="P588" s="948"/>
      <c r="Q588" s="1107"/>
      <c r="R588" s="882"/>
      <c r="S588" s="1014"/>
      <c r="T588" s="1014"/>
      <c r="U588" s="1046">
        <v>588</v>
      </c>
      <c r="V588" s="461"/>
    </row>
    <row r="589" spans="1:22" ht="15.75" customHeight="1">
      <c r="A589" s="1148" t="s">
        <v>292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8"/>
      <c r="I589" s="948"/>
      <c r="J589" s="948"/>
      <c r="K589" s="948"/>
      <c r="L589" s="1078"/>
      <c r="M589" s="1094"/>
      <c r="N589" s="1094"/>
      <c r="O589" s="1094"/>
      <c r="P589" s="1094"/>
      <c r="Q589" s="1107"/>
      <c r="R589" s="882"/>
      <c r="S589" s="1014"/>
      <c r="T589" s="1014"/>
      <c r="U589" s="1046">
        <v>589</v>
      </c>
      <c r="V589" s="461"/>
    </row>
    <row r="590" spans="1:22" ht="15.75" customHeight="1">
      <c r="A590" s="1099" t="s">
        <v>252</v>
      </c>
      <c r="B590" s="1078"/>
      <c r="C590" s="1371" t="str">
        <f>IF(SUM(C587)=0,"",C587*C588*C589/C$46/365/$P$1)</f>
        <v/>
      </c>
      <c r="D590" s="1371" t="str">
        <f>IF(SUM(D587)=0,"",D587*D588*D589/D$46/365/$P$1)</f>
        <v/>
      </c>
      <c r="E590" s="1371" t="str">
        <f>IF(SUM(E587)=0,"",E587*E588*E589/E$46/365/$P$1)</f>
        <v/>
      </c>
      <c r="F590" s="1371">
        <f>IF(SUM(F587)=0,"",F587*F588*F589/F$46/365/$P$1)</f>
        <v>5.7735780821917817E-3</v>
      </c>
      <c r="G590" s="1078"/>
      <c r="H590" s="1371">
        <f>IF(H$46=0,"",H587*H588*SUM($D589)/H$46/365/$P$1)</f>
        <v>1.8469185559062884E-3</v>
      </c>
      <c r="I590" s="1371">
        <f>IF(I$46=0,"",I587*I588*SUM($D589)/I$46/365/$P$1)</f>
        <v>1.8469185559062884E-3</v>
      </c>
      <c r="J590" s="1371">
        <f>IF(J$46=0,"",J587*J588*SUM($D589)/J$46/365/$P$1)</f>
        <v>1.8469185559062884E-3</v>
      </c>
      <c r="K590" s="1371">
        <f>IF(K$46=0,"",K587*K588*SUM($D589)/K$46/365/$P$1)</f>
        <v>1.8469185559062884E-3</v>
      </c>
      <c r="L590" s="1078"/>
      <c r="M590" s="1126">
        <f>IF(SUM(H590)=SUM(C590),"",SUM(H590)-SUM(C590))</f>
        <v>1.8469185559062884E-3</v>
      </c>
      <c r="N590" s="1126">
        <f>IF(SUM(I590)=SUM(D590),"",SUM(I590)-SUM(D590))</f>
        <v>1.8469185559062884E-3</v>
      </c>
      <c r="O590" s="1126">
        <f>IF(SUM(J590)=SUM(E590),"",SUM(J590)-SUM(E590))</f>
        <v>1.8469185559062884E-3</v>
      </c>
      <c r="P590" s="1126">
        <f>IF(SUM(K590)=SUM(F590),"",SUM(K590)-SUM(F590))</f>
        <v>-3.9266595262854934E-3</v>
      </c>
      <c r="Q590" s="1107"/>
      <c r="R590" s="882"/>
      <c r="S590" s="1014"/>
      <c r="T590" s="1014"/>
      <c r="U590" s="1046">
        <v>590</v>
      </c>
      <c r="V590" s="461"/>
    </row>
    <row r="591" spans="1:22" ht="15.75" customHeight="1">
      <c r="A591" s="1167" t="s">
        <v>288</v>
      </c>
      <c r="B591" s="1078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78"/>
      <c r="H591" s="1586">
        <f>$I591</f>
        <v>15</v>
      </c>
      <c r="I591" s="1586">
        <f>IF(SUM($D591)=0,IF(SUM($C591)=0,IF(SUM($E591)=0,IF(SUM($F591)=0,'Exp factors'!$H$60,SUM($F591)),SUM($E591)),SUM($C591)),SUM($D591))</f>
        <v>15</v>
      </c>
      <c r="J591" s="1586">
        <f>$I591</f>
        <v>15</v>
      </c>
      <c r="K591" s="1586">
        <f>$I591</f>
        <v>15</v>
      </c>
      <c r="L591" s="1078"/>
      <c r="M591" s="948"/>
      <c r="N591" s="948"/>
      <c r="O591" s="948"/>
      <c r="P591" s="948"/>
      <c r="Q591" s="1107"/>
      <c r="R591" s="882"/>
      <c r="S591" s="1014"/>
      <c r="T591" s="1014"/>
      <c r="U591" s="1046">
        <v>591</v>
      </c>
      <c r="V591" s="461"/>
    </row>
    <row r="592" spans="1:22" ht="15.75" customHeight="1">
      <c r="A592" s="1099" t="s">
        <v>286</v>
      </c>
      <c r="B592" s="1078"/>
      <c r="C592" s="1372" t="str">
        <f>IF(C591="","",C587*C588*C591)</f>
        <v/>
      </c>
      <c r="D592" s="1372" t="str">
        <f>IF(D591="","",D587*D588*D591)</f>
        <v/>
      </c>
      <c r="E592" s="1372" t="str">
        <f>IF(E591="","",E587*E588*E591)</f>
        <v/>
      </c>
      <c r="F592" s="1372">
        <f>IF(F591="","",F587*F588*F591)</f>
        <v>180</v>
      </c>
      <c r="G592" s="1078"/>
      <c r="H592" s="1372">
        <f>IF(H$46=0,"",H587*H588*H591)</f>
        <v>51.182640078338558</v>
      </c>
      <c r="I592" s="1372">
        <f t="shared" ref="I592" si="76">IF(I$46=0,"",I587*I588*I591)</f>
        <v>51.182640078338558</v>
      </c>
      <c r="J592" s="1372">
        <f t="shared" ref="J592" si="77">IF(J$46=0,"",J587*J588*J591)</f>
        <v>51.182640078338558</v>
      </c>
      <c r="K592" s="1372">
        <f t="shared" ref="K592" si="78">IF(K$46=0,"",K587*K588*K591)</f>
        <v>57.580470088130873</v>
      </c>
      <c r="L592" s="1078"/>
      <c r="M592" s="957">
        <f>IF(SUM(H592)=SUM(C592),"",SUM(H592)-SUM(C592))</f>
        <v>51.182640078338558</v>
      </c>
      <c r="N592" s="957">
        <f>IF(SUM(I592)=SUM(D592),"",SUM(I592)-SUM(D592))</f>
        <v>51.182640078338558</v>
      </c>
      <c r="O592" s="957">
        <f>IF(SUM(J592)=SUM(E592),"",SUM(J592)-SUM(E592))</f>
        <v>51.182640078338558</v>
      </c>
      <c r="P592" s="957">
        <f>IF(SUM(K592)=SUM(F592),"",SUM(K592)-SUM(F592))</f>
        <v>-122.41952991186912</v>
      </c>
      <c r="Q592" s="1107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78"/>
      <c r="H593" s="948"/>
      <c r="I593" s="948"/>
      <c r="J593" s="948"/>
      <c r="K593" s="948"/>
      <c r="L593" s="1078"/>
      <c r="M593" s="948"/>
      <c r="N593" s="948"/>
      <c r="O593" s="948"/>
      <c r="P593" s="948"/>
      <c r="Q593" s="1107"/>
      <c r="R593" s="843"/>
      <c r="S593" s="843"/>
      <c r="T593" s="843"/>
      <c r="U593" s="1046">
        <v>593</v>
      </c>
      <c r="V593" s="461"/>
    </row>
    <row r="594" spans="1:22" ht="15.75" customHeight="1">
      <c r="A594" s="1099" t="s">
        <v>293</v>
      </c>
      <c r="B594" s="107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8"/>
      <c r="N594" s="948"/>
      <c r="O594" s="948"/>
      <c r="P594" s="948"/>
      <c r="Q594" s="1107"/>
      <c r="R594" s="882"/>
      <c r="S594" s="1014"/>
      <c r="T594" s="1014"/>
      <c r="U594" s="1046">
        <v>594</v>
      </c>
      <c r="V594" s="461"/>
    </row>
    <row r="595" spans="1:22" ht="15.75" customHeight="1">
      <c r="A595" s="1099" t="s">
        <v>289</v>
      </c>
      <c r="B595" s="1081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78"/>
      <c r="H595" s="1169">
        <f>I595</f>
        <v>12</v>
      </c>
      <c r="I595" s="1169">
        <f>IF(SUM(D595)=0,IF(SUM(C595)=0,IF(SUM(E595)=0,IF(SUM(F595)=0,12,SUM(F595)),SUM(E595)),SUM(C595)),SUM(D595))</f>
        <v>12</v>
      </c>
      <c r="J595" s="1169">
        <f>I595</f>
        <v>12</v>
      </c>
      <c r="K595" s="1169">
        <f>I595</f>
        <v>12</v>
      </c>
      <c r="L595" s="1078"/>
      <c r="M595" s="948"/>
      <c r="N595" s="948"/>
      <c r="O595" s="948"/>
      <c r="P595" s="948"/>
      <c r="Q595" s="1107"/>
      <c r="R595" s="882"/>
      <c r="S595" s="1014"/>
      <c r="T595" s="1014"/>
      <c r="U595" s="1046">
        <v>595</v>
      </c>
      <c r="V595" s="461"/>
    </row>
    <row r="596" spans="1:22" ht="15.75" customHeight="1">
      <c r="A596" s="1148" t="s">
        <v>292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8"/>
      <c r="I596" s="948"/>
      <c r="J596" s="948"/>
      <c r="K596" s="948"/>
      <c r="L596" s="1078"/>
      <c r="M596" s="1094"/>
      <c r="N596" s="1094"/>
      <c r="O596" s="1094"/>
      <c r="P596" s="1094"/>
      <c r="Q596" s="1107"/>
      <c r="R596" s="882"/>
      <c r="S596" s="1014"/>
      <c r="T596" s="1014"/>
      <c r="U596" s="1046">
        <v>596</v>
      </c>
      <c r="V596" s="461"/>
    </row>
    <row r="597" spans="1:22" ht="15.75" customHeight="1">
      <c r="A597" s="1099" t="s">
        <v>252</v>
      </c>
      <c r="B597" s="1081"/>
      <c r="C597" s="1125" t="str">
        <f>IF(C594="","",C594*C595*C596/C$46/365/$P$1)</f>
        <v/>
      </c>
      <c r="D597" s="1125" t="str">
        <f>IF(D594="","",D594*D595*D596/D$46/365/$P$1)</f>
        <v/>
      </c>
      <c r="E597" s="1125" t="str">
        <f>IF(E594="","",E594*E595*E596/E$46/365/$P$1)</f>
        <v/>
      </c>
      <c r="F597" s="1125" t="str">
        <f>IF(F594="","",F594*F595*F596/F$46/365/$P$1)</f>
        <v/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 t="str">
        <f>IF(SUM(H597)=SUM(C597),"",SUM(H597)-SUM(C597))</f>
        <v/>
      </c>
      <c r="N597" s="1126" t="str">
        <f>IF(SUM(I597)=SUM(D597),"",SUM(I597)-SUM(D597))</f>
        <v/>
      </c>
      <c r="O597" s="1126" t="str">
        <f>IF(SUM(J597)=SUM(E597),"",SUM(J597)-SUM(E597))</f>
        <v/>
      </c>
      <c r="P597" s="1126" t="str">
        <f>IF(SUM(K597)=SUM(F597),"",SUM(K597)-SUM(F597))</f>
        <v/>
      </c>
      <c r="Q597" s="1107"/>
      <c r="R597" s="1045"/>
      <c r="S597" s="1007"/>
      <c r="T597" s="1007"/>
      <c r="U597" s="1046">
        <v>597</v>
      </c>
      <c r="V597" s="461"/>
    </row>
    <row r="598" spans="1:22" ht="15.75" customHeight="1">
      <c r="A598" s="1167" t="s">
        <v>288</v>
      </c>
      <c r="B598" s="1078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78"/>
      <c r="H598" s="948"/>
      <c r="I598" s="948"/>
      <c r="J598" s="948"/>
      <c r="K598" s="948"/>
      <c r="L598" s="1078"/>
      <c r="M598" s="948"/>
      <c r="N598" s="948"/>
      <c r="O598" s="948"/>
      <c r="P598" s="948"/>
      <c r="Q598" s="1107"/>
      <c r="R598" s="1091"/>
      <c r="S598" s="1092"/>
      <c r="T598" s="1092"/>
      <c r="U598" s="1046">
        <v>598</v>
      </c>
      <c r="V598" s="461"/>
    </row>
    <row r="599" spans="1:22" ht="15.75" customHeight="1">
      <c r="A599" s="1099" t="s">
        <v>286</v>
      </c>
      <c r="B599" s="1078"/>
      <c r="C599" s="1121" t="str">
        <f>IF(C598="","",C594*C595*C598)</f>
        <v/>
      </c>
      <c r="D599" s="1121" t="str">
        <f>IF(D598="","",D594*D595*D598)</f>
        <v/>
      </c>
      <c r="E599" s="1121" t="str">
        <f>IF(E598="","",E594*E595*E598)</f>
        <v/>
      </c>
      <c r="F599" s="1121" t="str">
        <f>IF(F598="","",F594*F595*F598)</f>
        <v/>
      </c>
      <c r="G599" s="1078"/>
      <c r="H599" s="1373">
        <f>IF(H$46=0,"",H594*H595*SUM($D598))</f>
        <v>0</v>
      </c>
      <c r="I599" s="1373">
        <f>IF(I$46=0,"",I594*I595*SUM($D598))</f>
        <v>0</v>
      </c>
      <c r="J599" s="1373">
        <f>IF(J$46=0,"",J594*J595*SUM($D598))</f>
        <v>0</v>
      </c>
      <c r="K599" s="1373">
        <f>IF(K$46=0,"",K594*K595*SUM($D598))</f>
        <v>0</v>
      </c>
      <c r="L599" s="1078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07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1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8"/>
      <c r="N600" s="948"/>
      <c r="O600" s="948"/>
      <c r="P600" s="948"/>
      <c r="Q600" s="1107"/>
      <c r="R600" s="882"/>
      <c r="S600" s="1014"/>
      <c r="T600" s="1014"/>
      <c r="U600" s="1046">
        <v>600</v>
      </c>
      <c r="V600" s="461"/>
    </row>
    <row r="601" spans="1:22" ht="15.75" customHeight="1">
      <c r="A601" s="1592" t="s">
        <v>293</v>
      </c>
      <c r="B601" s="1078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4.5361222771040683</v>
      </c>
      <c r="J601" s="1168">
        <f>IF(J$46="","",IF('Exp factors'!$B63="poor",'Exp factors'!$G$63*J$46,SUM(E601)*'Exp factors'!E$63))</f>
        <v>4.5361222771040683</v>
      </c>
      <c r="K601" s="1168">
        <f>IF(K$46="","",IF('Exp factors'!$B63="poor",'Exp factors'!$G$63*K$46,SUM(F601)*'Exp factors'!F$63))</f>
        <v>5.1031375617420771</v>
      </c>
      <c r="L601" s="1078"/>
      <c r="M601" s="948"/>
      <c r="N601" s="948"/>
      <c r="O601" s="948"/>
      <c r="P601" s="948"/>
      <c r="Q601" s="1107"/>
      <c r="R601" s="882"/>
      <c r="S601" s="1014"/>
      <c r="T601" s="1014"/>
      <c r="U601" s="1046">
        <v>601</v>
      </c>
      <c r="V601" s="461"/>
    </row>
    <row r="602" spans="1:22" ht="15.75" customHeight="1">
      <c r="A602" s="1148" t="s">
        <v>292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8"/>
      <c r="I602" s="948"/>
      <c r="J602" s="948"/>
      <c r="K602" s="948"/>
      <c r="L602" s="1078"/>
      <c r="M602" s="1094"/>
      <c r="N602" s="1094"/>
      <c r="O602" s="1094"/>
      <c r="P602" s="1094"/>
      <c r="Q602" s="1107"/>
      <c r="R602" s="882"/>
      <c r="S602" s="1014"/>
      <c r="T602" s="1014"/>
      <c r="U602" s="1046">
        <v>602</v>
      </c>
      <c r="V602" s="461"/>
    </row>
    <row r="603" spans="1:22" ht="15.75" customHeight="1">
      <c r="A603" s="1099" t="s">
        <v>252</v>
      </c>
      <c r="B603" s="1078"/>
      <c r="C603" s="1371" t="str">
        <f>IF(C601="","",C601*C602/C$46/365/$P$1)</f>
        <v/>
      </c>
      <c r="D603" s="1371" t="str">
        <f>IF(D601="","",D601*D602/D$46/365/$P$1)</f>
        <v/>
      </c>
      <c r="E603" s="1371" t="str">
        <f>IF(E601="","",E601*E602/E$46/365/$P$1)</f>
        <v/>
      </c>
      <c r="F603" s="1371" t="str">
        <f>IF(F601="","",F601*F602/F$46/365/$P$1)</f>
        <v/>
      </c>
      <c r="G603" s="1078"/>
      <c r="H603" s="1371">
        <f>IF(OR(H$46=0,H601=""),"",H601*SUM($D602)/H$46/365/$P$1)</f>
        <v>1.6008841220431971E-3</v>
      </c>
      <c r="I603" s="1371">
        <f>IF(OR(I$46=0,I601=""),"",I601*SUM($D602)/I$46/365/$P$1)</f>
        <v>1.6008841220431971E-3</v>
      </c>
      <c r="J603" s="1371">
        <f>IF(OR(J$46=0,J601=""),"",J601*SUM($D602)/J$46/365/$P$1)</f>
        <v>1.6008841220431971E-3</v>
      </c>
      <c r="K603" s="1371">
        <f>IF(OR(K$46=0,K601=""),"",K601*SUM($D602)/K$46/365/$P$1)</f>
        <v>1.6008841220431971E-3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1.6008841220431971E-3</v>
      </c>
      <c r="O603" s="1126">
        <f>IF(SUM(J603)=SUM(E603),"",SUM(J603)-SUM(E603))</f>
        <v>1.6008841220431971E-3</v>
      </c>
      <c r="P603" s="1126">
        <f>IF(SUM(K603)=SUM(F603),"",SUM(K603)-SUM(F603))</f>
        <v>1.6008841220431971E-3</v>
      </c>
      <c r="Q603" s="1107"/>
      <c r="R603" s="882"/>
      <c r="S603" s="1014"/>
      <c r="T603" s="1014"/>
      <c r="U603" s="1046">
        <v>603</v>
      </c>
      <c r="V603" s="461"/>
    </row>
    <row r="604" spans="1:22" ht="15.75" customHeight="1">
      <c r="A604" s="1167" t="s">
        <v>288</v>
      </c>
      <c r="B604" s="1078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78"/>
      <c r="H604" s="1586">
        <f>$I604</f>
        <v>49.094871794871793</v>
      </c>
      <c r="I604" s="1586">
        <f>IF(SUM($D604)=0,IF(SUM($C604)=0,IF(SUM($E604)=0,IF(SUM($F604)=0,'Exp factors'!$H$63,SUM($F604)),SUM($E604)),SUM($C604)),SUM($D604))</f>
        <v>49.094871794871793</v>
      </c>
      <c r="J604" s="1586">
        <f>$I604</f>
        <v>49.094871794871793</v>
      </c>
      <c r="K604" s="1586">
        <f>$I604</f>
        <v>49.094871794871793</v>
      </c>
      <c r="L604" s="1078"/>
      <c r="M604" s="948"/>
      <c r="N604" s="948"/>
      <c r="O604" s="948"/>
      <c r="P604" s="948"/>
      <c r="Q604" s="1107"/>
      <c r="R604" s="882"/>
      <c r="S604" s="1014"/>
      <c r="T604" s="1014"/>
      <c r="U604" s="1046">
        <v>604</v>
      </c>
      <c r="V604" s="461"/>
    </row>
    <row r="605" spans="1:22" ht="15.75" customHeight="1">
      <c r="A605" s="1099" t="s">
        <v>286</v>
      </c>
      <c r="B605" s="1078"/>
      <c r="C605" s="1372" t="str">
        <f>IF(C604="","",C601*C604)</f>
        <v/>
      </c>
      <c r="D605" s="1372" t="str">
        <f>IF(D604="","",D601*D604)</f>
        <v/>
      </c>
      <c r="E605" s="1372" t="str">
        <f>IF(E604="","",E601*E604)</f>
        <v/>
      </c>
      <c r="F605" s="1372" t="str">
        <f>IF(F604="","",F601*F604)</f>
        <v/>
      </c>
      <c r="G605" s="1078"/>
      <c r="H605" s="1372">
        <f>IF(H$46=0,"",IF($D604="",H601*H604,H601*$D604))</f>
        <v>222.70034164028613</v>
      </c>
      <c r="I605" s="1372">
        <f t="shared" ref="I605:K605" si="79">IF(I$46=0,"",IF($D604="",I601*I604,I601*$D604))</f>
        <v>222.70034164028613</v>
      </c>
      <c r="J605" s="1372">
        <f t="shared" si="79"/>
        <v>222.70034164028613</v>
      </c>
      <c r="K605" s="1372">
        <f t="shared" si="79"/>
        <v>250.53788434532191</v>
      </c>
      <c r="L605" s="1078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07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1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8"/>
      <c r="N606" s="948"/>
      <c r="O606" s="948"/>
      <c r="P606" s="948"/>
      <c r="Q606" s="1107"/>
      <c r="R606" s="882"/>
      <c r="S606" s="1014"/>
      <c r="T606" s="1014"/>
      <c r="U606" s="1046">
        <v>606</v>
      </c>
      <c r="V606" s="461"/>
    </row>
    <row r="607" spans="1:22" ht="15.75" customHeight="1">
      <c r="A607" s="1592" t="s">
        <v>293</v>
      </c>
      <c r="B607" s="1078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8.2803576561381718</v>
      </c>
      <c r="J607" s="1168">
        <f>IF(J$46="","",IF('Exp factors'!$B64="poor",'Exp factors'!$G$64*J$46,SUM(E607)*'Exp factors'!E$64))</f>
        <v>8.2803576561381718</v>
      </c>
      <c r="K607" s="1168">
        <f>IF(K$46="","",IF('Exp factors'!$B64="poor",'Exp factors'!$G$64*K$46,SUM(F607)*'Exp factors'!F$64))</f>
        <v>9.3154023631554423</v>
      </c>
      <c r="L607" s="1078"/>
      <c r="M607" s="948"/>
      <c r="N607" s="948"/>
      <c r="O607" s="948"/>
      <c r="P607" s="948"/>
      <c r="Q607" s="1107"/>
      <c r="R607" s="882"/>
      <c r="S607" s="1014"/>
      <c r="T607" s="1014"/>
      <c r="U607" s="1046">
        <v>607</v>
      </c>
      <c r="V607" s="461"/>
    </row>
    <row r="608" spans="1:22" ht="15.75" customHeight="1">
      <c r="A608" s="1148" t="s">
        <v>292</v>
      </c>
      <c r="B608" s="1078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78"/>
      <c r="H608" s="948"/>
      <c r="I608" s="948"/>
      <c r="J608" s="948"/>
      <c r="K608" s="948"/>
      <c r="L608" s="1078"/>
      <c r="M608" s="1094"/>
      <c r="N608" s="1094"/>
      <c r="O608" s="1094"/>
      <c r="P608" s="1094"/>
      <c r="Q608" s="1107"/>
      <c r="R608" s="882"/>
      <c r="S608" s="1014"/>
      <c r="T608" s="1014"/>
      <c r="U608" s="1046">
        <v>608</v>
      </c>
      <c r="V608" s="461"/>
    </row>
    <row r="609" spans="1:22" ht="15.75" customHeight="1">
      <c r="A609" s="1099" t="s">
        <v>252</v>
      </c>
      <c r="B609" s="1078"/>
      <c r="C609" s="1371" t="str">
        <f>IF(C607="","",C607*C608/C$46/365/$P$1)</f>
        <v/>
      </c>
      <c r="D609" s="1371" t="str">
        <f>IF(D607="","",D607*D608/D$46/365/$P$1)</f>
        <v/>
      </c>
      <c r="E609" s="1371" t="str">
        <f>IF(E607="","",E607*E608/E$46/365/$P$1)</f>
        <v/>
      </c>
      <c r="F609" s="1371" t="str">
        <f>IF(F607="","",F607*F608/F$46/365/$P$1)</f>
        <v/>
      </c>
      <c r="G609" s="1078"/>
      <c r="H609" s="1371">
        <f>IF(OR(H$46=0,H607=""),"",H607*SUM($D608)/H$46/365/$P$1)</f>
        <v>7.37994481039518E-3</v>
      </c>
      <c r="I609" s="1371">
        <f>IF(OR(I$46=0,I607=""),"",I607*SUM($D608)/I$46/365/$P$1)</f>
        <v>7.37994481039518E-3</v>
      </c>
      <c r="J609" s="1371">
        <f>IF(OR(J$46=0,J607=""),"",J607*SUM($D608)/J$46/365/$P$1)</f>
        <v>7.37994481039518E-3</v>
      </c>
      <c r="K609" s="1371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82"/>
      <c r="S609" s="1014"/>
      <c r="T609" s="1014"/>
      <c r="U609" s="1046">
        <v>609</v>
      </c>
      <c r="V609" s="461"/>
    </row>
    <row r="610" spans="1:22" ht="15.75" customHeight="1">
      <c r="A610" s="1167" t="s">
        <v>288</v>
      </c>
      <c r="B610" s="1078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78"/>
      <c r="H610" s="1586">
        <f>$I610</f>
        <v>31.162500000000001</v>
      </c>
      <c r="I610" s="1586">
        <f>IF(SUM($D610)=0,IF(SUM($C610)=0,IF(SUM($E610)=0,IF(SUM($F610)=0,'Exp factors'!$H$64,SUM($F610)),SUM($E610)),SUM($C610)),SUM($D610))</f>
        <v>31.162500000000001</v>
      </c>
      <c r="J610" s="1586">
        <f>$I610</f>
        <v>31.162500000000001</v>
      </c>
      <c r="K610" s="1586">
        <f>$I610</f>
        <v>31.162500000000001</v>
      </c>
      <c r="L610" s="1078"/>
      <c r="M610" s="948"/>
      <c r="N610" s="948"/>
      <c r="O610" s="948"/>
      <c r="P610" s="948"/>
      <c r="Q610" s="1107"/>
      <c r="R610" s="882"/>
      <c r="S610" s="1014"/>
      <c r="T610" s="1014"/>
      <c r="U610" s="1046">
        <v>610</v>
      </c>
      <c r="V610" s="461"/>
    </row>
    <row r="611" spans="1:22" ht="15.75" customHeight="1">
      <c r="A611" s="1099" t="s">
        <v>286</v>
      </c>
      <c r="B611" s="1078"/>
      <c r="C611" s="1372" t="str">
        <f>IF(C610="","",C607*C610)</f>
        <v/>
      </c>
      <c r="D611" s="1372" t="str">
        <f>IF(D610="","",D607*D610)</f>
        <v/>
      </c>
      <c r="E611" s="1372" t="str">
        <f>IF(E610="","",E607*E610)</f>
        <v/>
      </c>
      <c r="F611" s="1372" t="str">
        <f>IF(F610="","",F607*F610)</f>
        <v/>
      </c>
      <c r="G611" s="1078"/>
      <c r="H611" s="1372">
        <f>IF(H$46=0,"",IF($D610="",H607*H610,H607*$D610))</f>
        <v>258.0366454594058</v>
      </c>
      <c r="I611" s="1372">
        <f t="shared" ref="I611:K611" si="80">IF(I$46=0,"",IF($D610="",I607*I610,I607*$D610))</f>
        <v>258.0366454594058</v>
      </c>
      <c r="J611" s="1372">
        <f t="shared" si="80"/>
        <v>258.0366454594058</v>
      </c>
      <c r="K611" s="1372">
        <f t="shared" si="80"/>
        <v>290.29122614183149</v>
      </c>
      <c r="L611" s="1078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07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8"/>
      <c r="I612" s="948"/>
      <c r="J612" s="948"/>
      <c r="K612" s="948"/>
      <c r="L612" s="1078"/>
      <c r="M612" s="948"/>
      <c r="N612" s="948"/>
      <c r="O612" s="948"/>
      <c r="P612" s="948"/>
      <c r="Q612" s="1107"/>
      <c r="R612" s="882"/>
      <c r="S612" s="1014"/>
      <c r="T612" s="1014"/>
      <c r="U612" s="1046">
        <v>612</v>
      </c>
      <c r="V612" s="461"/>
    </row>
    <row r="613" spans="1:22" ht="15.75" customHeight="1">
      <c r="A613" s="1592" t="s">
        <v>293</v>
      </c>
      <c r="B613" s="1078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78"/>
      <c r="H613" s="1168"/>
      <c r="I613" s="1168"/>
      <c r="J613" s="1168"/>
      <c r="K613" s="1168"/>
      <c r="L613" s="1078"/>
      <c r="M613" s="948"/>
      <c r="N613" s="948"/>
      <c r="O613" s="948"/>
      <c r="P613" s="948"/>
      <c r="Q613" s="1107"/>
      <c r="R613" s="882"/>
      <c r="S613" s="1014"/>
      <c r="T613" s="1014"/>
      <c r="U613" s="1046">
        <v>613</v>
      </c>
      <c r="V613" s="461"/>
    </row>
    <row r="614" spans="1:22" ht="15.75" customHeight="1">
      <c r="A614" s="1148" t="s">
        <v>292</v>
      </c>
      <c r="B614" s="1078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82"/>
      <c r="S614" s="1014"/>
      <c r="T614" s="1014"/>
      <c r="U614" s="1046">
        <v>614</v>
      </c>
      <c r="V614" s="461"/>
    </row>
    <row r="615" spans="1:22" ht="15.75" customHeight="1">
      <c r="A615" s="1099" t="s">
        <v>252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82"/>
      <c r="S615" s="1014"/>
      <c r="T615" s="1014"/>
      <c r="U615" s="1046">
        <v>615</v>
      </c>
      <c r="V615" s="461"/>
    </row>
    <row r="616" spans="1:22" ht="15.75" customHeight="1">
      <c r="A616" s="1167" t="s">
        <v>288</v>
      </c>
      <c r="B616" s="1078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78"/>
      <c r="H616" s="948">
        <f>$I616</f>
        <v>0</v>
      </c>
      <c r="I616" s="948">
        <f>IF(SUM($D616)=0,IF(SUM($C616)=0,IF(SUM($E616)=0,IF(SUM($F616)=0,'Exp factors'!$H$68,SUM($F616)),SUM($E616)),SUM($C616)),SUM($D616))</f>
        <v>0</v>
      </c>
      <c r="J616" s="948">
        <f>$I616</f>
        <v>0</v>
      </c>
      <c r="K616" s="948">
        <f>$I616</f>
        <v>0</v>
      </c>
      <c r="L616" s="1078"/>
      <c r="M616" s="948"/>
      <c r="N616" s="948"/>
      <c r="O616" s="948"/>
      <c r="P616" s="948"/>
      <c r="Q616" s="1107"/>
      <c r="R616" s="882"/>
      <c r="S616" s="1014"/>
      <c r="T616" s="1014"/>
      <c r="U616" s="1046">
        <v>616</v>
      </c>
      <c r="V616" s="461"/>
    </row>
    <row r="617" spans="1:22" ht="15.75" customHeight="1">
      <c r="A617" s="1099" t="s">
        <v>286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121">
        <f>IF(H$46=0,"",IF($D616="",H613*H616,H613*$D616))</f>
        <v>0</v>
      </c>
      <c r="I617" s="1121">
        <f t="shared" ref="I617:K617" si="81">IF(I$46=0,"",IF($D616="",I613*I616,I613*$D616))</f>
        <v>0</v>
      </c>
      <c r="J617" s="1121">
        <f t="shared" si="81"/>
        <v>0</v>
      </c>
      <c r="K617" s="1121">
        <f t="shared" si="81"/>
        <v>0</v>
      </c>
      <c r="L617" s="1078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07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1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8"/>
      <c r="N618" s="948"/>
      <c r="O618" s="948"/>
      <c r="P618" s="948"/>
      <c r="Q618" s="1107"/>
      <c r="R618" s="882"/>
      <c r="S618" s="1014"/>
      <c r="T618" s="1014"/>
      <c r="U618" s="1046">
        <v>618</v>
      </c>
      <c r="V618" s="461"/>
    </row>
    <row r="619" spans="1:22" ht="15.75" customHeight="1">
      <c r="A619" s="1592" t="s">
        <v>293</v>
      </c>
      <c r="B619" s="1078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120.78211858648042</v>
      </c>
      <c r="J619" s="1168">
        <f>IF(J$46="","",IF('Exp factors'!$B43="poor",'Exp factors'!$G$43*J$46,SUM(E619)*'Exp factors'!E$43))</f>
        <v>120.78211858648042</v>
      </c>
      <c r="K619" s="1168">
        <f>IF(K$46="","",IF('Exp factors'!$B43="poor",'Exp factors'!$G$43*K$46,SUM(F619)*'Exp factors'!F$43))</f>
        <v>135.87988340979047</v>
      </c>
      <c r="L619" s="1078"/>
      <c r="M619" s="948"/>
      <c r="N619" s="948"/>
      <c r="O619" s="948"/>
      <c r="P619" s="948"/>
      <c r="Q619" s="1107"/>
      <c r="R619" s="882"/>
      <c r="S619" s="1014"/>
      <c r="T619" s="1014"/>
      <c r="U619" s="1046">
        <v>619</v>
      </c>
      <c r="V619" s="461"/>
    </row>
    <row r="620" spans="1:22" ht="15.75" customHeight="1">
      <c r="A620" s="1148" t="s">
        <v>292</v>
      </c>
      <c r="B620" s="1078"/>
      <c r="C620" s="1129">
        <f>IF(Data!BV620="","",Data!BV620)</f>
        <v>1800.3239999999998</v>
      </c>
      <c r="D620" s="1129">
        <f>IF(Data!BW620="","",Data!BW620)</f>
        <v>1800.3239999999998</v>
      </c>
      <c r="E620" s="1129">
        <f>IF(Data!BX620="","",Data!BX620)</f>
        <v>1800.3239999999998</v>
      </c>
      <c r="F620" s="1129">
        <f>IF(Data!BY620="","",Data!BY620)</f>
        <v>1800.3239999999998</v>
      </c>
      <c r="G620" s="1078"/>
      <c r="H620" s="948"/>
      <c r="I620" s="948"/>
      <c r="J620" s="948"/>
      <c r="K620" s="948"/>
      <c r="L620" s="1078"/>
      <c r="M620" s="1094"/>
      <c r="N620" s="1094"/>
      <c r="O620" s="1094"/>
      <c r="P620" s="1094"/>
      <c r="Q620" s="1107"/>
      <c r="R620" s="882"/>
      <c r="S620" s="1014"/>
      <c r="T620" s="1014"/>
      <c r="U620" s="1046">
        <v>620</v>
      </c>
      <c r="V620" s="461"/>
    </row>
    <row r="621" spans="1:22" ht="15.75" customHeight="1">
      <c r="A621" s="1099" t="s">
        <v>252</v>
      </c>
      <c r="B621" s="1078"/>
      <c r="C621" s="1371" t="str">
        <f>IF(C619="","",C619*C620/C$46/365/$P$1)</f>
        <v/>
      </c>
      <c r="D621" s="1371" t="str">
        <f>IF(D619="","",D619*D620/D$46/365/$P$1)</f>
        <v/>
      </c>
      <c r="E621" s="1371" t="str">
        <f>IF(E619="","",E619*E620/E$46/365/$P$1)</f>
        <v/>
      </c>
      <c r="F621" s="1371" t="str">
        <f>IF(F619="","",F619*F620/F$46/365/$P$1)</f>
        <v/>
      </c>
      <c r="G621" s="1078"/>
      <c r="H621" s="1371">
        <f>IF(OR(H$46=0,H619=""),"",H619*SUM($D620)/H$46/365/$P$1)</f>
        <v>8.4622877826154574E-3</v>
      </c>
      <c r="I621" s="1371">
        <f>IF(OR(I$46=0,I619=""),"",I619*SUM($D620)/I$46/365/$P$1)</f>
        <v>8.4622877826154574E-3</v>
      </c>
      <c r="J621" s="1371">
        <f>IF(OR(J$46=0,J619=""),"",J619*SUM($D620)/J$46/365/$P$1)</f>
        <v>8.4622877826154574E-3</v>
      </c>
      <c r="K621" s="1371">
        <f>IF(OR(K$46=0,K619=""),"",K619*SUM($D620)/K$46/365/$P$1)</f>
        <v>8.4622877826154574E-3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8.4622877826154574E-3</v>
      </c>
      <c r="O621" s="1126">
        <f>IF(SUM(J621)=SUM(E621),"",SUM(J621)-SUM(E621))</f>
        <v>8.4622877826154574E-3</v>
      </c>
      <c r="P621" s="1126">
        <f>IF(SUM(K621)=SUM(F621),"",SUM(K621)-SUM(F621))</f>
        <v>8.4622877826154574E-3</v>
      </c>
      <c r="Q621" s="1107"/>
      <c r="R621" s="882"/>
      <c r="S621" s="1014"/>
      <c r="T621" s="1014"/>
      <c r="U621" s="1046">
        <v>621</v>
      </c>
      <c r="V621" s="461"/>
    </row>
    <row r="622" spans="1:22" ht="15.75" customHeight="1">
      <c r="A622" s="1167" t="s">
        <v>288</v>
      </c>
      <c r="B622" s="1078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78"/>
      <c r="H622" s="1586">
        <f>$I622</f>
        <v>13.123144876325089</v>
      </c>
      <c r="I622" s="1586">
        <f>IF(SUM($D622)=0,IF(SUM($C622)=0,IF(SUM($E622)=0,IF(SUM($F622)=0,'Exp factors'!$H$43,SUM($F622)),SUM($E622)),SUM($C622)),SUM($D622))</f>
        <v>13.123144876325089</v>
      </c>
      <c r="J622" s="1586">
        <f>$I622</f>
        <v>13.123144876325089</v>
      </c>
      <c r="K622" s="1586">
        <f>$I622</f>
        <v>13.123144876325089</v>
      </c>
      <c r="L622" s="1078"/>
      <c r="M622" s="948"/>
      <c r="N622" s="948"/>
      <c r="O622" s="948"/>
      <c r="P622" s="948"/>
      <c r="Q622" s="1107"/>
      <c r="R622" s="882"/>
      <c r="S622" s="1014"/>
      <c r="T622" s="1014"/>
      <c r="U622" s="1046">
        <v>622</v>
      </c>
      <c r="V622" s="461"/>
    </row>
    <row r="623" spans="1:22" ht="15.75" customHeight="1">
      <c r="A623" s="1099" t="s">
        <v>286</v>
      </c>
      <c r="B623" s="1078"/>
      <c r="C623" s="1372" t="str">
        <f>IF(C622="","",C619*C622)</f>
        <v/>
      </c>
      <c r="D623" s="1372" t="str">
        <f>IF(D622="","",D619*D622)</f>
        <v/>
      </c>
      <c r="E623" s="1372" t="str">
        <f>IF(E622="","",E619*E622)</f>
        <v/>
      </c>
      <c r="F623" s="1372" t="str">
        <f>IF(F622="","",F619*F622)</f>
        <v/>
      </c>
      <c r="G623" s="1078"/>
      <c r="H623" s="1372">
        <f>IF(H$46=0,"",IF($D622="",H619*H622,H619*$D622))</f>
        <v>1585.0412406798598</v>
      </c>
      <c r="I623" s="1372">
        <f t="shared" ref="I623:K623" si="82">IF(I$46=0,"",IF($D622="",I619*I622,I619*$D622))</f>
        <v>1585.0412406798598</v>
      </c>
      <c r="J623" s="1372">
        <f t="shared" si="82"/>
        <v>1585.0412406798598</v>
      </c>
      <c r="K623" s="1372">
        <f t="shared" si="82"/>
        <v>1783.1713957648421</v>
      </c>
      <c r="L623" s="1078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07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37" t="str">
        <f>IF(Data!A624="","",Data!A624)</f>
        <v>Butternut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8"/>
      <c r="N624" s="948"/>
      <c r="O624" s="948"/>
      <c r="P624" s="948"/>
      <c r="Q624" s="1107"/>
      <c r="R624" s="882"/>
      <c r="S624" s="1014"/>
      <c r="T624" s="1014"/>
      <c r="U624" s="1046">
        <v>624</v>
      </c>
      <c r="V624" s="461"/>
    </row>
    <row r="625" spans="1:22" ht="15.75" customHeight="1">
      <c r="A625" s="1592" t="s">
        <v>293</v>
      </c>
      <c r="B625" s="1078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8"/>
      <c r="N625" s="948"/>
      <c r="O625" s="948"/>
      <c r="P625" s="948"/>
      <c r="Q625" s="1107"/>
      <c r="R625" s="882"/>
      <c r="S625" s="1014"/>
      <c r="T625" s="1014"/>
      <c r="U625" s="1046">
        <v>625</v>
      </c>
      <c r="V625" s="461"/>
    </row>
    <row r="626" spans="1:22" ht="15.75" customHeight="1">
      <c r="A626" s="1148" t="s">
        <v>292</v>
      </c>
      <c r="B626" s="1078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78"/>
      <c r="H626" s="948"/>
      <c r="I626" s="948"/>
      <c r="J626" s="948"/>
      <c r="K626" s="948"/>
      <c r="L626" s="1078"/>
      <c r="M626" s="1094"/>
      <c r="N626" s="1094"/>
      <c r="O626" s="1094"/>
      <c r="P626" s="1094"/>
      <c r="Q626" s="1107"/>
      <c r="R626" s="882"/>
      <c r="S626" s="1014"/>
      <c r="T626" s="1014"/>
      <c r="U626" s="1046">
        <v>626</v>
      </c>
      <c r="V626" s="461"/>
    </row>
    <row r="627" spans="1:22" ht="15.75" customHeight="1">
      <c r="A627" s="1099" t="s">
        <v>252</v>
      </c>
      <c r="B627" s="1078"/>
      <c r="C627" s="1125" t="str">
        <f>IF(C625="","",C625*C626/C$46/365/$P$1)</f>
        <v/>
      </c>
      <c r="D627" s="1125" t="str">
        <f>IF(D625="","",D625*D626/D$46/365/$P$1)</f>
        <v/>
      </c>
      <c r="E627" s="1125" t="str">
        <f>IF(E625="","",E625*E626/E$46/365/$P$1)</f>
        <v/>
      </c>
      <c r="F627" s="1125" t="str">
        <f>IF(F625="","",F625*F626/F$46/365/$P$1)</f>
        <v/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 t="str">
        <f>IF(SUM(H627)=SUM(C627),"",SUM(H627)-SUM(C627))</f>
        <v/>
      </c>
      <c r="N627" s="1126" t="str">
        <f>IF(SUM(I627)=SUM(D627),"",SUM(I627)-SUM(D627))</f>
        <v/>
      </c>
      <c r="O627" s="1126" t="str">
        <f>IF(SUM(J627)=SUM(E627),"",SUM(J627)-SUM(E627))</f>
        <v/>
      </c>
      <c r="P627" s="1126" t="str">
        <f>IF(SUM(K627)=SUM(F627),"",SUM(K627)-SUM(F627))</f>
        <v/>
      </c>
      <c r="Q627" s="1107"/>
      <c r="R627" s="882"/>
      <c r="S627" s="1014"/>
      <c r="T627" s="1014"/>
      <c r="U627" s="1046">
        <v>627</v>
      </c>
      <c r="V627" s="461"/>
    </row>
    <row r="628" spans="1:22" ht="15.75" customHeight="1">
      <c r="A628" s="1167" t="s">
        <v>288</v>
      </c>
      <c r="B628" s="1078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78"/>
      <c r="H628" s="948"/>
      <c r="I628" s="948"/>
      <c r="J628" s="948"/>
      <c r="K628" s="948"/>
      <c r="L628" s="1078"/>
      <c r="M628" s="948"/>
      <c r="N628" s="948"/>
      <c r="O628" s="948"/>
      <c r="P628" s="948"/>
      <c r="Q628" s="1107"/>
      <c r="R628" s="882"/>
      <c r="S628" s="1014"/>
      <c r="T628" s="1014"/>
      <c r="U628" s="1046">
        <v>628</v>
      </c>
      <c r="V628" s="461"/>
    </row>
    <row r="629" spans="1:22" ht="15.75" customHeight="1">
      <c r="A629" s="1099" t="s">
        <v>286</v>
      </c>
      <c r="B629" s="1078"/>
      <c r="C629" s="1121" t="str">
        <f>IF(C628="","",C625*C628)</f>
        <v/>
      </c>
      <c r="D629" s="1121" t="str">
        <f>IF(D628="","",D625*D628)</f>
        <v/>
      </c>
      <c r="E629" s="1121" t="str">
        <f>IF(E628="","",E625*E628)</f>
        <v/>
      </c>
      <c r="F629" s="1121" t="str">
        <f>IF(F628="","",F625*F628)</f>
        <v/>
      </c>
      <c r="G629" s="1078"/>
      <c r="H629" s="1121">
        <f>IF(H$46=0,"",IF($D628="",H625*[1]ExpFactors!$H$66,H625*$D628))</f>
        <v>0</v>
      </c>
      <c r="I629" s="1121">
        <f>IF(I$46=0,"",IF($D628="",I625*[1]ExpFactors!$H$66,I625*$D628))</f>
        <v>0</v>
      </c>
      <c r="J629" s="1121">
        <f>IF(J$46=0,"",IF($D628="",J625*[1]ExpFactors!$H$66,J625*$D628))</f>
        <v>0</v>
      </c>
      <c r="K629" s="1121">
        <f>IF(K$46=0,"",IF($D628="",K625*[1]ExpFactors!$H$66,K625*$D628))</f>
        <v>0</v>
      </c>
      <c r="L629" s="1078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07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366" t="str">
        <f>IF(Data!A630="","",Data!A630)</f>
        <v xml:space="preserve">Baking flour 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8"/>
      <c r="N630" s="948"/>
      <c r="O630" s="948"/>
      <c r="P630" s="948"/>
      <c r="Q630" s="1107"/>
      <c r="R630" s="882"/>
      <c r="S630" s="1014"/>
      <c r="T630" s="1014"/>
      <c r="U630" s="1046">
        <v>630</v>
      </c>
      <c r="V630" s="461"/>
    </row>
    <row r="631" spans="1:22" ht="15.75" customHeight="1">
      <c r="A631" s="1592" t="s">
        <v>293</v>
      </c>
      <c r="B631" s="1078"/>
      <c r="C631" s="990">
        <f>IF(Data!BV631="","",Data!BV631)</f>
        <v>120</v>
      </c>
      <c r="D631" s="990">
        <f>IF(Data!BW631="","",Data!BW631)</f>
        <v>120</v>
      </c>
      <c r="E631" s="990">
        <f>IF(Data!BX631="","",Data!BX631)</f>
        <v>120</v>
      </c>
      <c r="F631" s="990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8"/>
      <c r="N631" s="948"/>
      <c r="O631" s="948"/>
      <c r="P631" s="948"/>
      <c r="Q631" s="1107"/>
      <c r="R631" s="882"/>
      <c r="S631" s="1014"/>
      <c r="T631" s="1014"/>
      <c r="U631" s="1046">
        <v>631</v>
      </c>
      <c r="V631" s="461"/>
    </row>
    <row r="632" spans="1:22" ht="15.75" customHeight="1">
      <c r="A632" s="1148" t="s">
        <v>292</v>
      </c>
      <c r="B632" s="1078"/>
      <c r="C632" s="990">
        <f>IF(Data!BV632="","",Data!BV632)</f>
        <v>14486.328</v>
      </c>
      <c r="D632" s="990">
        <f>IF(Data!BW632="","",Data!BW632)</f>
        <v>14486.328</v>
      </c>
      <c r="E632" s="990">
        <f>IF(Data!BX632="","",Data!BX632)</f>
        <v>14486.328</v>
      </c>
      <c r="F632" s="990">
        <f>IF(Data!BY632="","",Data!BY632)</f>
        <v>14486.328</v>
      </c>
      <c r="G632" s="1078"/>
      <c r="H632" s="948"/>
      <c r="I632" s="948"/>
      <c r="J632" s="948"/>
      <c r="K632" s="948"/>
      <c r="L632" s="1078"/>
      <c r="M632" s="1094"/>
      <c r="N632" s="1094"/>
      <c r="O632" s="1094"/>
      <c r="P632" s="1094"/>
      <c r="Q632" s="1107"/>
      <c r="R632" s="882"/>
      <c r="S632" s="1014"/>
      <c r="T632" s="1014"/>
      <c r="U632" s="1046">
        <v>632</v>
      </c>
      <c r="V632" s="461"/>
    </row>
    <row r="633" spans="1:22" ht="15.75" customHeight="1">
      <c r="A633" s="1099" t="s">
        <v>252</v>
      </c>
      <c r="B633" s="1078"/>
      <c r="C633" s="1367">
        <f>IF(C631="","",C631*C632/C$46/365/$P$1)</f>
        <v>6.7650971357409703E-2</v>
      </c>
      <c r="D633" s="1367">
        <f>IF(D631="","",D631*D632/D$46/365/$P$1)</f>
        <v>6.7650971357409703E-2</v>
      </c>
      <c r="E633" s="1367">
        <f>IF(E631="","",E631*E632/E$46/365/$P$1)</f>
        <v>6.7650971357409703E-2</v>
      </c>
      <c r="F633" s="1367">
        <f>IF(F631="","",F631*F632/F$46/365/$P$1)</f>
        <v>6.0134196762141955E-2</v>
      </c>
      <c r="G633" s="1078"/>
      <c r="H633" s="1367">
        <f>IF(OR(H$46=0,H631=""),"",H631*SUM($D632)/H$46/365/$P$1)</f>
        <v>0</v>
      </c>
      <c r="I633" s="1367">
        <f>IF(OR(I$46=0,I631=""),"",I631*SUM($D632)/I$46/365/$P$1)</f>
        <v>0</v>
      </c>
      <c r="J633" s="1367">
        <f>IF(OR(J$46=0,J631=""),"",J631*SUM($D632)/J$46/365/$P$1)</f>
        <v>0</v>
      </c>
      <c r="K633" s="1367">
        <f>IF(OR(K$46=0,K631=""),"",K631*SUM($D632)/K$46/365/$P$1)</f>
        <v>0</v>
      </c>
      <c r="L633" s="1078"/>
      <c r="M633" s="1367">
        <f>IF(SUM(H633)=SUM(C633),"",SUM(H633)-SUM(C633))</f>
        <v>-6.7650971357409703E-2</v>
      </c>
      <c r="N633" s="1367">
        <f>IF(SUM(I633)=SUM(D633),"",SUM(I633)-SUM(D633))</f>
        <v>-6.7650971357409703E-2</v>
      </c>
      <c r="O633" s="1367">
        <f>IF(SUM(J633)=SUM(E633),"",SUM(J633)-SUM(E633))</f>
        <v>-6.7650971357409703E-2</v>
      </c>
      <c r="P633" s="1367">
        <f>IF(SUM(K633)=SUM(F633),"",SUM(K633)-SUM(F633))</f>
        <v>-6.0134196762141955E-2</v>
      </c>
      <c r="Q633" s="1107"/>
      <c r="R633" s="882"/>
      <c r="S633" s="1014"/>
      <c r="T633" s="1014"/>
      <c r="U633" s="1046">
        <v>633</v>
      </c>
      <c r="V633" s="461"/>
    </row>
    <row r="634" spans="1:22" ht="15.75" customHeight="1">
      <c r="A634" s="1167" t="s">
        <v>288</v>
      </c>
      <c r="B634" s="1078"/>
      <c r="C634" s="990">
        <f>IF(Data!BV634="","",Data!BV634)</f>
        <v>7</v>
      </c>
      <c r="D634" s="990">
        <f>IF(Data!BW634="","",Data!BW634)</f>
        <v>7</v>
      </c>
      <c r="E634" s="990">
        <f>IF(Data!BX634="","",Data!BX634)</f>
        <v>7</v>
      </c>
      <c r="F634" s="990">
        <f>IF(Data!BY634="","",Data!BY634)</f>
        <v>7</v>
      </c>
      <c r="G634" s="1078"/>
      <c r="H634" s="948">
        <f>$I634</f>
        <v>7</v>
      </c>
      <c r="I634" s="948">
        <f>IF(SUM($D634)=0,IF(SUM($C634)=0,IF(SUM($E634)=0,IF(SUM($F634)=0,'Exp factors'!$H$69,SUM($F634)),SUM($E634)),SUM($C634)),SUM($D634))</f>
        <v>7</v>
      </c>
      <c r="J634" s="948">
        <f>$I634</f>
        <v>7</v>
      </c>
      <c r="K634" s="948">
        <f>$I634</f>
        <v>7</v>
      </c>
      <c r="L634" s="1078"/>
      <c r="M634" s="948"/>
      <c r="N634" s="948"/>
      <c r="O634" s="948"/>
      <c r="P634" s="948"/>
      <c r="Q634" s="1107"/>
      <c r="R634" s="882"/>
      <c r="S634" s="1014"/>
      <c r="T634" s="1014"/>
      <c r="U634" s="1046">
        <v>634</v>
      </c>
      <c r="V634" s="461"/>
    </row>
    <row r="635" spans="1:22" ht="15.75" customHeight="1">
      <c r="A635" s="1099" t="s">
        <v>286</v>
      </c>
      <c r="B635" s="1078"/>
      <c r="C635" s="1587">
        <f>IF(C634="","",C631*C634)</f>
        <v>840</v>
      </c>
      <c r="D635" s="1587">
        <f>IF(D634="","",D631*D634)</f>
        <v>840</v>
      </c>
      <c r="E635" s="1587">
        <f>IF(E634="","",E631*E634)</f>
        <v>840</v>
      </c>
      <c r="F635" s="1587">
        <f>IF(F634="","",F631*F634)</f>
        <v>840</v>
      </c>
      <c r="G635" s="1078"/>
      <c r="H635" s="1121">
        <f>IF(H$46=0,"",IF($D634="",H631*H634,H631*$D634))</f>
        <v>0</v>
      </c>
      <c r="I635" s="1121">
        <f t="shared" ref="I635:K635" si="83">IF(I$46=0,"",IF($D634="",I631*I634,I631*$D634))</f>
        <v>0</v>
      </c>
      <c r="J635" s="1121">
        <f t="shared" si="83"/>
        <v>0</v>
      </c>
      <c r="K635" s="1121">
        <f t="shared" si="83"/>
        <v>0</v>
      </c>
      <c r="L635" s="1078"/>
      <c r="M635" s="1587">
        <f>IF(SUM(H635)=SUM(C635),"",SUM(H635)-SUM(C635))</f>
        <v>-840</v>
      </c>
      <c r="N635" s="1587">
        <f>IF(SUM(I635)=SUM(D635),"",SUM(I635)-SUM(D635))</f>
        <v>-840</v>
      </c>
      <c r="O635" s="1587">
        <f>IF(SUM(J635)=SUM(E635),"",SUM(J635)-SUM(E635))</f>
        <v>-840</v>
      </c>
      <c r="P635" s="1587">
        <f>IF(SUM(K635)=SUM(F635),"",SUM(K635)-SUM(F635))</f>
        <v>-840</v>
      </c>
      <c r="Q635" s="1107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8"/>
      <c r="H636" s="948"/>
      <c r="I636" s="948"/>
      <c r="J636" s="948"/>
      <c r="K636" s="948"/>
      <c r="L636" s="1078"/>
      <c r="M636" s="948"/>
      <c r="N636" s="948"/>
      <c r="O636" s="948"/>
      <c r="P636" s="948"/>
      <c r="Q636" s="1107"/>
      <c r="R636" s="843"/>
      <c r="S636" s="843"/>
      <c r="T636" s="843"/>
      <c r="U636" s="1046">
        <v>636</v>
      </c>
      <c r="V636" s="461"/>
    </row>
    <row r="637" spans="1:22" ht="15.75" hidden="1" customHeight="1">
      <c r="A637" s="1099" t="s">
        <v>293</v>
      </c>
      <c r="B637" s="1081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8"/>
      <c r="N637" s="948"/>
      <c r="O637" s="948"/>
      <c r="P637" s="948"/>
      <c r="Q637" s="1107"/>
      <c r="R637" s="882"/>
      <c r="S637" s="1014"/>
      <c r="T637" s="1014"/>
      <c r="U637" s="1046">
        <v>637</v>
      </c>
      <c r="V637" s="461"/>
    </row>
    <row r="638" spans="1:22" ht="15.75" hidden="1" customHeight="1">
      <c r="A638" s="1099" t="s">
        <v>289</v>
      </c>
      <c r="B638" s="1078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8"/>
      <c r="N638" s="948"/>
      <c r="O638" s="948"/>
      <c r="P638" s="948"/>
      <c r="Q638" s="1107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48" t="s">
        <v>292</v>
      </c>
      <c r="B639" s="1078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78"/>
      <c r="H639" s="948"/>
      <c r="I639" s="948"/>
      <c r="J639" s="948"/>
      <c r="K639" s="948"/>
      <c r="L639" s="1078"/>
      <c r="M639" s="1094"/>
      <c r="N639" s="1094"/>
      <c r="O639" s="1094"/>
      <c r="P639" s="1094"/>
      <c r="Q639" s="1107"/>
      <c r="R639" s="882"/>
      <c r="S639" s="1014"/>
      <c r="T639" s="1014"/>
      <c r="U639" s="1046">
        <v>639</v>
      </c>
      <c r="V639" s="461"/>
    </row>
    <row r="640" spans="1:22" ht="15.75" customHeight="1">
      <c r="A640" s="1099" t="s">
        <v>252</v>
      </c>
      <c r="B640" s="1078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-3.314115504358655E-2</v>
      </c>
      <c r="O640" s="1126">
        <f>IF(SUM(J640)=SUM(E640),"",SUM(J640)-SUM(E640))</f>
        <v>-3.314115504358655E-2</v>
      </c>
      <c r="P640" s="1126">
        <f>IF(SUM(K640)=SUM(F640),"",SUM(K640)-SUM(F640))</f>
        <v>-2.7003904109589038E-2</v>
      </c>
      <c r="Q640" s="1107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67" t="s">
        <v>288</v>
      </c>
      <c r="B641" s="1078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78"/>
      <c r="H641" s="948"/>
      <c r="I641" s="948"/>
      <c r="J641" s="948"/>
      <c r="K641" s="948"/>
      <c r="L641" s="1078"/>
      <c r="M641" s="948"/>
      <c r="N641" s="948"/>
      <c r="O641" s="948"/>
      <c r="P641" s="948"/>
      <c r="Q641" s="1107"/>
      <c r="R641" s="1091"/>
      <c r="S641" s="1092"/>
      <c r="T641" s="1092"/>
      <c r="U641" s="1046">
        <v>641</v>
      </c>
      <c r="V641" s="461"/>
    </row>
    <row r="642" spans="1:22" ht="15.75" customHeight="1">
      <c r="A642" s="1099" t="s">
        <v>286</v>
      </c>
      <c r="B642" s="1079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07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2" t="s">
        <v>295</v>
      </c>
      <c r="B643" s="1081"/>
      <c r="C643" s="1173"/>
      <c r="D643" s="1173"/>
      <c r="E643" s="1173"/>
      <c r="F643" s="870"/>
      <c r="G643" s="1153"/>
      <c r="H643" s="948"/>
      <c r="I643" s="948"/>
      <c r="J643" s="948"/>
      <c r="K643" s="948"/>
      <c r="L643" s="1153"/>
      <c r="M643" s="1139"/>
      <c r="N643" s="1139"/>
      <c r="O643" s="1139"/>
      <c r="P643" s="1139"/>
      <c r="Q643" s="1107"/>
      <c r="R643" s="843"/>
      <c r="S643" s="843"/>
      <c r="T643" s="843"/>
      <c r="U643" s="1046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1"/>
      <c r="H644" s="948"/>
      <c r="I644" s="948"/>
      <c r="J644" s="948"/>
      <c r="K644" s="948"/>
      <c r="L644" s="1081"/>
      <c r="M644" s="948"/>
      <c r="N644" s="948"/>
      <c r="O644" s="948"/>
      <c r="P644" s="948"/>
      <c r="Q644" s="1107"/>
      <c r="R644" s="843"/>
      <c r="S644" s="843"/>
      <c r="T644" s="843"/>
      <c r="U644" s="1046">
        <v>644</v>
      </c>
      <c r="V644" s="461"/>
    </row>
    <row r="645" spans="1:22" ht="15.75" customHeight="1">
      <c r="A645" s="1099" t="s">
        <v>297</v>
      </c>
      <c r="B645" s="1081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1"/>
      <c r="H645" s="1174" t="str">
        <f>IF(SUM(C645)&gt;0,C645*'Exp factors'!C$28,"")</f>
        <v/>
      </c>
      <c r="I645" s="1174">
        <f>IF(SUM(D645)&gt;0,D645*'Exp factors'!D$28,"")</f>
        <v>2</v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8"/>
      <c r="N645" s="948"/>
      <c r="O645" s="948"/>
      <c r="P645" s="948"/>
      <c r="Q645" s="1107"/>
      <c r="R645" s="1091"/>
      <c r="S645" s="1092"/>
      <c r="T645" s="1092"/>
      <c r="U645" s="1046">
        <v>645</v>
      </c>
      <c r="V645" s="461"/>
    </row>
    <row r="646" spans="1:22" s="1143" customFormat="1" ht="15.75" customHeight="1">
      <c r="A646" s="1099" t="s">
        <v>298</v>
      </c>
      <c r="B646" s="1081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78"/>
      <c r="H646" s="1174" t="str">
        <f t="shared" ref="H646:K647" si="84">IF(C646&gt;0,C646,"")</f>
        <v/>
      </c>
      <c r="I646" s="1174">
        <f t="shared" si="84"/>
        <v>8</v>
      </c>
      <c r="J646" s="1174" t="str">
        <f t="shared" si="84"/>
        <v/>
      </c>
      <c r="K646" s="1174" t="str">
        <f t="shared" si="84"/>
        <v/>
      </c>
      <c r="L646" s="1078"/>
      <c r="M646" s="948"/>
      <c r="N646" s="948"/>
      <c r="O646" s="948"/>
      <c r="P646" s="948"/>
      <c r="Q646" s="1141"/>
      <c r="R646" s="1091"/>
      <c r="S646" s="1092"/>
      <c r="T646" s="1092"/>
      <c r="U646" s="1046">
        <v>646</v>
      </c>
      <c r="V646" s="1142"/>
    </row>
    <row r="647" spans="1:22" ht="15.75" customHeight="1">
      <c r="A647" s="1099" t="s">
        <v>283</v>
      </c>
      <c r="B647" s="1144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78"/>
      <c r="H647" s="1174" t="str">
        <f t="shared" si="84"/>
        <v/>
      </c>
      <c r="I647" s="1174">
        <f t="shared" si="84"/>
        <v>3</v>
      </c>
      <c r="J647" s="1174" t="str">
        <f t="shared" si="84"/>
        <v/>
      </c>
      <c r="K647" s="1174" t="str">
        <f t="shared" si="84"/>
        <v/>
      </c>
      <c r="L647" s="1078"/>
      <c r="M647" s="948"/>
      <c r="N647" s="948"/>
      <c r="O647" s="948"/>
      <c r="P647" s="948"/>
      <c r="Q647" s="1107"/>
      <c r="R647" s="1091"/>
      <c r="S647" s="1092"/>
      <c r="T647" s="1092"/>
      <c r="U647" s="1046">
        <v>647</v>
      </c>
      <c r="V647" s="461"/>
    </row>
    <row r="648" spans="1:22" s="1124" customFormat="1" ht="15.75" customHeight="1">
      <c r="A648" s="1099" t="s">
        <v>299</v>
      </c>
      <c r="B648" s="1081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78"/>
      <c r="H648" s="948"/>
      <c r="I648" s="948"/>
      <c r="J648" s="948"/>
      <c r="K648" s="948"/>
      <c r="L648" s="1078"/>
      <c r="M648" s="948"/>
      <c r="N648" s="948"/>
      <c r="O648" s="948"/>
      <c r="P648" s="948"/>
      <c r="Q648" s="1122"/>
      <c r="R648" s="1091"/>
      <c r="S648" s="1092"/>
      <c r="T648" s="1092"/>
      <c r="U648" s="1046">
        <v>648</v>
      </c>
      <c r="V648" s="1123"/>
    </row>
    <row r="649" spans="1:22" ht="15.75" customHeight="1">
      <c r="A649" s="1075" t="s">
        <v>252</v>
      </c>
      <c r="B649" s="1081"/>
      <c r="C649" s="1125" t="str">
        <f>IF(C646="","",((C645*C646*C647*C648)*3630*$K$1)/C$46/365/$P$1)</f>
        <v/>
      </c>
      <c r="D649" s="1125">
        <f t="shared" ref="D649:F649" si="85">IF(D646="","",((D645*D646*D647*D648)*3630*$K$1)/D$46/365/$P$1)</f>
        <v>5.6779890410958905E-2</v>
      </c>
      <c r="E649" s="1125" t="str">
        <f t="shared" si="85"/>
        <v/>
      </c>
      <c r="F649" s="1125" t="str">
        <f t="shared" si="85"/>
        <v/>
      </c>
      <c r="G649" s="1100"/>
      <c r="H649" s="1125" t="str">
        <f>IF(H646="","",((H645*H646*H647*C648)*3630*$K$1)/H$46/365/$P$1)</f>
        <v/>
      </c>
      <c r="I649" s="1125">
        <f t="shared" ref="I649:K649" si="86">IF(I646="","",((I645*I646*I647*D648)*3630*$K$1)/I$46/365/$P$1)</f>
        <v>5.6779890410958905E-2</v>
      </c>
      <c r="J649" s="1125" t="str">
        <f t="shared" si="86"/>
        <v/>
      </c>
      <c r="K649" s="1125" t="str">
        <f t="shared" si="86"/>
        <v/>
      </c>
      <c r="L649" s="1100"/>
      <c r="M649" s="1126" t="str">
        <f>IF(H649="","",SUM(H649)-SUM(C649))</f>
        <v/>
      </c>
      <c r="N649" s="1126">
        <f>IF(I649="","",SUM(I649)-SUM(D649))</f>
        <v>0</v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45"/>
      <c r="S649" s="1007"/>
      <c r="T649" s="1007"/>
      <c r="U649" s="1046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1"/>
      <c r="H650" s="948"/>
      <c r="I650" s="948"/>
      <c r="J650" s="948"/>
      <c r="K650" s="948"/>
      <c r="L650" s="1081"/>
      <c r="M650" s="948"/>
      <c r="N650" s="948"/>
      <c r="O650" s="948"/>
      <c r="P650" s="948"/>
      <c r="Q650" s="1107"/>
      <c r="R650" s="843"/>
      <c r="S650" s="843"/>
      <c r="T650" s="843"/>
      <c r="U650" s="1046">
        <v>650</v>
      </c>
      <c r="V650" s="461"/>
    </row>
    <row r="651" spans="1:22" ht="15.75" customHeight="1">
      <c r="A651" s="1099" t="s">
        <v>297</v>
      </c>
      <c r="B651" s="1081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1"/>
      <c r="H651" s="1174" t="str">
        <f>IF(SUM(C651)&gt;0,C651*'Exp factors'!C$28,"")</f>
        <v/>
      </c>
      <c r="I651" s="1174">
        <f>IF(SUM(D651)&gt;0,D651*'Exp factors'!D$28,"")</f>
        <v>2</v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8"/>
      <c r="N651" s="948"/>
      <c r="O651" s="948"/>
      <c r="P651" s="948"/>
      <c r="Q651" s="1107"/>
      <c r="R651" s="1091"/>
      <c r="S651" s="1092"/>
      <c r="T651" s="1092"/>
      <c r="U651" s="1046">
        <v>651</v>
      </c>
      <c r="V651" s="461"/>
    </row>
    <row r="652" spans="1:22" ht="15.75" customHeight="1">
      <c r="A652" s="1099" t="s">
        <v>298</v>
      </c>
      <c r="B652" s="1144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78"/>
      <c r="H652" s="1174" t="str">
        <f t="shared" ref="H652:K653" si="87">IF(C652&gt;0,C652,"")</f>
        <v/>
      </c>
      <c r="I652" s="1174">
        <f t="shared" si="87"/>
        <v>8</v>
      </c>
      <c r="J652" s="1174" t="str">
        <f t="shared" si="87"/>
        <v/>
      </c>
      <c r="K652" s="1174" t="str">
        <f t="shared" si="87"/>
        <v/>
      </c>
      <c r="L652" s="1078"/>
      <c r="M652" s="948"/>
      <c r="N652" s="948"/>
      <c r="O652" s="948"/>
      <c r="P652" s="948"/>
      <c r="Q652" s="1107"/>
      <c r="R652" s="1091"/>
      <c r="S652" s="1092"/>
      <c r="T652" s="1092"/>
      <c r="U652" s="1046">
        <v>652</v>
      </c>
      <c r="V652" s="461"/>
    </row>
    <row r="653" spans="1:22" ht="15.75" customHeight="1">
      <c r="A653" s="1099" t="s">
        <v>283</v>
      </c>
      <c r="B653" s="1081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78"/>
      <c r="H653" s="1174" t="str">
        <f t="shared" si="87"/>
        <v/>
      </c>
      <c r="I653" s="1174">
        <f t="shared" si="87"/>
        <v>1</v>
      </c>
      <c r="J653" s="1174" t="str">
        <f t="shared" si="87"/>
        <v/>
      </c>
      <c r="K653" s="1174" t="str">
        <f t="shared" si="87"/>
        <v/>
      </c>
      <c r="L653" s="1078"/>
      <c r="M653" s="948"/>
      <c r="N653" s="948"/>
      <c r="O653" s="948"/>
      <c r="P653" s="948"/>
      <c r="Q653" s="1107"/>
      <c r="R653" s="1091"/>
      <c r="S653" s="1092"/>
      <c r="T653" s="1092"/>
      <c r="U653" s="1046">
        <v>653</v>
      </c>
      <c r="V653" s="461"/>
    </row>
    <row r="654" spans="1:22" ht="15.75" customHeight="1">
      <c r="A654" s="1099" t="s">
        <v>299</v>
      </c>
      <c r="B654" s="1078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78"/>
      <c r="H654" s="948"/>
      <c r="I654" s="948"/>
      <c r="J654" s="948"/>
      <c r="K654" s="948"/>
      <c r="L654" s="1078"/>
      <c r="M654" s="948"/>
      <c r="N654" s="948"/>
      <c r="O654" s="948"/>
      <c r="P654" s="948"/>
      <c r="Q654" s="1107"/>
      <c r="R654" s="1091"/>
      <c r="S654" s="1092"/>
      <c r="T654" s="1092"/>
      <c r="U654" s="1046">
        <v>654</v>
      </c>
      <c r="V654" s="461"/>
    </row>
    <row r="655" spans="1:22" ht="15.75" customHeight="1">
      <c r="A655" s="1075" t="s">
        <v>252</v>
      </c>
      <c r="B655" s="1078"/>
      <c r="C655" s="1125" t="str">
        <f>IF(C652="","",((C651*C652*C653*C654)*3630*$K$1)/C$46/365/$P$1)</f>
        <v/>
      </c>
      <c r="D655" s="1125">
        <f t="shared" ref="D655" si="88">IF(D652="","",((D651*D652*D653*D654)*3630*$K$1)/D$46/365/$P$1)</f>
        <v>1.8926630136986301E-2</v>
      </c>
      <c r="E655" s="1125" t="str">
        <f t="shared" ref="E655" si="89">IF(E652="","",((E651*E652*E653*E654)*3630*$K$1)/E$46/365/$P$1)</f>
        <v/>
      </c>
      <c r="F655" s="1125" t="str">
        <f t="shared" ref="F655" si="90">IF(F652="","",((F651*F652*F653*F654)*3630*$K$1)/F$46/365/$P$1)</f>
        <v/>
      </c>
      <c r="G655" s="1100"/>
      <c r="H655" s="1125" t="str">
        <f>IF(H652="","",((H651*H652*H653*C654)*3630*$K$1)/H$46/365/$P$1)</f>
        <v/>
      </c>
      <c r="I655" s="1125">
        <f t="shared" ref="I655" si="91">IF(I652="","",((I651*I652*I653*D654)*3630*$K$1)/I$46/365/$P$1)</f>
        <v>1.8926630136986301E-2</v>
      </c>
      <c r="J655" s="1125" t="str">
        <f t="shared" ref="J655" si="92">IF(J652="","",((J651*J652*J653*E654)*3630*$K$1)/J$46/365/$P$1)</f>
        <v/>
      </c>
      <c r="K655" s="1125" t="str">
        <f t="shared" ref="K655" si="93">IF(K652="","",((K651*K652*K653*F654)*3630*$K$1)/K$46/365/$P$1)</f>
        <v/>
      </c>
      <c r="L655" s="1100"/>
      <c r="M655" s="1126" t="str">
        <f>IF(H655="","",SUM(H655)-SUM(C655))</f>
        <v/>
      </c>
      <c r="N655" s="1126">
        <f>IF(I655="","",SUM(I655)-SUM(D655))</f>
        <v>0</v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45"/>
      <c r="S655" s="1007"/>
      <c r="T655" s="1007"/>
      <c r="U655" s="1046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78"/>
      <c r="H656" s="948"/>
      <c r="I656" s="948"/>
      <c r="J656" s="948"/>
      <c r="K656" s="948"/>
      <c r="L656" s="1078"/>
      <c r="M656" s="948"/>
      <c r="N656" s="948"/>
      <c r="O656" s="948"/>
      <c r="P656" s="948"/>
      <c r="Q656" s="1107"/>
      <c r="R656" s="843"/>
      <c r="S656" s="843"/>
      <c r="T656" s="843"/>
      <c r="U656" s="1046">
        <v>656</v>
      </c>
      <c r="V656" s="461"/>
    </row>
    <row r="657" spans="1:22" ht="15.75" customHeight="1">
      <c r="A657" s="1099" t="s">
        <v>297</v>
      </c>
      <c r="B657" s="1078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8"/>
      <c r="N657" s="948"/>
      <c r="O657" s="948"/>
      <c r="P657" s="948"/>
      <c r="Q657" s="1107"/>
      <c r="R657" s="1091"/>
      <c r="S657" s="1092"/>
      <c r="T657" s="1092"/>
      <c r="U657" s="1046">
        <v>657</v>
      </c>
      <c r="V657" s="461"/>
    </row>
    <row r="658" spans="1:22" ht="15.75" customHeight="1">
      <c r="A658" s="1099" t="s">
        <v>298</v>
      </c>
      <c r="B658" s="1078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78"/>
      <c r="H658" s="1174" t="str">
        <f t="shared" ref="H658:K659" si="94">IF(C658&gt;0,C658,"")</f>
        <v/>
      </c>
      <c r="I658" s="1174" t="str">
        <f t="shared" si="94"/>
        <v/>
      </c>
      <c r="J658" s="1174" t="str">
        <f t="shared" si="94"/>
        <v/>
      </c>
      <c r="K658" s="1174" t="str">
        <f t="shared" si="94"/>
        <v/>
      </c>
      <c r="L658" s="1078"/>
      <c r="M658" s="948"/>
      <c r="N658" s="948"/>
      <c r="O658" s="948"/>
      <c r="P658" s="948"/>
      <c r="Q658" s="1107"/>
      <c r="R658" s="1091"/>
      <c r="S658" s="1092"/>
      <c r="T658" s="1092"/>
      <c r="U658" s="1046">
        <v>658</v>
      </c>
      <c r="V658" s="461"/>
    </row>
    <row r="659" spans="1:22" ht="15.75" customHeight="1">
      <c r="A659" s="1099" t="s">
        <v>283</v>
      </c>
      <c r="B659" s="1078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78"/>
      <c r="H659" s="1174" t="str">
        <f t="shared" si="94"/>
        <v/>
      </c>
      <c r="I659" s="1174" t="str">
        <f t="shared" si="94"/>
        <v/>
      </c>
      <c r="J659" s="1174" t="str">
        <f t="shared" si="94"/>
        <v/>
      </c>
      <c r="K659" s="1174" t="str">
        <f t="shared" si="94"/>
        <v/>
      </c>
      <c r="L659" s="1078"/>
      <c r="M659" s="948"/>
      <c r="N659" s="948"/>
      <c r="O659" s="948"/>
      <c r="P659" s="948"/>
      <c r="Q659" s="1107"/>
      <c r="R659" s="1091"/>
      <c r="S659" s="1092"/>
      <c r="T659" s="1092"/>
      <c r="U659" s="1046">
        <v>659</v>
      </c>
      <c r="V659" s="461"/>
    </row>
    <row r="660" spans="1:22" ht="15.75" customHeight="1">
      <c r="A660" s="1099" t="s">
        <v>299</v>
      </c>
      <c r="B660" s="1078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78"/>
      <c r="H660" s="948"/>
      <c r="I660" s="948"/>
      <c r="J660" s="948"/>
      <c r="K660" s="948"/>
      <c r="L660" s="1078"/>
      <c r="M660" s="948"/>
      <c r="N660" s="948"/>
      <c r="O660" s="948"/>
      <c r="P660" s="948"/>
      <c r="Q660" s="1107"/>
      <c r="R660" s="1091"/>
      <c r="S660" s="1092"/>
      <c r="T660" s="1092"/>
      <c r="U660" s="1046">
        <v>660</v>
      </c>
      <c r="V660" s="461"/>
    </row>
    <row r="661" spans="1:22" ht="15.75" customHeight="1">
      <c r="A661" s="1075" t="s">
        <v>252</v>
      </c>
      <c r="B661" s="1078"/>
      <c r="C661" s="1125" t="str">
        <f>IF(C658="","",((C657*C658*C659*C660)*3630*$K$1)/C$46/365/$P$1)</f>
        <v/>
      </c>
      <c r="D661" s="1125" t="str">
        <f t="shared" ref="D661" si="95">IF(D658="","",((D657*D658*D659*D660)*3630*$K$1)/D$46/365/$P$1)</f>
        <v/>
      </c>
      <c r="E661" s="1125" t="str">
        <f t="shared" ref="E661" si="96">IF(E658="","",((E657*E658*E659*E660)*3630*$K$1)/E$46/365/$P$1)</f>
        <v/>
      </c>
      <c r="F661" s="1125" t="str">
        <f t="shared" ref="F661" si="97">IF(F658="","",((F657*F658*F659*F660)*3630*$K$1)/F$46/365/$P$1)</f>
        <v/>
      </c>
      <c r="G661" s="1100"/>
      <c r="H661" s="1125" t="str">
        <f>IF(H658="","",((H657*H658*H659*C660)*3630*$K$1)/H$46/365/$P$1)</f>
        <v/>
      </c>
      <c r="I661" s="1125" t="str">
        <f t="shared" ref="I661" si="98">IF(I658="","",((I657*I658*I659*D660)*3630*$K$1)/I$46/365/$P$1)</f>
        <v/>
      </c>
      <c r="J661" s="1125" t="str">
        <f t="shared" ref="J661" si="99">IF(J658="","",((J657*J658*J659*E660)*3630*$K$1)/J$46/365/$P$1)</f>
        <v/>
      </c>
      <c r="K661" s="1125" t="str">
        <f t="shared" ref="K661" si="100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78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6">
        <v>662</v>
      </c>
      <c r="V662" s="461"/>
    </row>
    <row r="663" spans="1:22" ht="15.75" customHeight="1">
      <c r="A663" s="1099" t="s">
        <v>283</v>
      </c>
      <c r="B663" s="1078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8"/>
      <c r="N663" s="948"/>
      <c r="O663" s="948"/>
      <c r="P663" s="948"/>
      <c r="Q663" s="1107"/>
      <c r="R663" s="1091"/>
      <c r="S663" s="1092"/>
      <c r="T663" s="1092"/>
      <c r="U663" s="1046">
        <v>663</v>
      </c>
      <c r="V663" s="461"/>
    </row>
    <row r="664" spans="1:22" ht="15.75" customHeight="1">
      <c r="A664" s="1075" t="s">
        <v>252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45"/>
      <c r="S664" s="1007"/>
      <c r="T664" s="1007"/>
      <c r="U664" s="1046">
        <v>664</v>
      </c>
      <c r="V664" s="461"/>
    </row>
    <row r="665" spans="1:22" ht="15.75" customHeight="1">
      <c r="A665" s="1175" t="s">
        <v>303</v>
      </c>
      <c r="B665" s="1105"/>
      <c r="C665" s="990"/>
      <c r="D665" s="990"/>
      <c r="E665" s="990"/>
      <c r="F665" s="990"/>
      <c r="G665" s="1078"/>
      <c r="H665" s="948"/>
      <c r="I665" s="948"/>
      <c r="J665" s="948"/>
      <c r="K665" s="948"/>
      <c r="L665" s="1078"/>
      <c r="M665" s="948"/>
      <c r="N665" s="948"/>
      <c r="O665" s="948"/>
      <c r="P665" s="948"/>
      <c r="Q665" s="1107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78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78"/>
      <c r="H666" s="948"/>
      <c r="I666" s="948"/>
      <c r="J666" s="948"/>
      <c r="K666" s="948"/>
      <c r="L666" s="1078"/>
      <c r="M666" s="948"/>
      <c r="N666" s="948"/>
      <c r="O666" s="948"/>
      <c r="P666" s="948"/>
      <c r="Q666" s="1107"/>
      <c r="R666" s="1091"/>
      <c r="S666" s="1092"/>
      <c r="T666" s="1092"/>
      <c r="U666" s="1046">
        <v>666</v>
      </c>
      <c r="V666" s="461"/>
    </row>
    <row r="667" spans="1:22" ht="15.75" customHeight="1">
      <c r="A667" s="1099" t="s">
        <v>252</v>
      </c>
      <c r="B667" s="1078"/>
      <c r="C667" s="1125">
        <f>IF(C666="","",C666/C$46*8/12*5/7*0.5)</f>
        <v>0.11904761904761904</v>
      </c>
      <c r="D667" s="1125">
        <f>IF(D666="","",D666/D$46*8/12*5/7*0.5)</f>
        <v>0.11904761904761904</v>
      </c>
      <c r="E667" s="1125">
        <f>IF(E666="","",E666/E$46*8/12*5/7*0.5)</f>
        <v>0.11904761904761904</v>
      </c>
      <c r="F667" s="1125">
        <f>IF(F666="","",F666/F$46*8/12*5/7*0.5)</f>
        <v>0.10582010582010581</v>
      </c>
      <c r="G667" s="1090"/>
      <c r="H667" s="948"/>
      <c r="I667" s="948"/>
      <c r="J667" s="948"/>
      <c r="K667" s="948"/>
      <c r="L667" s="1090"/>
      <c r="M667" s="948"/>
      <c r="N667" s="948"/>
      <c r="O667" s="948"/>
      <c r="P667" s="948"/>
      <c r="Q667" s="1107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78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8"/>
      <c r="H668" s="948"/>
      <c r="I668" s="948"/>
      <c r="J668" s="948"/>
      <c r="K668" s="948"/>
      <c r="L668" s="1078"/>
      <c r="M668" s="948"/>
      <c r="N668" s="948"/>
      <c r="O668" s="948"/>
      <c r="P668" s="948"/>
      <c r="Q668" s="1107"/>
      <c r="R668" s="882"/>
      <c r="S668" s="1014"/>
      <c r="T668" s="1014"/>
      <c r="U668" s="1046">
        <v>668</v>
      </c>
      <c r="V668" s="461"/>
    </row>
    <row r="669" spans="1:22" ht="15.75" customHeight="1">
      <c r="A669" s="1099" t="s">
        <v>289</v>
      </c>
      <c r="B669" s="1078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78"/>
      <c r="H669" s="948"/>
      <c r="I669" s="948"/>
      <c r="J669" s="948"/>
      <c r="K669" s="948"/>
      <c r="L669" s="1078"/>
      <c r="M669" s="948"/>
      <c r="N669" s="948"/>
      <c r="O669" s="948"/>
      <c r="P669" s="948"/>
      <c r="Q669" s="1107"/>
      <c r="R669" s="1091"/>
      <c r="S669" s="1092"/>
      <c r="T669" s="1092"/>
      <c r="U669" s="1046">
        <v>669</v>
      </c>
      <c r="V669" s="461"/>
    </row>
    <row r="670" spans="1:22" ht="15.75" customHeight="1">
      <c r="A670" s="1099" t="s">
        <v>252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8"/>
      <c r="I670" s="948"/>
      <c r="J670" s="948"/>
      <c r="K670" s="948"/>
      <c r="L670" s="1090"/>
      <c r="M670" s="948"/>
      <c r="N670" s="948"/>
      <c r="O670" s="948"/>
      <c r="P670" s="948"/>
      <c r="Q670" s="1107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0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8"/>
      <c r="H671" s="948"/>
      <c r="I671" s="948"/>
      <c r="J671" s="948"/>
      <c r="K671" s="948"/>
      <c r="L671" s="1078"/>
      <c r="M671" s="948"/>
      <c r="N671" s="948"/>
      <c r="O671" s="948"/>
      <c r="P671" s="948"/>
      <c r="Q671" s="1107"/>
      <c r="R671" s="882"/>
      <c r="S671" s="1014"/>
      <c r="T671" s="1014"/>
      <c r="U671" s="1046">
        <v>671</v>
      </c>
      <c r="V671" s="461"/>
    </row>
    <row r="672" spans="1:22" ht="15.75" customHeight="1">
      <c r="A672" s="1099" t="s">
        <v>289</v>
      </c>
      <c r="B672" s="1078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78"/>
      <c r="H672" s="948"/>
      <c r="I672" s="948"/>
      <c r="J672" s="948"/>
      <c r="K672" s="948"/>
      <c r="L672" s="1078"/>
      <c r="M672" s="948"/>
      <c r="N672" s="948"/>
      <c r="O672" s="948"/>
      <c r="P672" s="948"/>
      <c r="Q672" s="1107"/>
      <c r="R672" s="1091"/>
      <c r="S672" s="1092"/>
      <c r="T672" s="1092"/>
      <c r="U672" s="1046">
        <v>672</v>
      </c>
      <c r="V672" s="461"/>
    </row>
    <row r="673" spans="1:22" ht="15.75" customHeight="1">
      <c r="A673" s="1099" t="s">
        <v>252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8"/>
      <c r="I673" s="948"/>
      <c r="J673" s="948"/>
      <c r="K673" s="948"/>
      <c r="L673" s="1090"/>
      <c r="M673" s="948"/>
      <c r="N673" s="948"/>
      <c r="O673" s="948"/>
      <c r="P673" s="948"/>
      <c r="Q673" s="1107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1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8"/>
      <c r="H674" s="948"/>
      <c r="I674" s="948"/>
      <c r="J674" s="948"/>
      <c r="K674" s="948"/>
      <c r="L674" s="1078"/>
      <c r="M674" s="948"/>
      <c r="N674" s="948"/>
      <c r="O674" s="948"/>
      <c r="P674" s="948"/>
      <c r="Q674" s="1107"/>
      <c r="R674" s="882"/>
      <c r="S674" s="1014"/>
      <c r="T674" s="1014"/>
      <c r="U674" s="1046">
        <v>674</v>
      </c>
      <c r="V674" s="461"/>
    </row>
    <row r="675" spans="1:22" ht="15.75" customHeight="1">
      <c r="A675" s="1099" t="s">
        <v>289</v>
      </c>
      <c r="B675" s="1081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78"/>
      <c r="H675" s="948"/>
      <c r="I675" s="948"/>
      <c r="J675" s="948"/>
      <c r="K675" s="948"/>
      <c r="L675" s="1078"/>
      <c r="M675" s="948"/>
      <c r="N675" s="948"/>
      <c r="O675" s="948"/>
      <c r="P675" s="948"/>
      <c r="Q675" s="1107"/>
      <c r="R675" s="1091"/>
      <c r="S675" s="1092"/>
      <c r="T675" s="1092"/>
      <c r="U675" s="1046">
        <v>675</v>
      </c>
      <c r="V675" s="461"/>
    </row>
    <row r="676" spans="1:22" ht="15.75" customHeight="1">
      <c r="A676" s="1099" t="s">
        <v>252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8"/>
      <c r="I676" s="948"/>
      <c r="J676" s="948"/>
      <c r="K676" s="948"/>
      <c r="L676" s="1090"/>
      <c r="M676" s="948"/>
      <c r="N676" s="948"/>
      <c r="O676" s="948"/>
      <c r="P676" s="948"/>
      <c r="Q676" s="1107"/>
      <c r="R676" s="1045"/>
      <c r="S676" s="1007"/>
      <c r="T676" s="1007"/>
      <c r="U676" s="1046">
        <v>676</v>
      </c>
      <c r="V676" s="461"/>
    </row>
    <row r="677" spans="1:22" ht="15.75" customHeight="1">
      <c r="A677" s="1137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0"/>
      <c r="H677" s="948"/>
      <c r="I677" s="948"/>
      <c r="J677" s="948"/>
      <c r="K677" s="948"/>
      <c r="L677" s="1090"/>
      <c r="M677" s="948"/>
      <c r="N677" s="948"/>
      <c r="O677" s="948"/>
      <c r="P677" s="948"/>
      <c r="Q677" s="1107"/>
      <c r="R677" s="843"/>
      <c r="S677" s="843"/>
      <c r="T677" s="843"/>
      <c r="U677" s="1046">
        <v>677</v>
      </c>
      <c r="V677" s="461"/>
    </row>
    <row r="678" spans="1:22" ht="15.75" customHeight="1">
      <c r="A678" s="1099" t="s">
        <v>293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4"/>
      <c r="I678" s="284"/>
      <c r="J678" s="284"/>
      <c r="K678" s="284"/>
      <c r="L678" s="1078"/>
      <c r="M678" s="948"/>
      <c r="N678" s="948"/>
      <c r="O678" s="948"/>
      <c r="P678" s="948"/>
      <c r="Q678" s="1107"/>
      <c r="R678" s="882"/>
      <c r="S678" s="1014"/>
      <c r="T678" s="1014"/>
      <c r="U678" s="1046">
        <v>678</v>
      </c>
      <c r="V678" s="461"/>
    </row>
    <row r="679" spans="1:22" ht="15.75" customHeight="1">
      <c r="A679" s="1099" t="s">
        <v>289</v>
      </c>
      <c r="B679" s="1177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78"/>
      <c r="H679" s="284"/>
      <c r="I679" s="284"/>
      <c r="J679" s="284"/>
      <c r="K679" s="284"/>
      <c r="L679" s="1078"/>
      <c r="M679" s="948"/>
      <c r="N679" s="948"/>
      <c r="O679" s="948"/>
      <c r="P679" s="948"/>
      <c r="Q679" s="1107"/>
      <c r="R679" s="1091"/>
      <c r="S679" s="1092"/>
      <c r="T679" s="1092"/>
      <c r="U679" s="1046">
        <v>679</v>
      </c>
      <c r="V679" s="461"/>
    </row>
    <row r="680" spans="1:22" ht="15.75" customHeight="1">
      <c r="A680" s="1148" t="s">
        <v>292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78"/>
      <c r="H680" s="948"/>
      <c r="I680" s="948"/>
      <c r="J680" s="948"/>
      <c r="K680" s="948"/>
      <c r="L680" s="1078"/>
      <c r="M680" s="1094"/>
      <c r="N680" s="1094"/>
      <c r="O680" s="1094"/>
      <c r="P680" s="1094"/>
      <c r="Q680" s="1107"/>
      <c r="R680" s="882"/>
      <c r="S680" s="1014"/>
      <c r="T680" s="1014"/>
      <c r="U680" s="1046">
        <v>680</v>
      </c>
      <c r="V680" s="461"/>
    </row>
    <row r="681" spans="1:22" ht="15.75" customHeight="1">
      <c r="A681" s="1099" t="s">
        <v>252</v>
      </c>
      <c r="B681" s="934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45"/>
      <c r="S681" s="1007"/>
      <c r="T681" s="1007"/>
      <c r="U681" s="1046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0"/>
      <c r="H682" s="948"/>
      <c r="I682" s="948"/>
      <c r="J682" s="948"/>
      <c r="K682" s="948"/>
      <c r="L682" s="1090"/>
      <c r="M682" s="948"/>
      <c r="N682" s="948"/>
      <c r="O682" s="948"/>
      <c r="P682" s="948"/>
      <c r="Q682" s="1107"/>
      <c r="R682" s="843"/>
      <c r="S682" s="843"/>
      <c r="T682" s="843"/>
      <c r="U682" s="1046">
        <v>682</v>
      </c>
      <c r="V682" s="461"/>
    </row>
    <row r="683" spans="1:22" ht="15.75" customHeight="1">
      <c r="A683" s="1099" t="s">
        <v>293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8"/>
      <c r="H683" s="284"/>
      <c r="I683" s="284"/>
      <c r="J683" s="284"/>
      <c r="K683" s="284"/>
      <c r="L683" s="1078"/>
      <c r="M683" s="948"/>
      <c r="N683" s="948"/>
      <c r="O683" s="948"/>
      <c r="P683" s="948"/>
      <c r="Q683" s="1107"/>
      <c r="R683" s="882"/>
      <c r="S683" s="1014"/>
      <c r="T683" s="1014"/>
      <c r="U683" s="1046">
        <v>683</v>
      </c>
      <c r="V683" s="461"/>
    </row>
    <row r="684" spans="1:22" ht="15.75" customHeight="1">
      <c r="A684" s="1099" t="s">
        <v>289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78"/>
      <c r="H684" s="284"/>
      <c r="I684" s="284"/>
      <c r="J684" s="284"/>
      <c r="K684" s="284"/>
      <c r="L684" s="1078"/>
      <c r="M684" s="948"/>
      <c r="N684" s="948"/>
      <c r="O684" s="948"/>
      <c r="P684" s="948"/>
      <c r="Q684" s="1107"/>
      <c r="R684" s="1091"/>
      <c r="S684" s="1092"/>
      <c r="T684" s="1092"/>
      <c r="U684" s="1046">
        <v>684</v>
      </c>
      <c r="V684" s="461"/>
    </row>
    <row r="685" spans="1:22" ht="15.75" customHeight="1">
      <c r="A685" s="1148" t="s">
        <v>292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78"/>
      <c r="H685" s="948"/>
      <c r="I685" s="948"/>
      <c r="J685" s="948"/>
      <c r="K685" s="948"/>
      <c r="L685" s="1078"/>
      <c r="M685" s="1094"/>
      <c r="N685" s="1094"/>
      <c r="O685" s="1094"/>
      <c r="P685" s="1094"/>
      <c r="Q685" s="1107"/>
      <c r="R685" s="882"/>
      <c r="S685" s="1014"/>
      <c r="T685" s="1014"/>
      <c r="U685" s="1046">
        <v>685</v>
      </c>
      <c r="V685" s="461"/>
    </row>
    <row r="686" spans="1:22" ht="15.75" customHeight="1">
      <c r="A686" s="1099" t="s">
        <v>252</v>
      </c>
      <c r="B686" s="934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0"/>
      <c r="H687" s="948"/>
      <c r="I687" s="948"/>
      <c r="J687" s="948"/>
      <c r="K687" s="948"/>
      <c r="L687" s="1090"/>
      <c r="M687" s="948"/>
      <c r="N687" s="948"/>
      <c r="O687" s="948"/>
      <c r="P687" s="948"/>
      <c r="Q687" s="1107"/>
      <c r="R687" s="843"/>
      <c r="S687" s="843"/>
      <c r="T687" s="843"/>
      <c r="U687" s="1046">
        <v>687</v>
      </c>
      <c r="V687" s="461"/>
    </row>
    <row r="688" spans="1:22" ht="15.75" customHeight="1">
      <c r="A688" s="1099" t="s">
        <v>293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>
        <f>IF(E688="","",E688*'Exp factors'!E$38)</f>
        <v>30</v>
      </c>
      <c r="K688" s="1174">
        <f>IF(F688="","",F688*'Exp factors'!F$38)</f>
        <v>102</v>
      </c>
      <c r="L688" s="1078"/>
      <c r="M688" s="948"/>
      <c r="N688" s="948"/>
      <c r="O688" s="948"/>
      <c r="P688" s="948"/>
      <c r="Q688" s="1107"/>
      <c r="R688" s="882"/>
      <c r="S688" s="1014"/>
      <c r="T688" s="1014"/>
      <c r="U688" s="1046">
        <v>688</v>
      </c>
      <c r="V688" s="461"/>
    </row>
    <row r="689" spans="1:22" ht="15.75" customHeight="1">
      <c r="A689" s="1099" t="s">
        <v>289</v>
      </c>
      <c r="B689" s="1177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78"/>
      <c r="H689" s="1174" t="str">
        <f>IF(C689&gt;0,C689,"")</f>
        <v/>
      </c>
      <c r="I689" s="1174" t="str">
        <f>IF(D689&gt;0,D689,"")</f>
        <v/>
      </c>
      <c r="J689" s="1174">
        <f>IF(E689&gt;0,E689,"")</f>
        <v>1</v>
      </c>
      <c r="K689" s="1174">
        <f>IF(F689&gt;0,F689,"")</f>
        <v>1</v>
      </c>
      <c r="L689" s="1078"/>
      <c r="M689" s="948"/>
      <c r="N689" s="948"/>
      <c r="O689" s="948"/>
      <c r="P689" s="948"/>
      <c r="Q689" s="1107"/>
      <c r="R689" s="1091"/>
      <c r="S689" s="1092"/>
      <c r="T689" s="1092"/>
      <c r="U689" s="1046">
        <v>689</v>
      </c>
      <c r="V689" s="461"/>
    </row>
    <row r="690" spans="1:22" ht="15.75" customHeight="1">
      <c r="A690" s="1148" t="s">
        <v>292</v>
      </c>
      <c r="B690" s="1177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78"/>
      <c r="H690" s="948"/>
      <c r="I690" s="948"/>
      <c r="J690" s="948"/>
      <c r="K690" s="948"/>
      <c r="L690" s="1078"/>
      <c r="M690" s="1094"/>
      <c r="N690" s="1094"/>
      <c r="O690" s="1094"/>
      <c r="P690" s="1094"/>
      <c r="Q690" s="1107"/>
      <c r="R690" s="882"/>
      <c r="S690" s="1014"/>
      <c r="T690" s="1014"/>
      <c r="U690" s="1046">
        <v>690</v>
      </c>
      <c r="V690" s="461"/>
    </row>
    <row r="691" spans="1:22" ht="15.75" customHeight="1">
      <c r="A691" s="1099" t="s">
        <v>252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>
        <f>IF(E688="","",E688*E689*E690/E$46/365/$P$1)</f>
        <v>1.7694834993773351E-2</v>
      </c>
      <c r="F691" s="1125">
        <f>IF(F688="","",F688*F689*F690/F$46/365/$P$1)</f>
        <v>5.3477723536737236E-2</v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>
        <f>IF(J688="","",J688*J689*E690/J$46/365/$P$1)</f>
        <v>1.7694834993773351E-2</v>
      </c>
      <c r="K691" s="1125">
        <f>IF(K688="","",K688*K689*F690/K$46/365/$P$1)</f>
        <v>5.3477723536737236E-2</v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>
        <f>IF(J691="","",SUM(J691)-SUM(E691))</f>
        <v>0</v>
      </c>
      <c r="P691" s="1126">
        <f>IF(K691="","",SUM(K691)-SUM(F691))</f>
        <v>0</v>
      </c>
      <c r="Q691" s="1107"/>
      <c r="R691" s="1045"/>
      <c r="S691" s="1007"/>
      <c r="T691" s="1007"/>
      <c r="U691" s="1046">
        <v>691</v>
      </c>
      <c r="V691" s="461"/>
    </row>
    <row r="692" spans="1:22" ht="15.75" customHeight="1">
      <c r="A692" s="1137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0"/>
      <c r="H692" s="948"/>
      <c r="I692" s="948"/>
      <c r="J692" s="948"/>
      <c r="K692" s="948"/>
      <c r="L692" s="1090"/>
      <c r="M692" s="948"/>
      <c r="N692" s="948"/>
      <c r="O692" s="948"/>
      <c r="P692" s="948"/>
      <c r="Q692" s="1107"/>
      <c r="R692" s="843"/>
      <c r="S692" s="843"/>
      <c r="T692" s="843"/>
      <c r="U692" s="1046">
        <v>692</v>
      </c>
      <c r="V692" s="461"/>
    </row>
    <row r="693" spans="1:22" ht="15.75" customHeight="1">
      <c r="A693" s="1099" t="s">
        <v>293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8"/>
      <c r="H693" s="284"/>
      <c r="I693" s="284"/>
      <c r="J693" s="284"/>
      <c r="K693" s="284"/>
      <c r="L693" s="1078"/>
      <c r="M693" s="948"/>
      <c r="N693" s="948"/>
      <c r="O693" s="948"/>
      <c r="P693" s="948"/>
      <c r="Q693" s="1107"/>
      <c r="R693" s="882"/>
      <c r="S693" s="1014"/>
      <c r="T693" s="1014"/>
      <c r="U693" s="1046">
        <v>693</v>
      </c>
      <c r="V693" s="461"/>
    </row>
    <row r="694" spans="1:22" ht="15.75" customHeight="1">
      <c r="A694" s="1099" t="s">
        <v>289</v>
      </c>
      <c r="B694" s="1177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78"/>
      <c r="H694" s="284"/>
      <c r="I694" s="284"/>
      <c r="J694" s="284"/>
      <c r="K694" s="284"/>
      <c r="L694" s="1078"/>
      <c r="M694" s="948"/>
      <c r="N694" s="948"/>
      <c r="O694" s="948"/>
      <c r="P694" s="948"/>
      <c r="Q694" s="1107"/>
      <c r="R694" s="1091"/>
      <c r="S694" s="1092"/>
      <c r="T694" s="1092"/>
      <c r="U694" s="1046">
        <v>694</v>
      </c>
      <c r="V694" s="461"/>
    </row>
    <row r="695" spans="1:22" ht="15.75" customHeight="1">
      <c r="A695" s="1148" t="s">
        <v>292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78"/>
      <c r="H695" s="948"/>
      <c r="I695" s="948"/>
      <c r="J695" s="948"/>
      <c r="K695" s="948"/>
      <c r="L695" s="1078"/>
      <c r="M695" s="1094"/>
      <c r="N695" s="1094"/>
      <c r="O695" s="1094"/>
      <c r="P695" s="1094"/>
      <c r="Q695" s="1107"/>
      <c r="R695" s="882"/>
      <c r="S695" s="1014"/>
      <c r="T695" s="1014"/>
      <c r="U695" s="1046">
        <v>695</v>
      </c>
      <c r="V695" s="461"/>
    </row>
    <row r="696" spans="1:22" ht="15.75" customHeight="1">
      <c r="A696" s="1099" t="s">
        <v>252</v>
      </c>
      <c r="B696" s="934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45"/>
      <c r="S696" s="1007"/>
      <c r="T696" s="1007"/>
      <c r="U696" s="1046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0"/>
      <c r="H697" s="948"/>
      <c r="I697" s="948"/>
      <c r="J697" s="948"/>
      <c r="K697" s="948"/>
      <c r="L697" s="1090"/>
      <c r="M697" s="948"/>
      <c r="N697" s="948"/>
      <c r="O697" s="948"/>
      <c r="P697" s="948"/>
      <c r="Q697" s="1107"/>
      <c r="R697" s="843"/>
      <c r="S697" s="843"/>
      <c r="T697" s="843"/>
      <c r="U697" s="1046">
        <v>697</v>
      </c>
      <c r="V697" s="461"/>
    </row>
    <row r="698" spans="1:22" ht="15.75" customHeight="1">
      <c r="A698" s="1099" t="s">
        <v>293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78"/>
      <c r="H698" s="284"/>
      <c r="I698" s="284"/>
      <c r="J698" s="284">
        <v>40</v>
      </c>
      <c r="K698" s="284">
        <v>50</v>
      </c>
      <c r="L698" s="1078"/>
      <c r="M698" s="948"/>
      <c r="N698" s="948"/>
      <c r="O698" s="948"/>
      <c r="P698" s="948"/>
      <c r="Q698" s="1107"/>
      <c r="R698" s="882"/>
      <c r="S698" s="1014"/>
      <c r="T698" s="1014"/>
      <c r="U698" s="1046">
        <v>698</v>
      </c>
      <c r="V698" s="461"/>
    </row>
    <row r="699" spans="1:22" ht="15.75" customHeight="1">
      <c r="A699" s="1099" t="s">
        <v>289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78"/>
      <c r="H699" s="284"/>
      <c r="I699" s="284"/>
      <c r="J699" s="284">
        <v>1</v>
      </c>
      <c r="K699" s="284">
        <v>1</v>
      </c>
      <c r="L699" s="1078"/>
      <c r="M699" s="948"/>
      <c r="N699" s="948"/>
      <c r="O699" s="948"/>
      <c r="P699" s="948"/>
      <c r="Q699" s="1107"/>
      <c r="R699" s="1091"/>
      <c r="S699" s="1092"/>
      <c r="T699" s="1092"/>
      <c r="U699" s="1046">
        <v>699</v>
      </c>
      <c r="V699" s="461"/>
    </row>
    <row r="700" spans="1:22" ht="15.75" customHeight="1">
      <c r="A700" s="1148" t="s">
        <v>292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78"/>
      <c r="H700" s="948"/>
      <c r="I700" s="948"/>
      <c r="J700" s="948"/>
      <c r="K700" s="948"/>
      <c r="L700" s="1078"/>
      <c r="M700" s="1094"/>
      <c r="N700" s="1094"/>
      <c r="O700" s="1094"/>
      <c r="P700" s="1094"/>
      <c r="Q700" s="1107"/>
      <c r="R700" s="882"/>
      <c r="S700" s="1014"/>
      <c r="T700" s="1014"/>
      <c r="U700" s="1046">
        <v>700</v>
      </c>
      <c r="V700" s="461"/>
    </row>
    <row r="701" spans="1:22" ht="15.75" customHeight="1">
      <c r="A701" s="1099" t="s">
        <v>252</v>
      </c>
      <c r="B701" s="934"/>
      <c r="C701" s="1125" t="str">
        <f>IF(C698="","",C698*C699*C700/C$46/365/$P$1)</f>
        <v/>
      </c>
      <c r="D701" s="1125" t="str">
        <f>IF(D698="","",D698*D699*D700/D$46/365/$P$1)</f>
        <v/>
      </c>
      <c r="E701" s="1125">
        <f>IF(E698="","",E698*E699*E700/E$46/365/$P$1)</f>
        <v>2.3069738480697384E-2</v>
      </c>
      <c r="F701" s="1125">
        <f>IF(F698="","",F698*F699*F700/F$46/365/$P$1)</f>
        <v>2.5633042756330427E-2</v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>
        <f>IF(J698="","",J698*J699*E700/J$46/365/$P$1)</f>
        <v>2.3069738480697384E-2</v>
      </c>
      <c r="K701" s="1125">
        <f>IF(K698="","",K698*K699*F700/K$46/365/$P$1)</f>
        <v>2.5633042756330427E-2</v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>
        <f>IF(J701="","",SUM(J701)-SUM(E701))</f>
        <v>0</v>
      </c>
      <c r="P701" s="1126">
        <f>IF(K701="","",SUM(K701)-SUM(F701))</f>
        <v>0</v>
      </c>
      <c r="Q701" s="1107"/>
      <c r="R701" s="1045"/>
      <c r="S701" s="1007"/>
      <c r="T701" s="1007"/>
      <c r="U701" s="1046">
        <v>701</v>
      </c>
      <c r="V701" s="461"/>
    </row>
    <row r="702" spans="1:22" ht="15.75" customHeight="1">
      <c r="A702" s="1175" t="s">
        <v>312</v>
      </c>
      <c r="B702" s="934"/>
      <c r="C702" s="870"/>
      <c r="D702" s="870"/>
      <c r="E702" s="870"/>
      <c r="F702" s="870"/>
      <c r="G702" s="1090"/>
      <c r="H702" s="948"/>
      <c r="I702" s="948"/>
      <c r="J702" s="948"/>
      <c r="K702" s="948"/>
      <c r="L702" s="1090"/>
      <c r="M702" s="1139"/>
      <c r="N702" s="1139"/>
      <c r="O702" s="1139"/>
      <c r="P702" s="1139"/>
      <c r="Q702" s="1107"/>
      <c r="R702" s="843"/>
      <c r="S702" s="843"/>
      <c r="T702" s="843"/>
      <c r="U702" s="1046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1"/>
      <c r="H703" s="948"/>
      <c r="I703" s="948"/>
      <c r="J703" s="948"/>
      <c r="K703" s="948"/>
      <c r="L703" s="1081"/>
      <c r="M703" s="1094"/>
      <c r="N703" s="1094"/>
      <c r="O703" s="1094"/>
      <c r="P703" s="1094"/>
      <c r="Q703" s="1107"/>
      <c r="R703" s="843"/>
      <c r="S703" s="843"/>
      <c r="T703" s="843"/>
      <c r="U703" s="1046">
        <v>703</v>
      </c>
      <c r="V703" s="461"/>
    </row>
    <row r="704" spans="1:22" ht="15.75" hidden="1" customHeight="1">
      <c r="A704" s="1099" t="s">
        <v>297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6">
        <v>704</v>
      </c>
      <c r="V704" s="461"/>
    </row>
    <row r="705" spans="1:22" ht="15.75" hidden="1" customHeight="1">
      <c r="A705" s="1099" t="s">
        <v>298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8"/>
      <c r="H705" s="1174" t="str">
        <f t="shared" ref="H705:K706" si="101">IF(C705&gt;0,C705,"")</f>
        <v/>
      </c>
      <c r="I705" s="1174" t="str">
        <f t="shared" si="101"/>
        <v/>
      </c>
      <c r="J705" s="1174" t="str">
        <f t="shared" si="101"/>
        <v/>
      </c>
      <c r="K705" s="1174" t="str">
        <f t="shared" si="101"/>
        <v/>
      </c>
      <c r="L705" s="1078"/>
      <c r="M705" s="948"/>
      <c r="N705" s="948"/>
      <c r="O705" s="948"/>
      <c r="P705" s="948"/>
      <c r="Q705" s="1107"/>
      <c r="R705" s="1091"/>
      <c r="S705" s="1092"/>
      <c r="T705" s="1092"/>
      <c r="U705" s="1046">
        <v>705</v>
      </c>
      <c r="V705" s="461"/>
    </row>
    <row r="706" spans="1:22" ht="15.75" hidden="1" customHeight="1">
      <c r="A706" s="1099" t="s">
        <v>283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8"/>
      <c r="H706" s="1174" t="str">
        <f t="shared" si="101"/>
        <v/>
      </c>
      <c r="I706" s="1174" t="str">
        <f t="shared" si="101"/>
        <v/>
      </c>
      <c r="J706" s="1174" t="str">
        <f t="shared" si="101"/>
        <v/>
      </c>
      <c r="K706" s="1174" t="str">
        <f t="shared" si="101"/>
        <v/>
      </c>
      <c r="L706" s="1078"/>
      <c r="M706" s="948"/>
      <c r="N706" s="948"/>
      <c r="O706" s="948"/>
      <c r="P706" s="948"/>
      <c r="Q706" s="1107"/>
      <c r="R706" s="1091"/>
      <c r="S706" s="1092"/>
      <c r="T706" s="1092"/>
      <c r="U706" s="1046">
        <v>706</v>
      </c>
      <c r="V706" s="461"/>
    </row>
    <row r="707" spans="1:22" ht="15.75" hidden="1" customHeight="1">
      <c r="A707" s="1099" t="s">
        <v>314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78"/>
      <c r="H707" s="948"/>
      <c r="I707" s="948"/>
      <c r="J707" s="948"/>
      <c r="K707" s="948"/>
      <c r="L707" s="1078"/>
      <c r="M707" s="948"/>
      <c r="N707" s="948"/>
      <c r="O707" s="948"/>
      <c r="P707" s="948"/>
      <c r="Q707" s="1107"/>
      <c r="R707" s="1091"/>
      <c r="S707" s="1092"/>
      <c r="T707" s="1092"/>
      <c r="U707" s="1046">
        <v>707</v>
      </c>
      <c r="V707" s="461"/>
    </row>
    <row r="708" spans="1:22" ht="15.75" customHeight="1">
      <c r="A708" s="1145" t="s">
        <v>315</v>
      </c>
      <c r="B708" s="934"/>
      <c r="C708" s="1121">
        <f>IF(Data!BV708="","",Data!BV708)</f>
        <v>0</v>
      </c>
      <c r="D708" s="1121">
        <f>IF(Data!BW708="","",Data!BW708)</f>
        <v>1109</v>
      </c>
      <c r="E708" s="1121">
        <f>IF(Data!BX708="","",Data!BX708)</f>
        <v>752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1109</v>
      </c>
      <c r="J708" s="1174">
        <f>IF(E708="","",E708*'Exp factors'!E$28)</f>
        <v>752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82"/>
      <c r="S708" s="1014"/>
      <c r="T708" s="1014"/>
      <c r="U708" s="1046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1"/>
      <c r="H709" s="948"/>
      <c r="I709" s="948"/>
      <c r="J709" s="948"/>
      <c r="K709" s="948"/>
      <c r="L709" s="1081"/>
      <c r="M709" s="1094"/>
      <c r="N709" s="1094"/>
      <c r="O709" s="1094"/>
      <c r="P709" s="1094"/>
      <c r="Q709" s="1107"/>
      <c r="R709" s="843"/>
      <c r="S709" s="843"/>
      <c r="T709" s="843"/>
      <c r="U709" s="1046">
        <v>709</v>
      </c>
      <c r="V709" s="461"/>
    </row>
    <row r="710" spans="1:22" ht="15.75" hidden="1" customHeight="1">
      <c r="A710" s="1099" t="s">
        <v>297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6">
        <v>710</v>
      </c>
      <c r="V710" s="461"/>
    </row>
    <row r="711" spans="1:22" ht="15.75" hidden="1" customHeight="1">
      <c r="A711" s="1099" t="s">
        <v>298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8"/>
      <c r="H711" s="1174" t="str">
        <f t="shared" ref="H711:K712" si="102">IF(C711&gt;0,C711,"")</f>
        <v/>
      </c>
      <c r="I711" s="1174" t="str">
        <f t="shared" si="102"/>
        <v/>
      </c>
      <c r="J711" s="1174" t="str">
        <f t="shared" si="102"/>
        <v/>
      </c>
      <c r="K711" s="1174" t="str">
        <f t="shared" si="102"/>
        <v/>
      </c>
      <c r="L711" s="1078"/>
      <c r="M711" s="948"/>
      <c r="N711" s="948"/>
      <c r="O711" s="948"/>
      <c r="P711" s="948"/>
      <c r="Q711" s="1107"/>
      <c r="R711" s="1091"/>
      <c r="S711" s="1092"/>
      <c r="T711" s="1092"/>
      <c r="U711" s="1046">
        <v>711</v>
      </c>
      <c r="V711" s="461"/>
    </row>
    <row r="712" spans="1:22" ht="15.75" hidden="1" customHeight="1">
      <c r="A712" s="1099" t="s">
        <v>283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8"/>
      <c r="H712" s="1174" t="str">
        <f t="shared" si="102"/>
        <v/>
      </c>
      <c r="I712" s="1174" t="str">
        <f t="shared" si="102"/>
        <v/>
      </c>
      <c r="J712" s="1174" t="str">
        <f t="shared" si="102"/>
        <v/>
      </c>
      <c r="K712" s="1174" t="str">
        <f t="shared" si="102"/>
        <v/>
      </c>
      <c r="L712" s="1078"/>
      <c r="M712" s="948"/>
      <c r="N712" s="948"/>
      <c r="O712" s="948"/>
      <c r="P712" s="948"/>
      <c r="Q712" s="1107"/>
      <c r="R712" s="1091"/>
      <c r="S712" s="1092"/>
      <c r="T712" s="1092"/>
      <c r="U712" s="1046">
        <v>712</v>
      </c>
      <c r="V712" s="461"/>
    </row>
    <row r="713" spans="1:22" ht="15.75" hidden="1" customHeight="1">
      <c r="A713" s="1099" t="s">
        <v>314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78"/>
      <c r="H713" s="948"/>
      <c r="I713" s="948"/>
      <c r="J713" s="948"/>
      <c r="K713" s="948"/>
      <c r="L713" s="1078"/>
      <c r="M713" s="948"/>
      <c r="N713" s="948"/>
      <c r="O713" s="948"/>
      <c r="P713" s="948"/>
      <c r="Q713" s="1107"/>
      <c r="R713" s="1091"/>
      <c r="S713" s="1092"/>
      <c r="T713" s="1092"/>
      <c r="U713" s="1046">
        <v>713</v>
      </c>
      <c r="V713" s="461"/>
    </row>
    <row r="714" spans="1:22" ht="15.75" customHeight="1">
      <c r="A714" s="1145" t="s">
        <v>315</v>
      </c>
      <c r="B714" s="934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82"/>
      <c r="S714" s="1014"/>
      <c r="T714" s="1014"/>
      <c r="U714" s="1046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1"/>
      <c r="H715" s="948"/>
      <c r="I715" s="948"/>
      <c r="J715" s="948"/>
      <c r="K715" s="948"/>
      <c r="L715" s="1081"/>
      <c r="M715" s="1094"/>
      <c r="N715" s="1094"/>
      <c r="O715" s="1094"/>
      <c r="P715" s="1094"/>
      <c r="Q715" s="1107"/>
      <c r="R715" s="843"/>
      <c r="S715" s="843"/>
      <c r="T715" s="843"/>
      <c r="U715" s="1046">
        <v>715</v>
      </c>
      <c r="V715" s="461"/>
    </row>
    <row r="716" spans="1:22" ht="15.75" hidden="1" customHeight="1">
      <c r="A716" s="1099" t="s">
        <v>297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6">
        <v>716</v>
      </c>
      <c r="V716" s="461"/>
    </row>
    <row r="717" spans="1:22" ht="15.75" hidden="1" customHeight="1">
      <c r="A717" s="1099" t="s">
        <v>298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8"/>
      <c r="H717" s="1174" t="str">
        <f t="shared" ref="H717:K718" si="103">IF(C717&gt;0,C717,"")</f>
        <v/>
      </c>
      <c r="I717" s="1174" t="str">
        <f t="shared" si="103"/>
        <v/>
      </c>
      <c r="J717" s="1174" t="str">
        <f t="shared" si="103"/>
        <v/>
      </c>
      <c r="K717" s="1174" t="str">
        <f t="shared" si="103"/>
        <v/>
      </c>
      <c r="L717" s="1078"/>
      <c r="M717" s="948"/>
      <c r="N717" s="948"/>
      <c r="O717" s="948"/>
      <c r="P717" s="948"/>
      <c r="Q717" s="1107"/>
      <c r="R717" s="1091"/>
      <c r="S717" s="1092"/>
      <c r="T717" s="1092"/>
      <c r="U717" s="1046">
        <v>717</v>
      </c>
      <c r="V717" s="461"/>
    </row>
    <row r="718" spans="1:22" ht="15.75" hidden="1" customHeight="1">
      <c r="A718" s="1099" t="s">
        <v>283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8"/>
      <c r="H718" s="1174" t="str">
        <f t="shared" si="103"/>
        <v/>
      </c>
      <c r="I718" s="1174" t="str">
        <f t="shared" si="103"/>
        <v/>
      </c>
      <c r="J718" s="1174" t="str">
        <f t="shared" si="103"/>
        <v/>
      </c>
      <c r="K718" s="1174" t="str">
        <f t="shared" si="103"/>
        <v/>
      </c>
      <c r="L718" s="1078"/>
      <c r="M718" s="948"/>
      <c r="N718" s="948"/>
      <c r="O718" s="948"/>
      <c r="P718" s="948"/>
      <c r="Q718" s="1107"/>
      <c r="R718" s="1091"/>
      <c r="S718" s="1092"/>
      <c r="T718" s="1092"/>
      <c r="U718" s="1046">
        <v>718</v>
      </c>
      <c r="V718" s="461"/>
    </row>
    <row r="719" spans="1:22" ht="15.75" hidden="1" customHeight="1">
      <c r="A719" s="1099" t="s">
        <v>314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78"/>
      <c r="H719" s="948"/>
      <c r="I719" s="948"/>
      <c r="J719" s="948"/>
      <c r="K719" s="948"/>
      <c r="L719" s="1078"/>
      <c r="M719" s="948"/>
      <c r="N719" s="948"/>
      <c r="O719" s="948"/>
      <c r="P719" s="948"/>
      <c r="Q719" s="1107"/>
      <c r="R719" s="1091"/>
      <c r="S719" s="1092"/>
      <c r="T719" s="1092"/>
      <c r="U719" s="1046">
        <v>719</v>
      </c>
      <c r="V719" s="461"/>
    </row>
    <row r="720" spans="1:22" ht="15.75" customHeight="1">
      <c r="A720" s="1145" t="s">
        <v>315</v>
      </c>
      <c r="B720" s="934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82"/>
      <c r="S720" s="1014"/>
      <c r="T720" s="1014"/>
      <c r="U720" s="1046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>
        <f>IF(F721="","",F721*'Exp factors'!F$30)</f>
        <v>2</v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6">
        <v>721</v>
      </c>
      <c r="V721" s="461"/>
    </row>
    <row r="722" spans="1:22" ht="15.75" customHeight="1">
      <c r="A722" s="1099" t="s">
        <v>283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78"/>
      <c r="H722" s="1174" t="str">
        <f t="shared" ref="H722:K723" si="104">IF(C722&gt;0,C722,"")</f>
        <v/>
      </c>
      <c r="I722" s="1174" t="str">
        <f t="shared" si="104"/>
        <v/>
      </c>
      <c r="J722" s="1174" t="str">
        <f t="shared" si="104"/>
        <v/>
      </c>
      <c r="K722" s="1174">
        <f t="shared" si="104"/>
        <v>11</v>
      </c>
      <c r="L722" s="1078"/>
      <c r="M722" s="948"/>
      <c r="N722" s="948"/>
      <c r="O722" s="948"/>
      <c r="P722" s="948"/>
      <c r="Q722" s="1107"/>
      <c r="R722" s="1091"/>
      <c r="S722" s="1092"/>
      <c r="T722" s="1092"/>
      <c r="U722" s="1046">
        <v>722</v>
      </c>
      <c r="V722" s="461"/>
    </row>
    <row r="723" spans="1:22" ht="15.75" customHeight="1">
      <c r="A723" s="1099" t="s">
        <v>319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78"/>
      <c r="H723" s="1174" t="str">
        <f t="shared" si="104"/>
        <v/>
      </c>
      <c r="I723" s="1174" t="str">
        <f t="shared" si="104"/>
        <v/>
      </c>
      <c r="J723" s="1174" t="str">
        <f t="shared" si="104"/>
        <v/>
      </c>
      <c r="K723" s="1174">
        <f t="shared" si="104"/>
        <v>500</v>
      </c>
      <c r="L723" s="1078"/>
      <c r="M723" s="948"/>
      <c r="N723" s="948"/>
      <c r="O723" s="948"/>
      <c r="P723" s="948"/>
      <c r="Q723" s="1107"/>
      <c r="R723" s="882"/>
      <c r="S723" s="1014"/>
      <c r="T723" s="1014"/>
      <c r="U723" s="1046">
        <v>723</v>
      </c>
      <c r="V723" s="461"/>
    </row>
    <row r="724" spans="1:22" ht="15.75" customHeight="1">
      <c r="A724" s="1145" t="s">
        <v>315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79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>
        <f>IF(K724="","",SUM(K724)-SUM(F724))</f>
        <v>0</v>
      </c>
      <c r="Q724" s="1107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78"/>
      <c r="H725" s="1174" t="str">
        <f>IF(C725="","",C725*'Exp factors'!C$32)</f>
        <v/>
      </c>
      <c r="I725" s="1174" t="str">
        <f>IF(D725="","",D725*'Exp factors'!D$32)</f>
        <v/>
      </c>
      <c r="J725" s="1174" t="str">
        <f>IF(E725="","",E725*'Exp factors'!E$32)</f>
        <v/>
      </c>
      <c r="K725" s="1174" t="str">
        <f>IF(F725="","",F725*'Exp factors'!F$32)</f>
        <v/>
      </c>
      <c r="L725" s="1078"/>
      <c r="M725" s="948"/>
      <c r="N725" s="948"/>
      <c r="O725" s="948"/>
      <c r="P725" s="948"/>
      <c r="Q725" s="1107"/>
      <c r="R725" s="1091"/>
      <c r="S725" s="1092"/>
      <c r="T725" s="1092"/>
      <c r="U725" s="1046">
        <v>725</v>
      </c>
      <c r="V725" s="461"/>
    </row>
    <row r="726" spans="1:22" ht="15.75" customHeight="1">
      <c r="A726" s="1075" t="s">
        <v>321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1"/>
      <c r="H726" s="1174" t="str">
        <f>IF(C726&gt;0,C726,"")</f>
        <v/>
      </c>
      <c r="I726" s="1174" t="str">
        <f>IF(D726&gt;0,D726,"")</f>
        <v/>
      </c>
      <c r="J726" s="1174" t="str">
        <f>IF(E726&gt;0,E726,"")</f>
        <v/>
      </c>
      <c r="K726" s="1174" t="str">
        <f>IF(F726&gt;0,F726,"")</f>
        <v/>
      </c>
      <c r="L726" s="1081"/>
      <c r="M726" s="1094"/>
      <c r="N726" s="1094"/>
      <c r="O726" s="1094"/>
      <c r="P726" s="1094"/>
      <c r="Q726" s="1107"/>
      <c r="R726" s="882"/>
      <c r="S726" s="1014"/>
      <c r="T726" s="1014"/>
      <c r="U726" s="1046">
        <v>726</v>
      </c>
      <c r="V726" s="461"/>
    </row>
    <row r="727" spans="1:22" ht="15.75" customHeight="1">
      <c r="A727" s="1075" t="s">
        <v>315</v>
      </c>
      <c r="B727" s="934"/>
      <c r="C727" s="1098" t="str">
        <f>IF(SUM(C725)=0,"",C725*C726)</f>
        <v/>
      </c>
      <c r="D727" s="1098" t="str">
        <f>IF(SUM(D725)=0,"",D725*D726)</f>
        <v/>
      </c>
      <c r="E727" s="1098" t="str">
        <f>IF(SUM(E725)=0,"",E725*E726)</f>
        <v/>
      </c>
      <c r="F727" s="1098" t="str">
        <f>IF(SUM(F725)=0,"",F725*F726)</f>
        <v/>
      </c>
      <c r="G727" s="1081"/>
      <c r="H727" s="1098" t="str">
        <f>IF(H725="","",H725*H726)</f>
        <v/>
      </c>
      <c r="I727" s="1098" t="str">
        <f>IF(I725="","",I725*I726)</f>
        <v/>
      </c>
      <c r="J727" s="1098" t="str">
        <f>IF(J725="","",J725*J726)</f>
        <v/>
      </c>
      <c r="K727" s="1098" t="str">
        <f>IF(K725="","",K725*K726)</f>
        <v/>
      </c>
      <c r="L727" s="1081"/>
      <c r="M727" s="1098" t="str">
        <f>IF(H727="","",SUM(H727)-SUM(C727))</f>
        <v/>
      </c>
      <c r="N727" s="1098" t="str">
        <f>IF(I727="","",SUM(I727)-SUM(D727))</f>
        <v/>
      </c>
      <c r="O727" s="1098" t="str">
        <f>IF(J727="","",SUM(J727)-SUM(E727))</f>
        <v/>
      </c>
      <c r="P727" s="1098" t="str">
        <f>IF(K727="","",SUM(K727)-SUM(F727))</f>
        <v/>
      </c>
      <c r="Q727" s="1107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8"/>
      <c r="N728" s="948"/>
      <c r="O728" s="948"/>
      <c r="P728" s="948"/>
      <c r="Q728" s="1107"/>
      <c r="R728" s="1091"/>
      <c r="S728" s="1092"/>
      <c r="T728" s="1092"/>
      <c r="U728" s="1046">
        <v>728</v>
      </c>
      <c r="V728" s="461"/>
    </row>
    <row r="729" spans="1:22" ht="15.75" customHeight="1">
      <c r="A729" s="1099" t="s">
        <v>298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8"/>
      <c r="H729" s="1174" t="str">
        <f t="shared" ref="H729:K730" si="105">IF(C729&gt;0,C729,"")</f>
        <v/>
      </c>
      <c r="I729" s="1174" t="str">
        <f t="shared" si="105"/>
        <v/>
      </c>
      <c r="J729" s="1174" t="str">
        <f t="shared" si="105"/>
        <v/>
      </c>
      <c r="K729" s="1174" t="str">
        <f t="shared" si="105"/>
        <v/>
      </c>
      <c r="L729" s="1078"/>
      <c r="M729" s="948"/>
      <c r="N729" s="948"/>
      <c r="O729" s="948"/>
      <c r="P729" s="948"/>
      <c r="Q729" s="1107"/>
      <c r="R729" s="1091"/>
      <c r="S729" s="1092"/>
      <c r="T729" s="1092"/>
      <c r="U729" s="1046">
        <v>729</v>
      </c>
      <c r="V729" s="461"/>
    </row>
    <row r="730" spans="1:22" ht="15.75" customHeight="1">
      <c r="A730" s="1099" t="s">
        <v>283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8"/>
      <c r="H730" s="1174" t="str">
        <f t="shared" si="105"/>
        <v/>
      </c>
      <c r="I730" s="1174" t="str">
        <f t="shared" si="105"/>
        <v/>
      </c>
      <c r="J730" s="1174" t="str">
        <f t="shared" si="105"/>
        <v/>
      </c>
      <c r="K730" s="1174" t="str">
        <f t="shared" si="105"/>
        <v/>
      </c>
      <c r="L730" s="1078"/>
      <c r="M730" s="948"/>
      <c r="N730" s="948"/>
      <c r="O730" s="948"/>
      <c r="P730" s="948"/>
      <c r="Q730" s="1107"/>
      <c r="R730" s="1091"/>
      <c r="S730" s="1092"/>
      <c r="T730" s="1092"/>
      <c r="U730" s="1046">
        <v>730</v>
      </c>
      <c r="V730" s="461"/>
    </row>
    <row r="731" spans="1:22" ht="15.75" customHeight="1">
      <c r="A731" s="1099" t="s">
        <v>314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78"/>
      <c r="H731" s="948"/>
      <c r="I731" s="948"/>
      <c r="J731" s="948"/>
      <c r="K731" s="948"/>
      <c r="L731" s="1078"/>
      <c r="M731" s="948"/>
      <c r="N731" s="948"/>
      <c r="O731" s="948"/>
      <c r="P731" s="948"/>
      <c r="Q731" s="1107"/>
      <c r="R731" s="1091"/>
      <c r="S731" s="1092"/>
      <c r="T731" s="1092"/>
      <c r="U731" s="1046">
        <v>731</v>
      </c>
      <c r="V731" s="461"/>
    </row>
    <row r="732" spans="1:22" ht="15.75" customHeight="1">
      <c r="A732" s="1145" t="s">
        <v>315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79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82"/>
      <c r="S732" s="1014"/>
      <c r="T732" s="1014"/>
      <c r="U732" s="1046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8"/>
      <c r="N733" s="948"/>
      <c r="O733" s="948"/>
      <c r="P733" s="948"/>
      <c r="Q733" s="1107"/>
      <c r="R733" s="1091"/>
      <c r="S733" s="1092"/>
      <c r="T733" s="1092"/>
      <c r="U733" s="1046">
        <v>733</v>
      </c>
      <c r="V733" s="461"/>
    </row>
    <row r="734" spans="1:22" ht="15.75" customHeight="1">
      <c r="A734" s="1099" t="s">
        <v>298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78"/>
      <c r="H734" s="1174" t="str">
        <f t="shared" ref="H734:K735" si="106">IF(C734&gt;0,C734,"")</f>
        <v/>
      </c>
      <c r="I734" s="1174" t="str">
        <f t="shared" si="106"/>
        <v/>
      </c>
      <c r="J734" s="1174" t="str">
        <f t="shared" si="106"/>
        <v/>
      </c>
      <c r="K734" s="1174">
        <f t="shared" si="106"/>
        <v>22</v>
      </c>
      <c r="L734" s="1078"/>
      <c r="M734" s="948"/>
      <c r="N734" s="948"/>
      <c r="O734" s="948"/>
      <c r="P734" s="948"/>
      <c r="Q734" s="1107"/>
      <c r="R734" s="1091"/>
      <c r="S734" s="1092"/>
      <c r="T734" s="1092"/>
      <c r="U734" s="1046">
        <v>734</v>
      </c>
      <c r="V734" s="461"/>
    </row>
    <row r="735" spans="1:22" ht="15.75" customHeight="1">
      <c r="A735" s="1099" t="s">
        <v>283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78"/>
      <c r="H735" s="1174" t="str">
        <f t="shared" si="106"/>
        <v/>
      </c>
      <c r="I735" s="1174" t="str">
        <f t="shared" si="106"/>
        <v/>
      </c>
      <c r="J735" s="1174" t="str">
        <f t="shared" si="106"/>
        <v/>
      </c>
      <c r="K735" s="1174">
        <f t="shared" si="106"/>
        <v>6</v>
      </c>
      <c r="L735" s="1078"/>
      <c r="M735" s="948"/>
      <c r="N735" s="948"/>
      <c r="O735" s="948"/>
      <c r="P735" s="948"/>
      <c r="Q735" s="1107"/>
      <c r="R735" s="1091"/>
      <c r="S735" s="1092"/>
      <c r="T735" s="1092"/>
      <c r="U735" s="1046">
        <v>735</v>
      </c>
      <c r="V735" s="461"/>
    </row>
    <row r="736" spans="1:22" ht="15.75" customHeight="1">
      <c r="A736" s="1099" t="s">
        <v>314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78"/>
      <c r="H736" s="948"/>
      <c r="I736" s="948"/>
      <c r="J736" s="948"/>
      <c r="K736" s="948"/>
      <c r="L736" s="1078"/>
      <c r="M736" s="948"/>
      <c r="N736" s="948"/>
      <c r="O736" s="948"/>
      <c r="P736" s="948"/>
      <c r="Q736" s="1107"/>
      <c r="R736" s="1091"/>
      <c r="S736" s="1092"/>
      <c r="T736" s="1092"/>
      <c r="U736" s="1046">
        <v>736</v>
      </c>
      <c r="V736" s="461"/>
    </row>
    <row r="737" spans="1:22" ht="15.75" customHeight="1">
      <c r="A737" s="1075" t="s">
        <v>315</v>
      </c>
      <c r="B737" s="934"/>
      <c r="C737" s="957" t="str">
        <f t="shared" ref="C737:E737" si="107">IF(SUM(C734)=0,"",C733*C734*C735*C736)</f>
        <v/>
      </c>
      <c r="D737" s="957" t="str">
        <f t="shared" si="107"/>
        <v/>
      </c>
      <c r="E737" s="957" t="str">
        <f t="shared" si="107"/>
        <v/>
      </c>
      <c r="F737" s="957">
        <f>IF(SUM(F734)=0,"",F733*F734*F735*F736)</f>
        <v>23760</v>
      </c>
      <c r="G737" s="1081"/>
      <c r="H737" s="957" t="str">
        <f t="shared" ref="H737:J737" si="108">IF(H734="","",H734*H735*C736)</f>
        <v/>
      </c>
      <c r="I737" s="957" t="str">
        <f t="shared" si="108"/>
        <v/>
      </c>
      <c r="J737" s="957" t="str">
        <f t="shared" si="108"/>
        <v/>
      </c>
      <c r="K737" s="957">
        <f>IF(K734="","",K734*K735*F736)</f>
        <v>23760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82"/>
      <c r="S737" s="1014"/>
      <c r="T737" s="1014"/>
      <c r="U737" s="1046">
        <v>737</v>
      </c>
      <c r="V737" s="461"/>
    </row>
    <row r="738" spans="1:22" ht="15.75" customHeight="1">
      <c r="A738" s="1351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1"/>
      <c r="H738" s="948"/>
      <c r="I738" s="948"/>
      <c r="J738" s="948"/>
      <c r="K738" s="948"/>
      <c r="L738" s="1081"/>
      <c r="M738" s="1094"/>
      <c r="N738" s="1094"/>
      <c r="O738" s="1094"/>
      <c r="P738" s="1094"/>
      <c r="Q738" s="1107"/>
      <c r="R738" s="843"/>
      <c r="S738" s="843"/>
      <c r="T738" s="843"/>
      <c r="U738" s="1046">
        <v>738</v>
      </c>
      <c r="V738" s="461"/>
    </row>
    <row r="739" spans="1:22" ht="15.75" hidden="1" customHeight="1">
      <c r="A739" s="1180" t="s">
        <v>297</v>
      </c>
      <c r="B739" s="934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8"/>
      <c r="N739" s="948"/>
      <c r="O739" s="948"/>
      <c r="P739" s="948"/>
      <c r="Q739" s="1107"/>
      <c r="R739" s="1091"/>
      <c r="S739" s="1092"/>
      <c r="T739" s="1092"/>
      <c r="U739" s="1046">
        <v>739</v>
      </c>
      <c r="V739" s="461"/>
    </row>
    <row r="740" spans="1:22" ht="15.75" hidden="1" customHeight="1">
      <c r="A740" s="1180" t="s">
        <v>298</v>
      </c>
      <c r="B740" s="934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109">IF(C740&gt;0,C740,"")</f>
        <v/>
      </c>
      <c r="I740" s="1174" t="str">
        <f t="shared" si="109"/>
        <v/>
      </c>
      <c r="J740" s="1174" t="str">
        <f t="shared" si="109"/>
        <v/>
      </c>
      <c r="K740" s="1174" t="str">
        <f t="shared" si="109"/>
        <v/>
      </c>
      <c r="L740" s="1078"/>
      <c r="M740" s="948"/>
      <c r="N740" s="948"/>
      <c r="O740" s="948"/>
      <c r="P740" s="948"/>
      <c r="Q740" s="1107"/>
      <c r="R740" s="1091"/>
      <c r="S740" s="1092"/>
      <c r="T740" s="1092"/>
      <c r="U740" s="1046">
        <v>740</v>
      </c>
      <c r="V740" s="461"/>
    </row>
    <row r="741" spans="1:22" ht="15.75" hidden="1" customHeight="1">
      <c r="A741" s="1180" t="s">
        <v>283</v>
      </c>
      <c r="B741" s="934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109"/>
        <v/>
      </c>
      <c r="I741" s="1174" t="str">
        <f t="shared" si="109"/>
        <v/>
      </c>
      <c r="J741" s="1174" t="str">
        <f t="shared" si="109"/>
        <v/>
      </c>
      <c r="K741" s="1174" t="str">
        <f t="shared" si="109"/>
        <v/>
      </c>
      <c r="L741" s="1078"/>
      <c r="M741" s="948"/>
      <c r="N741" s="948"/>
      <c r="O741" s="948"/>
      <c r="P741" s="948"/>
      <c r="Q741" s="1107"/>
      <c r="R741" s="1091"/>
      <c r="S741" s="1092"/>
      <c r="T741" s="1092"/>
      <c r="U741" s="1046">
        <v>741</v>
      </c>
      <c r="V741" s="461"/>
    </row>
    <row r="742" spans="1:22" ht="15.75" hidden="1" customHeight="1">
      <c r="A742" s="1180" t="s">
        <v>314</v>
      </c>
      <c r="B742" s="934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8"/>
      <c r="I742" s="948"/>
      <c r="J742" s="948"/>
      <c r="K742" s="948"/>
      <c r="L742" s="1078"/>
      <c r="M742" s="948"/>
      <c r="N742" s="948"/>
      <c r="O742" s="948"/>
      <c r="P742" s="948"/>
      <c r="Q742" s="1107"/>
      <c r="R742" s="1091"/>
      <c r="S742" s="1092"/>
      <c r="T742" s="1092"/>
      <c r="U742" s="1046">
        <v>742</v>
      </c>
      <c r="V742" s="461"/>
    </row>
    <row r="743" spans="1:22" ht="15.75" customHeight="1">
      <c r="A743" s="1075" t="s">
        <v>315</v>
      </c>
      <c r="B743" s="934"/>
      <c r="C743" s="1121">
        <f>IF(Data!BV743="","",Data!BV743)</f>
        <v>22020</v>
      </c>
      <c r="D743" s="1121">
        <f>IF(Data!BW743="","",Data!BW743)</f>
        <v>22020</v>
      </c>
      <c r="E743" s="1121">
        <f>IF(Data!BX743="","",Data!BX743)</f>
        <v>22020</v>
      </c>
      <c r="F743" s="1121">
        <f>IF(Data!BY743="","",Data!BY743)</f>
        <v>6162</v>
      </c>
      <c r="G743" s="1081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82"/>
      <c r="S743" s="1014"/>
      <c r="T743" s="1014"/>
      <c r="U743" s="1046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1"/>
      <c r="H744" s="948"/>
      <c r="I744" s="948"/>
      <c r="J744" s="948"/>
      <c r="K744" s="948"/>
      <c r="L744" s="1081"/>
      <c r="M744" s="1094"/>
      <c r="N744" s="1094"/>
      <c r="O744" s="1094"/>
      <c r="P744" s="1094"/>
      <c r="Q744" s="1107"/>
      <c r="R744" s="843"/>
      <c r="S744" s="843"/>
      <c r="T744" s="843"/>
      <c r="U744" s="1046">
        <v>744</v>
      </c>
      <c r="V744" s="461"/>
    </row>
    <row r="745" spans="1:22" ht="15.75" hidden="1" customHeight="1">
      <c r="A745" s="1180" t="s">
        <v>297</v>
      </c>
      <c r="B745" s="934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8"/>
      <c r="N745" s="948"/>
      <c r="O745" s="948"/>
      <c r="P745" s="948"/>
      <c r="Q745" s="1107"/>
      <c r="R745" s="1091"/>
      <c r="S745" s="1092"/>
      <c r="T745" s="1092"/>
      <c r="U745" s="1046">
        <v>745</v>
      </c>
      <c r="V745" s="461"/>
    </row>
    <row r="746" spans="1:22" ht="15.75" hidden="1" customHeight="1">
      <c r="A746" s="1180" t="s">
        <v>298</v>
      </c>
      <c r="B746" s="934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110">IF(C746&gt;0,C746,"")</f>
        <v/>
      </c>
      <c r="I746" s="1174" t="str">
        <f t="shared" si="110"/>
        <v/>
      </c>
      <c r="J746" s="1174" t="str">
        <f t="shared" si="110"/>
        <v/>
      </c>
      <c r="K746" s="1174" t="str">
        <f t="shared" si="110"/>
        <v/>
      </c>
      <c r="L746" s="1078"/>
      <c r="M746" s="948"/>
      <c r="N746" s="948"/>
      <c r="O746" s="948"/>
      <c r="P746" s="948"/>
      <c r="Q746" s="1107"/>
      <c r="R746" s="1091"/>
      <c r="S746" s="1092"/>
      <c r="T746" s="1092"/>
      <c r="U746" s="1046">
        <v>746</v>
      </c>
      <c r="V746" s="461"/>
    </row>
    <row r="747" spans="1:22" ht="15.75" hidden="1" customHeight="1">
      <c r="A747" s="1180" t="s">
        <v>283</v>
      </c>
      <c r="B747" s="934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110"/>
        <v/>
      </c>
      <c r="I747" s="1174" t="str">
        <f t="shared" si="110"/>
        <v/>
      </c>
      <c r="J747" s="1174" t="str">
        <f t="shared" si="110"/>
        <v/>
      </c>
      <c r="K747" s="1174" t="str">
        <f t="shared" si="110"/>
        <v/>
      </c>
      <c r="L747" s="1078"/>
      <c r="M747" s="948"/>
      <c r="N747" s="948"/>
      <c r="O747" s="948"/>
      <c r="P747" s="948"/>
      <c r="Q747" s="1107"/>
      <c r="R747" s="1091"/>
      <c r="S747" s="1092"/>
      <c r="T747" s="1092"/>
      <c r="U747" s="1046">
        <v>747</v>
      </c>
      <c r="V747" s="461"/>
    </row>
    <row r="748" spans="1:22" ht="15.75" hidden="1" customHeight="1">
      <c r="A748" s="1180" t="s">
        <v>314</v>
      </c>
      <c r="B748" s="934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8"/>
      <c r="I748" s="948"/>
      <c r="J748" s="948"/>
      <c r="K748" s="948"/>
      <c r="L748" s="1078"/>
      <c r="M748" s="948"/>
      <c r="N748" s="948"/>
      <c r="O748" s="948"/>
      <c r="P748" s="948"/>
      <c r="Q748" s="1107"/>
      <c r="R748" s="1091"/>
      <c r="S748" s="1092"/>
      <c r="T748" s="1092"/>
      <c r="U748" s="1046">
        <v>748</v>
      </c>
      <c r="V748" s="461"/>
    </row>
    <row r="749" spans="1:22" ht="15.75" customHeight="1">
      <c r="A749" s="1075" t="s">
        <v>315</v>
      </c>
      <c r="B749" s="934"/>
      <c r="C749" s="1121">
        <f>IF(Data!BV749="","",Data!BV749)</f>
        <v>0</v>
      </c>
      <c r="D749" s="1121">
        <f>IF(Data!BW749="","",Data!BW749)</f>
        <v>0</v>
      </c>
      <c r="E749" s="1121">
        <f>IF(Data!BX749="","",Data!BX749)</f>
        <v>371</v>
      </c>
      <c r="F749" s="1121">
        <f>IF(Data!BY749="","",Data!BY749)</f>
        <v>0</v>
      </c>
      <c r="G749" s="1081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82"/>
      <c r="S749" s="1014"/>
      <c r="T749" s="1014"/>
      <c r="U749" s="1046">
        <v>749</v>
      </c>
      <c r="V749" s="461"/>
    </row>
    <row r="750" spans="1:22" ht="15.75" customHeight="1">
      <c r="A750" s="1351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1"/>
      <c r="H750" s="948"/>
      <c r="I750" s="948"/>
      <c r="J750" s="948"/>
      <c r="K750" s="948"/>
      <c r="L750" s="1081"/>
      <c r="M750" s="1094"/>
      <c r="N750" s="1094"/>
      <c r="O750" s="1094"/>
      <c r="P750" s="1094"/>
      <c r="Q750" s="1107"/>
      <c r="R750" s="843"/>
      <c r="S750" s="843"/>
      <c r="T750" s="843"/>
      <c r="U750" s="1046">
        <v>750</v>
      </c>
      <c r="V750" s="461"/>
    </row>
    <row r="751" spans="1:22" ht="15.75" hidden="1" customHeight="1">
      <c r="A751" s="1180" t="s">
        <v>297</v>
      </c>
      <c r="B751" s="934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8"/>
      <c r="N751" s="948"/>
      <c r="O751" s="948"/>
      <c r="P751" s="948"/>
      <c r="Q751" s="1107"/>
      <c r="R751" s="1091"/>
      <c r="S751" s="1092"/>
      <c r="T751" s="1092"/>
      <c r="U751" s="1046">
        <v>751</v>
      </c>
      <c r="V751" s="461"/>
    </row>
    <row r="752" spans="1:22" ht="15.75" hidden="1" customHeight="1">
      <c r="A752" s="1180" t="s">
        <v>298</v>
      </c>
      <c r="B752" s="934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111">IF(C752&gt;0,C752,"")</f>
        <v/>
      </c>
      <c r="I752" s="1174" t="str">
        <f t="shared" si="111"/>
        <v/>
      </c>
      <c r="J752" s="1174" t="str">
        <f t="shared" si="111"/>
        <v/>
      </c>
      <c r="K752" s="1174" t="str">
        <f t="shared" si="111"/>
        <v/>
      </c>
      <c r="L752" s="1078"/>
      <c r="M752" s="948"/>
      <c r="N752" s="948"/>
      <c r="O752" s="948"/>
      <c r="P752" s="948"/>
      <c r="Q752" s="1107"/>
      <c r="R752" s="1091"/>
      <c r="S752" s="1092"/>
      <c r="T752" s="1092"/>
      <c r="U752" s="1046">
        <v>752</v>
      </c>
      <c r="V752" s="461"/>
    </row>
    <row r="753" spans="1:22" ht="15.75" hidden="1" customHeight="1">
      <c r="A753" s="1180" t="s">
        <v>283</v>
      </c>
      <c r="B753" s="934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111"/>
        <v/>
      </c>
      <c r="I753" s="1174" t="str">
        <f t="shared" si="111"/>
        <v/>
      </c>
      <c r="J753" s="1174" t="str">
        <f t="shared" si="111"/>
        <v/>
      </c>
      <c r="K753" s="1174" t="str">
        <f t="shared" si="111"/>
        <v/>
      </c>
      <c r="L753" s="1078"/>
      <c r="M753" s="948"/>
      <c r="N753" s="948"/>
      <c r="O753" s="948"/>
      <c r="P753" s="948"/>
      <c r="Q753" s="1107"/>
      <c r="R753" s="1091"/>
      <c r="S753" s="1092"/>
      <c r="T753" s="1092"/>
      <c r="U753" s="1046">
        <v>753</v>
      </c>
      <c r="V753" s="461"/>
    </row>
    <row r="754" spans="1:22" ht="15.75" hidden="1" customHeight="1">
      <c r="A754" s="1180" t="s">
        <v>314</v>
      </c>
      <c r="B754" s="934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8"/>
      <c r="I754" s="948"/>
      <c r="J754" s="948"/>
      <c r="K754" s="948"/>
      <c r="L754" s="1078"/>
      <c r="M754" s="948"/>
      <c r="N754" s="948"/>
      <c r="O754" s="948"/>
      <c r="P754" s="948"/>
      <c r="Q754" s="1107"/>
      <c r="R754" s="1091"/>
      <c r="S754" s="1092"/>
      <c r="T754" s="1092"/>
      <c r="U754" s="1046">
        <v>754</v>
      </c>
      <c r="V754" s="461"/>
    </row>
    <row r="755" spans="1:22" ht="15.75" customHeight="1">
      <c r="A755" s="1075" t="s">
        <v>315</v>
      </c>
      <c r="B755" s="934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429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514.79999999999995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85.799999999999955</v>
      </c>
      <c r="P755" s="1098">
        <f>IF(K755="","",SUM(K755)-SUM(F755))</f>
        <v>0</v>
      </c>
      <c r="Q755" s="1107"/>
      <c r="R755" s="882"/>
      <c r="S755" s="1014"/>
      <c r="T755" s="1014"/>
      <c r="U755" s="1046">
        <v>755</v>
      </c>
      <c r="V755" s="461"/>
    </row>
    <row r="756" spans="1:22" ht="15.75" customHeight="1">
      <c r="A756" s="1351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8"/>
      <c r="N756" s="948"/>
      <c r="O756" s="948"/>
      <c r="P756" s="948"/>
      <c r="Q756" s="1107"/>
      <c r="R756" s="1091"/>
      <c r="S756" s="1092"/>
      <c r="T756" s="1092"/>
      <c r="U756" s="1046">
        <v>756</v>
      </c>
      <c r="V756" s="461"/>
    </row>
    <row r="757" spans="1:22" ht="15.75" hidden="1" customHeight="1">
      <c r="A757" s="1180" t="s">
        <v>298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112">IF(C757&gt;0,C757,"")</f>
        <v/>
      </c>
      <c r="I757" s="1174" t="str">
        <f t="shared" si="112"/>
        <v/>
      </c>
      <c r="J757" s="1174" t="str">
        <f t="shared" si="112"/>
        <v/>
      </c>
      <c r="K757" s="1174" t="str">
        <f t="shared" si="112"/>
        <v/>
      </c>
      <c r="L757" s="1078"/>
      <c r="M757" s="948"/>
      <c r="N757" s="948"/>
      <c r="O757" s="948"/>
      <c r="P757" s="948"/>
      <c r="Q757" s="1107"/>
      <c r="R757" s="1091"/>
      <c r="S757" s="1092"/>
      <c r="T757" s="1092"/>
      <c r="U757" s="1046">
        <v>757</v>
      </c>
      <c r="V757" s="461"/>
    </row>
    <row r="758" spans="1:22" ht="15.75" hidden="1" customHeight="1">
      <c r="A758" s="1180" t="s">
        <v>283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112"/>
        <v/>
      </c>
      <c r="I758" s="1174" t="str">
        <f t="shared" si="112"/>
        <v/>
      </c>
      <c r="J758" s="1174" t="str">
        <f t="shared" si="112"/>
        <v/>
      </c>
      <c r="K758" s="1174" t="str">
        <f t="shared" si="112"/>
        <v/>
      </c>
      <c r="L758" s="1078"/>
      <c r="M758" s="948"/>
      <c r="N758" s="948"/>
      <c r="O758" s="948"/>
      <c r="P758" s="948"/>
      <c r="Q758" s="1107"/>
      <c r="R758" s="1091"/>
      <c r="S758" s="1092"/>
      <c r="T758" s="1092"/>
      <c r="U758" s="1046">
        <v>758</v>
      </c>
      <c r="V758" s="461"/>
    </row>
    <row r="759" spans="1:22" ht="15.75" hidden="1" customHeight="1">
      <c r="A759" s="1180" t="s">
        <v>328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112"/>
        <v/>
      </c>
      <c r="I759" s="1174" t="str">
        <f t="shared" si="112"/>
        <v/>
      </c>
      <c r="J759" s="1174" t="str">
        <f t="shared" si="112"/>
        <v/>
      </c>
      <c r="K759" s="1174" t="str">
        <f t="shared" si="112"/>
        <v/>
      </c>
      <c r="L759" s="1078"/>
      <c r="M759" s="948"/>
      <c r="N759" s="948"/>
      <c r="O759" s="948"/>
      <c r="P759" s="948"/>
      <c r="Q759" s="1107"/>
      <c r="R759" s="1091"/>
      <c r="S759" s="1092"/>
      <c r="T759" s="1092"/>
      <c r="U759" s="1046">
        <v>759</v>
      </c>
      <c r="V759" s="461"/>
    </row>
    <row r="760" spans="1:22" ht="15.75" customHeight="1">
      <c r="A760" s="1145" t="s">
        <v>315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2160</v>
      </c>
      <c r="F760" s="1121">
        <f>IF(Data!BY760="","",Data!BY760)</f>
        <v>0</v>
      </c>
      <c r="G760" s="1079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82"/>
      <c r="S760" s="1014"/>
      <c r="T760" s="1014"/>
      <c r="U760" s="1046">
        <v>760</v>
      </c>
      <c r="V760" s="461"/>
    </row>
    <row r="761" spans="1:22" ht="15.75" customHeight="1">
      <c r="A761" s="1353" t="str">
        <f>IF(Data!A761="","",Data!A761)</f>
        <v>Gifts/social support: type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1"/>
      <c r="H761" s="948"/>
      <c r="I761" s="948"/>
      <c r="J761" s="948"/>
      <c r="K761" s="948"/>
      <c r="L761" s="1081"/>
      <c r="M761" s="948"/>
      <c r="N761" s="948"/>
      <c r="O761" s="948"/>
      <c r="P761" s="948"/>
      <c r="Q761" s="1107"/>
      <c r="R761" s="843"/>
      <c r="S761" s="843"/>
      <c r="T761" s="843"/>
      <c r="U761" s="1046">
        <v>761</v>
      </c>
      <c r="V761" s="461"/>
    </row>
    <row r="762" spans="1:22" ht="15.75" customHeight="1">
      <c r="A762" s="1099" t="s">
        <v>298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8"/>
      <c r="N762" s="948"/>
      <c r="O762" s="948"/>
      <c r="P762" s="948"/>
      <c r="Q762" s="1107"/>
      <c r="R762" s="1091"/>
      <c r="S762" s="1092"/>
      <c r="T762" s="1092"/>
      <c r="U762" s="1046">
        <v>762</v>
      </c>
      <c r="V762" s="461"/>
    </row>
    <row r="763" spans="1:22" ht="15.75" customHeight="1">
      <c r="A763" s="1099" t="s">
        <v>283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1"/>
      <c r="H763" s="1174" t="str">
        <f t="shared" ref="H763:K764" si="113">IF(C763&gt;0,C763,"")</f>
        <v/>
      </c>
      <c r="I763" s="1174" t="str">
        <f t="shared" si="113"/>
        <v/>
      </c>
      <c r="J763" s="1174" t="str">
        <f t="shared" si="113"/>
        <v/>
      </c>
      <c r="K763" s="1174" t="str">
        <f t="shared" si="113"/>
        <v/>
      </c>
      <c r="L763" s="1081"/>
      <c r="M763" s="948"/>
      <c r="N763" s="948"/>
      <c r="O763" s="948"/>
      <c r="P763" s="948"/>
      <c r="Q763" s="1107"/>
      <c r="R763" s="1091"/>
      <c r="S763" s="1092"/>
      <c r="T763" s="1092"/>
      <c r="U763" s="1046">
        <v>763</v>
      </c>
      <c r="V763" s="461"/>
    </row>
    <row r="764" spans="1:22" ht="15.75" customHeight="1">
      <c r="A764" s="1099" t="s">
        <v>314</v>
      </c>
      <c r="B764" s="1181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1"/>
      <c r="H764" s="1174" t="str">
        <f t="shared" si="113"/>
        <v/>
      </c>
      <c r="I764" s="1174" t="str">
        <f t="shared" si="113"/>
        <v/>
      </c>
      <c r="J764" s="1174" t="str">
        <f t="shared" si="113"/>
        <v/>
      </c>
      <c r="K764" s="1174" t="str">
        <f t="shared" si="113"/>
        <v/>
      </c>
      <c r="L764" s="1081"/>
      <c r="M764" s="948"/>
      <c r="N764" s="948"/>
      <c r="O764" s="948"/>
      <c r="P764" s="948"/>
      <c r="Q764" s="1107"/>
      <c r="R764" s="1091"/>
      <c r="S764" s="1092"/>
      <c r="T764" s="1092"/>
      <c r="U764" s="1046">
        <v>764</v>
      </c>
      <c r="V764" s="461"/>
    </row>
    <row r="765" spans="1:22" ht="15.75" customHeight="1">
      <c r="A765" s="1075" t="s">
        <v>315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82"/>
      <c r="S765" s="1014"/>
      <c r="T765" s="1014"/>
      <c r="U765" s="1046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1"/>
      <c r="H766" s="948"/>
      <c r="I766" s="948"/>
      <c r="J766" s="948"/>
      <c r="K766" s="948"/>
      <c r="L766" s="1081"/>
      <c r="M766" s="948"/>
      <c r="N766" s="948"/>
      <c r="O766" s="948"/>
      <c r="P766" s="948"/>
      <c r="Q766" s="1107"/>
      <c r="R766" s="843"/>
      <c r="S766" s="843"/>
      <c r="T766" s="843"/>
      <c r="U766" s="1046">
        <v>766</v>
      </c>
      <c r="V766" s="461"/>
    </row>
    <row r="767" spans="1:22" ht="15.75" customHeight="1">
      <c r="A767" s="1180" t="s">
        <v>298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1"/>
      <c r="H767" s="284"/>
      <c r="I767" s="284"/>
      <c r="J767" s="284"/>
      <c r="K767" s="284"/>
      <c r="L767" s="1081"/>
      <c r="M767" s="948"/>
      <c r="N767" s="948"/>
      <c r="O767" s="948"/>
      <c r="P767" s="948"/>
      <c r="Q767" s="1107"/>
      <c r="R767" s="1091"/>
      <c r="S767" s="1092"/>
      <c r="T767" s="1092"/>
      <c r="U767" s="1046">
        <v>767</v>
      </c>
      <c r="V767" s="461"/>
    </row>
    <row r="768" spans="1:22" ht="15.75" customHeight="1">
      <c r="A768" s="1180" t="s">
        <v>283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1"/>
      <c r="H768" s="284"/>
      <c r="I768" s="284"/>
      <c r="J768" s="284"/>
      <c r="K768" s="284"/>
      <c r="L768" s="1081"/>
      <c r="M768" s="948"/>
      <c r="N768" s="948"/>
      <c r="O768" s="948"/>
      <c r="P768" s="948"/>
      <c r="Q768" s="1107"/>
      <c r="R768" s="1091"/>
      <c r="S768" s="1092"/>
      <c r="T768" s="1092"/>
      <c r="U768" s="1046">
        <v>768</v>
      </c>
      <c r="V768" s="461"/>
    </row>
    <row r="769" spans="1:22" ht="15.75" customHeight="1">
      <c r="A769" s="1180" t="s">
        <v>314</v>
      </c>
      <c r="B769" s="1181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1"/>
      <c r="H769" s="284"/>
      <c r="I769" s="284"/>
      <c r="J769" s="284"/>
      <c r="K769" s="284"/>
      <c r="L769" s="1081"/>
      <c r="M769" s="948"/>
      <c r="N769" s="948"/>
      <c r="O769" s="948"/>
      <c r="P769" s="948"/>
      <c r="Q769" s="1107"/>
      <c r="R769" s="1091"/>
      <c r="S769" s="1092"/>
      <c r="T769" s="1092"/>
      <c r="U769" s="1046">
        <v>769</v>
      </c>
      <c r="V769" s="461"/>
    </row>
    <row r="770" spans="1:22" ht="15.75" customHeight="1">
      <c r="A770" s="1075" t="s">
        <v>315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>
        <f>IF(SUM(E767)=0,"",E767*E768*E769)</f>
        <v>1600</v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82"/>
      <c r="S770" s="1014"/>
      <c r="T770" s="1014"/>
      <c r="U770" s="1046">
        <v>770</v>
      </c>
      <c r="V770" s="461"/>
    </row>
    <row r="771" spans="1:22" ht="15.75" customHeight="1">
      <c r="A771" s="1165" t="s">
        <v>331</v>
      </c>
      <c r="B771" s="1181"/>
      <c r="C771" s="751"/>
      <c r="D771" s="751"/>
      <c r="E771" s="751"/>
      <c r="F771" s="990"/>
      <c r="G771" s="1081"/>
      <c r="H771" s="948"/>
      <c r="I771" s="948"/>
      <c r="J771" s="948"/>
      <c r="K771" s="948"/>
      <c r="L771" s="1081"/>
      <c r="M771" s="1094"/>
      <c r="N771" s="1094"/>
      <c r="O771" s="1094"/>
      <c r="P771" s="1094"/>
      <c r="Q771" s="1107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1"/>
      <c r="C772" s="1101">
        <f>IF(Data!BV772="","",Data!BV772)</f>
        <v>132</v>
      </c>
      <c r="D772" s="1101">
        <f>IF(Data!BW772="","",Data!BW772)</f>
        <v>132</v>
      </c>
      <c r="E772" s="1101">
        <f>IF(Data!BX772="","",Data!BX772)</f>
        <v>180</v>
      </c>
      <c r="F772" s="1101">
        <f>IF(Data!BY772="","",Data!BY772)</f>
        <v>180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320</v>
      </c>
      <c r="J772" s="1168">
        <f>IF(J$46="","",IF('Exp factors'!$B71="poor",'Exp factors'!$G$71*J$46,SUM(E772)*'Exp factors'!E$71))</f>
        <v>320</v>
      </c>
      <c r="K772" s="1168">
        <f>IF(K$46="","",IF('Exp factors'!$B71="poor",'Exp factors'!$G$71*K$46,SUM(F772)*'Exp factors'!F$71))</f>
        <v>360</v>
      </c>
      <c r="L772" s="1376"/>
      <c r="M772" s="1377">
        <f t="shared" ref="M772:P776" si="114">IF(H772="","",SUM(H772)-SUM(C772))</f>
        <v>188</v>
      </c>
      <c r="N772" s="1377">
        <f t="shared" si="114"/>
        <v>188</v>
      </c>
      <c r="O772" s="1377">
        <f t="shared" si="114"/>
        <v>140</v>
      </c>
      <c r="P772" s="1377">
        <f t="shared" si="114"/>
        <v>180</v>
      </c>
      <c r="Q772" s="1107" t="str">
        <f>'Exp factors'!I71</f>
        <v>lbpl</v>
      </c>
      <c r="R772" s="1091"/>
      <c r="S772" s="1092"/>
      <c r="T772" s="1092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1"/>
      <c r="C773" s="1101">
        <f>IF(Data!BV773="","",Data!BV773)</f>
        <v>60</v>
      </c>
      <c r="D773" s="1101">
        <f>IF(Data!BW773="","",Data!BW773)</f>
        <v>60</v>
      </c>
      <c r="E773" s="1101">
        <f>IF(Data!BX773="","",Data!BX773)</f>
        <v>60</v>
      </c>
      <c r="F773" s="1101">
        <f>IF(Data!BY773="","",Data!BY773)</f>
        <v>60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120</v>
      </c>
      <c r="J773" s="1168">
        <f>IF(J$46="","",IF('Exp factors'!$B72="poor",'Exp factors'!$G$72*J$46,SUM(E773)*'Exp factors'!E$72))</f>
        <v>120</v>
      </c>
      <c r="K773" s="1168">
        <f>IF(K$46="","",IF('Exp factors'!$B72="poor",'Exp factors'!$G$72*K$46,SUM(F773)*'Exp factors'!F$72))</f>
        <v>135</v>
      </c>
      <c r="L773" s="1376"/>
      <c r="M773" s="1377">
        <f t="shared" si="114"/>
        <v>60</v>
      </c>
      <c r="N773" s="1377">
        <f t="shared" si="114"/>
        <v>60</v>
      </c>
      <c r="O773" s="1377">
        <f t="shared" si="114"/>
        <v>60</v>
      </c>
      <c r="P773" s="1377">
        <f t="shared" si="114"/>
        <v>75</v>
      </c>
      <c r="Q773" s="1107" t="str">
        <f>'Exp factors'!I72</f>
        <v>lbpl</v>
      </c>
      <c r="R773" s="1091"/>
      <c r="S773" s="1092"/>
      <c r="T773" s="1092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1"/>
      <c r="C774" s="1101">
        <f>IF(Data!BV774="","",Data!BV774)</f>
        <v>300</v>
      </c>
      <c r="D774" s="1101">
        <f>IF(Data!BW774="","",Data!BW774)</f>
        <v>300</v>
      </c>
      <c r="E774" s="1101">
        <f>IF(Data!BX774="","",Data!BX774)</f>
        <v>540</v>
      </c>
      <c r="F774" s="1101">
        <f>IF(Data!BY774="","",Data!BY774)</f>
        <v>600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800</v>
      </c>
      <c r="J774" s="1168">
        <f>IF(J$46="","",IF('Exp factors'!$B73="poor",'Exp factors'!$G$73*J$46,SUM(E774)*'Exp factors'!E$73))</f>
        <v>800</v>
      </c>
      <c r="K774" s="1168">
        <f>IF(K$46="","",IF('Exp factors'!$B73="poor",'Exp factors'!$G$73*K$46,SUM(F774)*'Exp factors'!F$73))</f>
        <v>900</v>
      </c>
      <c r="L774" s="1376"/>
      <c r="M774" s="1377">
        <f t="shared" si="114"/>
        <v>500</v>
      </c>
      <c r="N774" s="1377">
        <f t="shared" si="114"/>
        <v>500</v>
      </c>
      <c r="O774" s="1377">
        <f t="shared" si="114"/>
        <v>260</v>
      </c>
      <c r="P774" s="1377">
        <f t="shared" si="114"/>
        <v>300</v>
      </c>
      <c r="Q774" s="1107" t="str">
        <f>'Exp factors'!I73</f>
        <v>lbpl</v>
      </c>
      <c r="R774" s="1091"/>
      <c r="S774" s="1092"/>
      <c r="T774" s="1092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1"/>
      <c r="C775" s="1101">
        <f>IF(Data!BV775="","",Data!BV775)</f>
        <v>420</v>
      </c>
      <c r="D775" s="1101">
        <f>IF(Data!BW775="","",Data!BW775)</f>
        <v>420</v>
      </c>
      <c r="E775" s="1101">
        <f>IF(Data!BX775="","",Data!BX775)</f>
        <v>1200</v>
      </c>
      <c r="F775" s="1101">
        <f>IF(Data!BY775="","",Data!BY775)</f>
        <v>1800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800</v>
      </c>
      <c r="J775" s="1168">
        <f>IF(J$46="","",IF('Exp factors'!$B74="poor",'Exp factors'!$G$74*J$46,SUM(E775)*'Exp factors'!E$74))</f>
        <v>800</v>
      </c>
      <c r="K775" s="1168">
        <f>IF(K$46="","",IF('Exp factors'!$B74="poor",'Exp factors'!$G$74*K$46,SUM(F775)*'Exp factors'!F$74))</f>
        <v>900</v>
      </c>
      <c r="L775" s="1376"/>
      <c r="M775" s="1377">
        <f t="shared" si="114"/>
        <v>380</v>
      </c>
      <c r="N775" s="1377">
        <f t="shared" si="114"/>
        <v>380</v>
      </c>
      <c r="O775" s="1377">
        <f t="shared" si="114"/>
        <v>-400</v>
      </c>
      <c r="P775" s="1377">
        <f t="shared" si="114"/>
        <v>-900</v>
      </c>
      <c r="Q775" s="1107" t="str">
        <f>'Exp factors'!I74</f>
        <v>lbpl</v>
      </c>
      <c r="R775" s="1091"/>
      <c r="S775" s="1092"/>
      <c r="T775" s="1092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1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0</v>
      </c>
      <c r="K776" s="1168">
        <f>IF(K$46="","",IF('Exp factors'!$B75="poor",'Exp factors'!$G$75*K$46,SUM(F776)*'Exp factors'!F$75))</f>
        <v>0</v>
      </c>
      <c r="L776" s="1376"/>
      <c r="M776" s="1377">
        <f t="shared" si="114"/>
        <v>0</v>
      </c>
      <c r="N776" s="1377">
        <f t="shared" si="114"/>
        <v>0</v>
      </c>
      <c r="O776" s="1377">
        <f t="shared" si="114"/>
        <v>0</v>
      </c>
      <c r="P776" s="1377">
        <f t="shared" si="114"/>
        <v>0</v>
      </c>
      <c r="Q776" s="1107" t="str">
        <f>'Exp factors'!I75</f>
        <v>des</v>
      </c>
      <c r="R776" s="1091"/>
      <c r="S776" s="1092"/>
      <c r="T776" s="1092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1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1"/>
      <c r="H777" s="948"/>
      <c r="I777" s="948"/>
      <c r="J777" s="948"/>
      <c r="K777" s="948"/>
      <c r="L777" s="1376"/>
      <c r="M777" s="1378"/>
      <c r="N777" s="1378"/>
      <c r="O777" s="1378"/>
      <c r="P777" s="1378"/>
      <c r="Q777" s="1019">
        <f>SUMIF($Q$772:$Q$776,"lbpl",I$772:I$776)</f>
        <v>2040</v>
      </c>
      <c r="R777" s="843"/>
      <c r="S777" s="843"/>
      <c r="T777" s="843"/>
      <c r="U777" s="1046">
        <v>777</v>
      </c>
      <c r="V777" s="461"/>
    </row>
    <row r="778" spans="1:22" ht="15.75" customHeight="1">
      <c r="A778" s="1099" t="s">
        <v>282</v>
      </c>
      <c r="B778" s="1181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133.33333333333334</v>
      </c>
      <c r="J778" s="1168">
        <f>IF(J$46="","",IF('Exp factors'!$B90="poor",'Exp factors'!$G$90*J$46,SUM(E778)*'Exp factors'!E$90))</f>
        <v>133.33333333333334</v>
      </c>
      <c r="K778" s="1168">
        <f>IF(K$46="","",IF('Exp factors'!$B90="poor",'Exp factors'!$G$90*K$46,SUM(F778)*'Exp factors'!F$90))</f>
        <v>150</v>
      </c>
      <c r="L778" s="1376"/>
      <c r="M778" s="1378"/>
      <c r="N778" s="1378"/>
      <c r="O778" s="1378"/>
      <c r="P778" s="1378"/>
      <c r="Q778" s="1107">
        <f>+SUMIF($Q$781:$Q$785,"lbpl",I$781:I$785)</f>
        <v>1600</v>
      </c>
      <c r="R778" s="1091"/>
      <c r="S778" s="1092"/>
      <c r="T778" s="1092"/>
      <c r="U778" s="1046">
        <v>778</v>
      </c>
      <c r="V778" s="461"/>
    </row>
    <row r="779" spans="1:22" ht="15.75" customHeight="1">
      <c r="A779" s="1099" t="s">
        <v>283</v>
      </c>
      <c r="B779" s="1181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1"/>
      <c r="H779" s="1168">
        <f>IF(H$46="","",IF('Exp factors'!$B90="poor",SUM($D779),SUM(C779)))</f>
        <v>12</v>
      </c>
      <c r="I779" s="1168">
        <f>IF(I$46="","",IF('Exp factors'!$B90="poor",SUM($D779),SUM(D779)))</f>
        <v>12</v>
      </c>
      <c r="J779" s="1168">
        <f>IF(J$46="","",IF('Exp factors'!$B90="poor",SUM($D779),SUM(E779)))</f>
        <v>12</v>
      </c>
      <c r="K779" s="1168">
        <f>IF(K$46="","",IF('Exp factors'!$B90="poor",SUM($D779),SUM(F779)))</f>
        <v>12</v>
      </c>
      <c r="L779" s="1376"/>
      <c r="M779" s="1378"/>
      <c r="N779" s="1378"/>
      <c r="O779" s="1378"/>
      <c r="P779" s="1378"/>
      <c r="Q779" s="1192">
        <f>+SUMIF($Q$790:$Q$810,"lbpl",I$790:I$810)</f>
        <v>10338.666666666668</v>
      </c>
      <c r="R779" s="1091"/>
      <c r="S779" s="1092"/>
      <c r="T779" s="1092"/>
      <c r="U779" s="1046">
        <v>779</v>
      </c>
      <c r="V779" s="461"/>
    </row>
    <row r="780" spans="1:22" ht="15.75" customHeight="1">
      <c r="A780" s="1099" t="s">
        <v>339</v>
      </c>
      <c r="B780" s="1181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1"/>
      <c r="H780" s="948"/>
      <c r="I780" s="948"/>
      <c r="J780" s="948"/>
      <c r="K780" s="948"/>
      <c r="L780" s="1376"/>
      <c r="M780" s="1378"/>
      <c r="N780" s="1378"/>
      <c r="O780" s="1378"/>
      <c r="P780" s="1378"/>
      <c r="Q780" s="1595">
        <f>SUM(Q777:Q779)</f>
        <v>13978.666666666668</v>
      </c>
      <c r="R780" s="1091"/>
      <c r="S780" s="1092"/>
      <c r="T780" s="1092"/>
      <c r="U780" s="1046">
        <v>780</v>
      </c>
      <c r="V780" s="461"/>
    </row>
    <row r="781" spans="1:22" ht="15.75" customHeight="1">
      <c r="A781" s="1099" t="s">
        <v>286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IF(SUM(H778)*SUM(H779)*SUM(C780)=0,"",H778*H779*C780)</f>
        <v/>
      </c>
      <c r="I781" s="1098" t="str">
        <f t="shared" ref="I781:K781" si="115">IF(SUM(I778)*SUM(I779)*SUM(D780)=0,"",I778*I779*D780)</f>
        <v/>
      </c>
      <c r="J781" s="1098" t="str">
        <f t="shared" si="115"/>
        <v/>
      </c>
      <c r="K781" s="1098" t="str">
        <f t="shared" si="115"/>
        <v/>
      </c>
      <c r="L781" s="1379"/>
      <c r="M781" s="1377" t="str">
        <f t="shared" ref="M781:P785" si="116">IF(H781="","",SUM(H781)-SUM(C781))</f>
        <v/>
      </c>
      <c r="N781" s="1377" t="str">
        <f t="shared" si="116"/>
        <v/>
      </c>
      <c r="O781" s="1377" t="str">
        <f t="shared" si="116"/>
        <v/>
      </c>
      <c r="P781" s="1377" t="str">
        <f t="shared" si="116"/>
        <v/>
      </c>
      <c r="Q781" s="1107" t="str">
        <f>'Exp factors'!I90</f>
        <v>lbpl</v>
      </c>
      <c r="R781" s="1091"/>
      <c r="S781" s="1092"/>
      <c r="T781" s="1092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1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1600</v>
      </c>
      <c r="J782" s="1168">
        <f>IF(J$46="","",IF('Exp factors'!$B76="poor",'Exp factors'!$G$76*J$46,SUM(E782)*'Exp factors'!E$76))</f>
        <v>1600</v>
      </c>
      <c r="K782" s="1168">
        <f>IF(K$46="","",IF('Exp factors'!$B76="poor",'Exp factors'!$G$76*K$46,SUM(F782)*'Exp factors'!F$76))</f>
        <v>1800</v>
      </c>
      <c r="L782" s="1376"/>
      <c r="M782" s="1377">
        <f t="shared" si="116"/>
        <v>1600</v>
      </c>
      <c r="N782" s="1377">
        <f t="shared" si="116"/>
        <v>1600</v>
      </c>
      <c r="O782" s="1377">
        <f t="shared" si="116"/>
        <v>1600</v>
      </c>
      <c r="P782" s="1377">
        <f t="shared" si="116"/>
        <v>1800</v>
      </c>
      <c r="Q782" s="1107" t="str">
        <f>'Exp factors'!I76</f>
        <v>lbpl</v>
      </c>
      <c r="R782" s="1091"/>
      <c r="S782" s="1092"/>
      <c r="T782" s="1092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1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60</v>
      </c>
      <c r="J783" s="1168">
        <f>IF(J$46="","",IF('Exp factors'!$B77="poor",'Exp factors'!$G$77*J$46,SUM(E783)*'Exp factors'!E$77))</f>
        <v>60</v>
      </c>
      <c r="K783" s="1168">
        <f>IF(K$46="","",IF('Exp factors'!$B77="poor",'Exp factors'!$G$77*K$46,SUM(F783)*'Exp factors'!F$77))</f>
        <v>60</v>
      </c>
      <c r="L783" s="1376"/>
      <c r="M783" s="1377">
        <f t="shared" si="116"/>
        <v>0</v>
      </c>
      <c r="N783" s="1377">
        <f t="shared" si="116"/>
        <v>0</v>
      </c>
      <c r="O783" s="1377">
        <f t="shared" si="116"/>
        <v>0</v>
      </c>
      <c r="P783" s="1377">
        <f t="shared" si="116"/>
        <v>0</v>
      </c>
      <c r="Q783" s="1107" t="str">
        <f>'Exp factors'!I77</f>
        <v>des</v>
      </c>
      <c r="R783" s="1091"/>
      <c r="S783" s="1092"/>
      <c r="T783" s="1092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1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480</v>
      </c>
      <c r="J784" s="1168">
        <f>IF(J$46="","",IF('Exp factors'!$B96="poor",'Exp factors'!$G$96*J$46,SUM(E784)*'Exp factors'!E$96))</f>
        <v>750</v>
      </c>
      <c r="K784" s="1168">
        <f>IF(K$46="","",IF('Exp factors'!$B96="poor",'Exp factors'!$G$96*K$46,SUM(F784)*'Exp factors'!F$96))</f>
        <v>1500</v>
      </c>
      <c r="L784" s="1376"/>
      <c r="M784" s="1377">
        <f t="shared" si="116"/>
        <v>0</v>
      </c>
      <c r="N784" s="1377">
        <f t="shared" si="116"/>
        <v>0</v>
      </c>
      <c r="O784" s="1377">
        <f t="shared" si="116"/>
        <v>0</v>
      </c>
      <c r="P784" s="1377">
        <f t="shared" si="116"/>
        <v>0</v>
      </c>
      <c r="Q784" s="1107" t="str">
        <f>'Exp factors'!I96</f>
        <v>des</v>
      </c>
      <c r="R784" s="1091"/>
      <c r="S784" s="1092"/>
      <c r="T784" s="1092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1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6"/>
      <c r="M785" s="1377">
        <f t="shared" si="116"/>
        <v>0</v>
      </c>
      <c r="N785" s="1377">
        <f t="shared" si="116"/>
        <v>0</v>
      </c>
      <c r="O785" s="1377">
        <f t="shared" si="116"/>
        <v>0</v>
      </c>
      <c r="P785" s="1377">
        <f t="shared" si="116"/>
        <v>0</v>
      </c>
      <c r="Q785" s="1107" t="str">
        <f>'Exp factors'!I97</f>
        <v>des</v>
      </c>
      <c r="R785" s="1091"/>
      <c r="S785" s="1092"/>
      <c r="T785" s="1092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1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1"/>
      <c r="H786" s="948"/>
      <c r="I786" s="948"/>
      <c r="J786" s="948"/>
      <c r="K786" s="948"/>
      <c r="L786" s="1376"/>
      <c r="M786" s="1378"/>
      <c r="N786" s="1378"/>
      <c r="O786" s="1378"/>
      <c r="P786" s="1378"/>
      <c r="Q786" s="1107"/>
      <c r="R786" s="843"/>
      <c r="S786" s="843"/>
      <c r="T786" s="843"/>
      <c r="U786" s="1046">
        <v>786</v>
      </c>
      <c r="V786" s="461"/>
    </row>
    <row r="787" spans="1:22" ht="15.75" customHeight="1">
      <c r="A787" s="1099" t="s">
        <v>282</v>
      </c>
      <c r="B787" s="1181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6"/>
      <c r="M787" s="1378"/>
      <c r="N787" s="1378"/>
      <c r="O787" s="1378"/>
      <c r="P787" s="1378"/>
      <c r="R787" s="1091"/>
      <c r="S787" s="1092"/>
      <c r="T787" s="1092"/>
      <c r="U787" s="1046">
        <v>787</v>
      </c>
      <c r="V787" s="461"/>
    </row>
    <row r="788" spans="1:22" ht="15.75" customHeight="1">
      <c r="A788" s="1099" t="s">
        <v>283</v>
      </c>
      <c r="B788" s="1181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6"/>
      <c r="M788" s="1378"/>
      <c r="N788" s="1378"/>
      <c r="O788" s="1378"/>
      <c r="P788" s="1378"/>
      <c r="Q788" s="1107"/>
      <c r="R788" s="1091"/>
      <c r="S788" s="1092"/>
      <c r="T788" s="1092"/>
      <c r="U788" s="1046">
        <v>788</v>
      </c>
      <c r="V788" s="461"/>
    </row>
    <row r="789" spans="1:22" ht="15.75" customHeight="1">
      <c r="A789" s="1099" t="s">
        <v>339</v>
      </c>
      <c r="B789" s="1181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1"/>
      <c r="H789" s="948"/>
      <c r="I789" s="948"/>
      <c r="J789" s="948"/>
      <c r="K789" s="948"/>
      <c r="L789" s="1376"/>
      <c r="M789" s="1378"/>
      <c r="N789" s="1378"/>
      <c r="O789" s="1378"/>
      <c r="P789" s="1378"/>
      <c r="Q789" s="1107"/>
      <c r="R789" s="1091"/>
      <c r="S789" s="1092"/>
      <c r="T789" s="1092"/>
      <c r="U789" s="1046">
        <v>789</v>
      </c>
      <c r="V789" s="461"/>
    </row>
    <row r="790" spans="1:22" ht="15.75" customHeight="1">
      <c r="A790" s="1099" t="s">
        <v>286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79"/>
      <c r="M790" s="1377" t="str">
        <f t="shared" ref="M790:M810" si="117">IF(H790="","",SUM(H790)-SUM(C790))</f>
        <v/>
      </c>
      <c r="N790" s="1377" t="str">
        <f t="shared" ref="N790:P810" si="118">IF(I790="","",SUM(I790)-SUM(D790))</f>
        <v/>
      </c>
      <c r="O790" s="1377" t="str">
        <f t="shared" si="118"/>
        <v/>
      </c>
      <c r="P790" s="1377" t="str">
        <f t="shared" si="118"/>
        <v/>
      </c>
      <c r="Q790" s="1107" t="str">
        <f>'Exp factors'!I91</f>
        <v>des</v>
      </c>
      <c r="R790" s="1091"/>
      <c r="S790" s="1092"/>
      <c r="T790" s="1092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1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1"/>
      <c r="H791" s="1593">
        <f>IF(H$46="","",IF('Exp factors'!$B98="poor",'Exp factors'!$G$98*H$46,SUM(C791)*'Exp factors'!C$98))</f>
        <v>850</v>
      </c>
      <c r="I791" s="1593">
        <f>IF(I$46="","",IF('Exp factors'!$B98="poor",'Exp factors'!$G$98*I$46,SUM(D791)*'Exp factors'!D$98))</f>
        <v>900</v>
      </c>
      <c r="J791" s="1593">
        <f>IF(J$46="","",IF('Exp factors'!$B98="poor",'Exp factors'!$G$98*J$46,SUM(E791)*'Exp factors'!E$98))</f>
        <v>1000</v>
      </c>
      <c r="K791" s="1593">
        <f>IF(K$46="","",IF('Exp factors'!$B98="poor",'Exp factors'!$G$98*K$46,SUM(F791)*'Exp factors'!F$98))</f>
        <v>1500</v>
      </c>
      <c r="L791" s="1376"/>
      <c r="M791" s="1594">
        <f t="shared" si="117"/>
        <v>0</v>
      </c>
      <c r="N791" s="1594">
        <f t="shared" si="118"/>
        <v>0</v>
      </c>
      <c r="O791" s="1594">
        <f t="shared" si="118"/>
        <v>0</v>
      </c>
      <c r="P791" s="1594">
        <f t="shared" si="118"/>
        <v>0</v>
      </c>
      <c r="Q791" s="1107" t="str">
        <f>'Exp factors'!I98</f>
        <v>des</v>
      </c>
      <c r="R791" s="1091"/>
      <c r="S791" s="1092"/>
      <c r="T791" s="1092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1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78"/>
      <c r="H792" s="1593">
        <f>IF(H$46="","",IF('Exp factors'!$B99="poor",'Exp factors'!$G$99*H$46,SUM(C792)*'Exp factors'!C$99))</f>
        <v>350</v>
      </c>
      <c r="I792" s="1593">
        <f>IF(I$46="","",IF('Exp factors'!$B99="poor",'Exp factors'!$G$99*I$46,SUM(D792)*'Exp factors'!D$99))</f>
        <v>350</v>
      </c>
      <c r="J792" s="1593">
        <f>IF(J$46="","",IF('Exp factors'!$B99="poor",'Exp factors'!$G$99*J$46,SUM(E792)*'Exp factors'!E$99))</f>
        <v>350</v>
      </c>
      <c r="K792" s="1593">
        <f>IF(K$46="","",IF('Exp factors'!$B99="poor",'Exp factors'!$G$99*K$46,SUM(F792)*'Exp factors'!F$99))</f>
        <v>350</v>
      </c>
      <c r="L792" s="1380"/>
      <c r="M792" s="1594">
        <f t="shared" si="117"/>
        <v>0</v>
      </c>
      <c r="N792" s="1594">
        <f t="shared" si="118"/>
        <v>0</v>
      </c>
      <c r="O792" s="1594">
        <f t="shared" si="118"/>
        <v>0</v>
      </c>
      <c r="P792" s="1594">
        <f t="shared" si="118"/>
        <v>0</v>
      </c>
      <c r="Q792" s="1107" t="str">
        <f>'Exp factors'!I99</f>
        <v>des</v>
      </c>
      <c r="R792" s="1091"/>
      <c r="S792" s="1092"/>
      <c r="T792" s="1092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1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05"/>
      <c r="H793" s="1593">
        <f>IF(H$46="","",IF('Exp factors'!$B100="poor",'Exp factors'!$G$100*H$46,SUM(C793)*'Exp factors'!C$100))</f>
        <v>0</v>
      </c>
      <c r="I793" s="1593">
        <f>IF(I$46="","",IF('Exp factors'!$B100="poor",'Exp factors'!$G$100*I$46,SUM(D793)*'Exp factors'!D$100))</f>
        <v>0</v>
      </c>
      <c r="J793" s="1593">
        <f>IF(J$46="","",IF('Exp factors'!$B100="poor",'Exp factors'!$G$100*J$46,SUM(E793)*'Exp factors'!E$100))</f>
        <v>0</v>
      </c>
      <c r="K793" s="1593">
        <f>IF(K$46="","",IF('Exp factors'!$B100="poor",'Exp factors'!$G$100*K$46,SUM(F793)*'Exp factors'!F$100))</f>
        <v>0</v>
      </c>
      <c r="L793" s="1380"/>
      <c r="M793" s="1594">
        <f t="shared" si="117"/>
        <v>0</v>
      </c>
      <c r="N793" s="1594">
        <f t="shared" si="118"/>
        <v>0</v>
      </c>
      <c r="O793" s="1594">
        <f t="shared" si="118"/>
        <v>0</v>
      </c>
      <c r="P793" s="1594">
        <f t="shared" si="118"/>
        <v>0</v>
      </c>
      <c r="Q793" s="1107" t="str">
        <f>'Exp factors'!I100</f>
        <v>des</v>
      </c>
      <c r="R793" s="1091"/>
      <c r="S793" s="1092"/>
      <c r="T793" s="1092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1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78"/>
      <c r="H794" s="1593">
        <f>IF(H$46="","",IF('Exp factors'!$B101="poor",'Exp factors'!$G$101*H$46,SUM(C794)*'Exp factors'!C$101))</f>
        <v>0</v>
      </c>
      <c r="I794" s="1593">
        <f>IF(I$46="","",IF('Exp factors'!$B101="poor",'Exp factors'!$G$101*I$46,SUM(D794)*'Exp factors'!D$101))</f>
        <v>0</v>
      </c>
      <c r="J794" s="1593">
        <f>IF(J$46="","",IF('Exp factors'!$B101="poor",'Exp factors'!$G$101*J$46,SUM(E794)*'Exp factors'!E$101))</f>
        <v>0</v>
      </c>
      <c r="K794" s="1593">
        <f>IF(K$46="","",IF('Exp factors'!$B101="poor",'Exp factors'!$G$101*K$46,SUM(F794)*'Exp factors'!F$101))</f>
        <v>0</v>
      </c>
      <c r="L794" s="1380"/>
      <c r="M794" s="1594">
        <f t="shared" si="117"/>
        <v>0</v>
      </c>
      <c r="N794" s="1594">
        <f t="shared" si="118"/>
        <v>0</v>
      </c>
      <c r="O794" s="1594">
        <f t="shared" si="118"/>
        <v>0</v>
      </c>
      <c r="P794" s="1594">
        <f t="shared" si="118"/>
        <v>0</v>
      </c>
      <c r="Q794" s="1107" t="str">
        <f>'Exp factors'!I101</f>
        <v>des</v>
      </c>
      <c r="R794" s="1091"/>
      <c r="S794" s="1092"/>
      <c r="T794" s="1092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1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78"/>
      <c r="H795" s="1593">
        <f>IF(H$46="","",IF('Exp factors'!$B102="poor",'Exp factors'!$G$102*H$46,SUM(C795)*'Exp factors'!C$102))</f>
        <v>0</v>
      </c>
      <c r="I795" s="1593">
        <f>IF(I$46="","",IF('Exp factors'!$B102="poor",'Exp factors'!$G$102*I$46,SUM(D795)*'Exp factors'!D$102))</f>
        <v>0</v>
      </c>
      <c r="J795" s="1593">
        <f>IF(J$46="","",IF('Exp factors'!$B102="poor",'Exp factors'!$G$102*J$46,SUM(E795)*'Exp factors'!E$102))</f>
        <v>1300</v>
      </c>
      <c r="K795" s="1593">
        <f>IF(K$46="","",IF('Exp factors'!$B102="poor",'Exp factors'!$G$102*K$46,SUM(F795)*'Exp factors'!F$102))</f>
        <v>5000</v>
      </c>
      <c r="L795" s="1380"/>
      <c r="M795" s="1594">
        <f t="shared" si="117"/>
        <v>0</v>
      </c>
      <c r="N795" s="1594">
        <f t="shared" si="118"/>
        <v>0</v>
      </c>
      <c r="O795" s="1594">
        <f t="shared" si="118"/>
        <v>0</v>
      </c>
      <c r="P795" s="1594">
        <f t="shared" si="118"/>
        <v>0</v>
      </c>
      <c r="Q795" s="1107" t="str">
        <f>'Exp factors'!I102</f>
        <v>des</v>
      </c>
      <c r="R795" s="1091"/>
      <c r="S795" s="1092"/>
      <c r="T795" s="1092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1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78"/>
      <c r="H796" s="1593">
        <f>IF(H$46="","",IF('Exp factors'!$B103="poor",'Exp factors'!$G$103*H$46,SUM(C796)*'Exp factors'!C$103))</f>
        <v>0</v>
      </c>
      <c r="I796" s="1593">
        <f>IF(I$46="","",IF('Exp factors'!$B103="poor",'Exp factors'!$G$103*I$46,SUM(D796)*'Exp factors'!D$103))</f>
        <v>0</v>
      </c>
      <c r="J796" s="1593">
        <f>IF(J$46="","",IF('Exp factors'!$B103="poor",'Exp factors'!$G$103*J$46,SUM(E796)*'Exp factors'!E$103))</f>
        <v>0</v>
      </c>
      <c r="K796" s="1593">
        <f>IF(K$46="","",IF('Exp factors'!$B103="poor",'Exp factors'!$G$103*K$46,SUM(F796)*'Exp factors'!F$103))</f>
        <v>0</v>
      </c>
      <c r="L796" s="1380"/>
      <c r="M796" s="1594">
        <f t="shared" si="117"/>
        <v>0</v>
      </c>
      <c r="N796" s="1594">
        <f t="shared" si="118"/>
        <v>0</v>
      </c>
      <c r="O796" s="1594">
        <f t="shared" si="118"/>
        <v>0</v>
      </c>
      <c r="P796" s="1594">
        <f t="shared" si="118"/>
        <v>0</v>
      </c>
      <c r="Q796" s="1107" t="str">
        <f>'Exp factors'!I103</f>
        <v>des</v>
      </c>
      <c r="R796" s="1091"/>
      <c r="S796" s="1092"/>
      <c r="T796" s="1092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1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78"/>
      <c r="H797" s="1593">
        <f>IF(H$46="","",IF('Exp factors'!$B104="poor",'Exp factors'!$G$104*H$46,SUM(C797)*'Exp factors'!C$104))</f>
        <v>0</v>
      </c>
      <c r="I797" s="1593">
        <f>IF(I$46="","",IF('Exp factors'!$B104="poor",'Exp factors'!$G$104*I$46,SUM(D797)*'Exp factors'!D$104))</f>
        <v>0</v>
      </c>
      <c r="J797" s="1593">
        <f>IF(J$46="","",IF('Exp factors'!$B104="poor",'Exp factors'!$G$104*J$46,SUM(E797)*'Exp factors'!E$104))</f>
        <v>100</v>
      </c>
      <c r="K797" s="1593">
        <f>IF(K$46="","",IF('Exp factors'!$B104="poor",'Exp factors'!$G$104*K$46,SUM(F797)*'Exp factors'!F$104))</f>
        <v>0</v>
      </c>
      <c r="L797" s="1380"/>
      <c r="M797" s="1594">
        <f t="shared" si="117"/>
        <v>0</v>
      </c>
      <c r="N797" s="1594">
        <f t="shared" si="118"/>
        <v>0</v>
      </c>
      <c r="O797" s="1594">
        <f t="shared" si="118"/>
        <v>0</v>
      </c>
      <c r="P797" s="1594">
        <f t="shared" si="118"/>
        <v>0</v>
      </c>
      <c r="Q797" s="1107" t="str">
        <f>'Exp factors'!I104</f>
        <v>des</v>
      </c>
      <c r="R797" s="1091"/>
      <c r="S797" s="1092"/>
      <c r="T797" s="1092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1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78"/>
      <c r="H798" s="1593">
        <f>IF(H$46="","",IF('Exp factors'!$B105="poor",'Exp factors'!$G$105*H$46,SUM(C798)*'Exp factors'!C$105))</f>
        <v>0</v>
      </c>
      <c r="I798" s="1593">
        <f>IF(I$46="","",IF('Exp factors'!$B105="poor",'Exp factors'!$G$105*I$46,SUM(D798)*'Exp factors'!D$105))</f>
        <v>100</v>
      </c>
      <c r="J798" s="1593">
        <f>IF(J$46="","",IF('Exp factors'!$B105="poor",'Exp factors'!$G$105*J$46,SUM(E798)*'Exp factors'!E$105))</f>
        <v>100</v>
      </c>
      <c r="K798" s="1593">
        <f>IF(K$46="","",IF('Exp factors'!$B105="poor",'Exp factors'!$G$105*K$46,SUM(F798)*'Exp factors'!F$105))</f>
        <v>100</v>
      </c>
      <c r="L798" s="1380"/>
      <c r="M798" s="1594">
        <f t="shared" si="117"/>
        <v>0</v>
      </c>
      <c r="N798" s="1594">
        <f t="shared" si="118"/>
        <v>0</v>
      </c>
      <c r="O798" s="1594">
        <f t="shared" si="118"/>
        <v>0</v>
      </c>
      <c r="P798" s="1594">
        <f t="shared" si="118"/>
        <v>0</v>
      </c>
      <c r="Q798" s="1107" t="str">
        <f>'Exp factors'!I105</f>
        <v>des</v>
      </c>
      <c r="R798" s="1091"/>
      <c r="S798" s="1092"/>
      <c r="T798" s="1092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1"/>
      <c r="C799" s="1101">
        <f>IF(Data!BV799="","",Data!BV799)</f>
        <v>1050</v>
      </c>
      <c r="D799" s="1101">
        <f>IF(Data!BW799="","",Data!BW799)</f>
        <v>1400</v>
      </c>
      <c r="E799" s="1101">
        <f>IF(Data!BX799="","",Data!BX799)</f>
        <v>2100</v>
      </c>
      <c r="F799" s="1101">
        <f>IF(Data!BY799="","",Data!BY799)</f>
        <v>4500</v>
      </c>
      <c r="G799" s="1078"/>
      <c r="H799" s="1593">
        <f>IF(H$46="","",IF('Exp factors'!$B93="poor",'Exp factors'!$G$93*H$46,SUM(C799)*'Exp factors'!C$93))</f>
        <v>1200</v>
      </c>
      <c r="I799" s="1593">
        <f>IF(I$46="","",IF('Exp factors'!$B93="poor",'Exp factors'!$G$93*I$46,SUM(D799)*'Exp factors'!D$93))</f>
        <v>1200</v>
      </c>
      <c r="J799" s="1593">
        <f>IF(J$46="","",IF('Exp factors'!$B93="poor",'Exp factors'!$G$93*J$46,SUM(E799)*'Exp factors'!E$93))</f>
        <v>1200</v>
      </c>
      <c r="K799" s="1593">
        <f>IF(K$46="","",IF('Exp factors'!$B93="poor",'Exp factors'!$G$93*K$46,SUM(F799)*'Exp factors'!F$93))</f>
        <v>1350</v>
      </c>
      <c r="L799" s="1380"/>
      <c r="M799" s="1594">
        <f t="shared" si="117"/>
        <v>150</v>
      </c>
      <c r="N799" s="1594">
        <f t="shared" si="118"/>
        <v>-200</v>
      </c>
      <c r="O799" s="1594">
        <f t="shared" si="118"/>
        <v>-900</v>
      </c>
      <c r="P799" s="1594">
        <f t="shared" si="118"/>
        <v>-3150</v>
      </c>
      <c r="Q799" s="1107" t="str">
        <f>'Exp factors'!I93</f>
        <v>lbpl</v>
      </c>
      <c r="R799" s="1091"/>
      <c r="S799" s="1092"/>
      <c r="T799" s="1092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1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78"/>
      <c r="H800" s="1593">
        <f>IF(H$46="","",IF('Exp factors'!$B94="poor",'Exp factors'!$G$94*H$46,SUM(C800)*'Exp factors'!C$94))</f>
        <v>560</v>
      </c>
      <c r="I800" s="1593">
        <f>IF(I$46="","",IF('Exp factors'!$B94="poor",'Exp factors'!$G$94*I$46,SUM(D800)*'Exp factors'!D$94))</f>
        <v>560</v>
      </c>
      <c r="J800" s="1593">
        <f>IF(J$46="","",IF('Exp factors'!$B94="poor",'Exp factors'!$G$94*J$46,SUM(E800)*'Exp factors'!E$94))</f>
        <v>560</v>
      </c>
      <c r="K800" s="1593">
        <f>IF(K$46="","",IF('Exp factors'!$B94="poor",'Exp factors'!$G$94*K$46,SUM(F800)*'Exp factors'!F$94))</f>
        <v>630</v>
      </c>
      <c r="L800" s="1380"/>
      <c r="M800" s="1594">
        <f t="shared" si="117"/>
        <v>260</v>
      </c>
      <c r="N800" s="1594">
        <f t="shared" si="118"/>
        <v>260</v>
      </c>
      <c r="O800" s="1594">
        <f t="shared" si="118"/>
        <v>260</v>
      </c>
      <c r="P800" s="1594">
        <f t="shared" si="118"/>
        <v>130</v>
      </c>
      <c r="Q800" s="1107" t="str">
        <f>'Exp factors'!I94</f>
        <v>lbpl</v>
      </c>
      <c r="R800" s="1091"/>
      <c r="S800" s="1092"/>
      <c r="T800" s="1092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1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05"/>
      <c r="H801" s="1593">
        <f>IF(H$46="","",IF('Exp factors'!$B78="poor",'Exp factors'!$G$78*H$46,SUM(C801)*'Exp factors'!C$78))</f>
        <v>2400</v>
      </c>
      <c r="I801" s="1593">
        <f>IF(I$46="","",IF('Exp factors'!$B78="poor",'Exp factors'!$G$78*I$46,SUM(D801)*'Exp factors'!D$78))</f>
        <v>2400</v>
      </c>
      <c r="J801" s="1593">
        <f>IF(J$46="","",IF('Exp factors'!$B78="poor",'Exp factors'!$G$78*J$46,SUM(E801)*'Exp factors'!E$78))</f>
        <v>2400</v>
      </c>
      <c r="K801" s="1593">
        <f>IF(K$46="","",IF('Exp factors'!$B78="poor",'Exp factors'!$G$78*K$46,SUM(F801)*'Exp factors'!F$78))</f>
        <v>2700</v>
      </c>
      <c r="L801" s="1380"/>
      <c r="M801" s="1594">
        <f t="shared" si="117"/>
        <v>1150</v>
      </c>
      <c r="N801" s="1594">
        <f t="shared" si="118"/>
        <v>650</v>
      </c>
      <c r="O801" s="1594">
        <f t="shared" si="118"/>
        <v>-600</v>
      </c>
      <c r="P801" s="1594">
        <f t="shared" si="118"/>
        <v>-3800</v>
      </c>
      <c r="Q801" s="1107" t="str">
        <f>'Exp factors'!I78</f>
        <v>lbpl</v>
      </c>
      <c r="R801" s="1091"/>
      <c r="S801" s="1092"/>
      <c r="T801" s="1092"/>
      <c r="U801" s="1046">
        <v>801</v>
      </c>
      <c r="V801" s="461"/>
    </row>
    <row r="802" spans="1:22" ht="15.75" customHeight="1">
      <c r="A802" s="892" t="s">
        <v>520</v>
      </c>
      <c r="B802" s="1181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05"/>
      <c r="H802" s="1593">
        <f>IF(H$46="","",IF('Exp factors'!$B80="poor",'Exp factors'!$G$80*H$46,SUM(C802)*'Exp factors'!C$80))</f>
        <v>480</v>
      </c>
      <c r="I802" s="1593">
        <f>IF(I$46="","",IF('Exp factors'!$B80="poor",'Exp factors'!$G$80*I$46,SUM(D802)*'Exp factors'!D$80))</f>
        <v>480</v>
      </c>
      <c r="J802" s="1593">
        <f>IF(J$46="","",IF('Exp factors'!$B80="poor",'Exp factors'!$G$80*J$46,SUM(E802)*'Exp factors'!E$80))</f>
        <v>480</v>
      </c>
      <c r="K802" s="1593">
        <f>IF(K$46="","",IF('Exp factors'!$B80="poor",'Exp factors'!$G$80*K$46,SUM(F802)*'Exp factors'!F$80))</f>
        <v>540</v>
      </c>
      <c r="L802" s="1380"/>
      <c r="M802" s="1594">
        <f t="shared" si="117"/>
        <v>-220</v>
      </c>
      <c r="N802" s="1594">
        <f t="shared" si="118"/>
        <v>-420</v>
      </c>
      <c r="O802" s="1594">
        <f t="shared" si="118"/>
        <v>-2020</v>
      </c>
      <c r="P802" s="1594">
        <f t="shared" si="118"/>
        <v>-2160</v>
      </c>
      <c r="Q802" s="1107" t="str">
        <f>'Exp factors'!I80</f>
        <v>lbpl</v>
      </c>
      <c r="R802" s="1091"/>
      <c r="S802" s="1092"/>
      <c r="T802" s="1092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1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78"/>
      <c r="H803" s="1593">
        <f>IF(H$46="","",IF('Exp factors'!$B79="poor",'Exp factors'!$G$79*H$46,SUM(C803)*'Exp factors'!C$79))</f>
        <v>704</v>
      </c>
      <c r="I803" s="1593">
        <f>IF(I$46="","",IF('Exp factors'!$B79="poor",'Exp factors'!$G$79*I$46,SUM(D803)*'Exp factors'!D$79))</f>
        <v>704</v>
      </c>
      <c r="J803" s="1593">
        <f>IF(J$46="","",IF('Exp factors'!$B79="poor",'Exp factors'!$G$79*J$46,SUM(E803)*'Exp factors'!E$79))</f>
        <v>704</v>
      </c>
      <c r="K803" s="1593">
        <f>IF(K$46="","",IF('Exp factors'!$B79="poor",'Exp factors'!$G$79*K$46,SUM(F803)*'Exp factors'!F$79))</f>
        <v>792</v>
      </c>
      <c r="L803" s="1380"/>
      <c r="M803" s="1594">
        <f t="shared" si="117"/>
        <v>-496</v>
      </c>
      <c r="N803" s="1594">
        <f t="shared" si="118"/>
        <v>-496</v>
      </c>
      <c r="O803" s="1594">
        <f t="shared" si="118"/>
        <v>-1896</v>
      </c>
      <c r="P803" s="1594">
        <f t="shared" si="118"/>
        <v>-7708</v>
      </c>
      <c r="Q803" s="1107" t="str">
        <f>'Exp factors'!I79</f>
        <v>lbpl</v>
      </c>
      <c r="R803" s="1091"/>
      <c r="S803" s="1092"/>
      <c r="T803" s="1092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1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78"/>
      <c r="H804" s="1593">
        <f>IF(H$46="","",IF('Exp factors'!$B81="poor",'Exp factors'!$G$81*H$46,SUM(C804)*'Exp factors'!C$81))</f>
        <v>600</v>
      </c>
      <c r="I804" s="1593">
        <f>IF(I$46="","",IF('Exp factors'!$B81="poor",'Exp factors'!$G$81*I$46,SUM(D804)*'Exp factors'!D$81))</f>
        <v>850</v>
      </c>
      <c r="J804" s="1593">
        <f>IF(J$46="","",IF('Exp factors'!$B81="poor",'Exp factors'!$G$81*J$46,SUM(E804)*'Exp factors'!E$81))</f>
        <v>2400</v>
      </c>
      <c r="K804" s="1593">
        <f>IF(K$46="","",IF('Exp factors'!$B81="poor",'Exp factors'!$G$81*K$46,SUM(F804)*'Exp factors'!F$81))</f>
        <v>1500</v>
      </c>
      <c r="L804" s="1380"/>
      <c r="M804" s="1594">
        <f t="shared" si="117"/>
        <v>0</v>
      </c>
      <c r="N804" s="1594">
        <f t="shared" si="118"/>
        <v>0</v>
      </c>
      <c r="O804" s="1594">
        <f t="shared" si="118"/>
        <v>0</v>
      </c>
      <c r="P804" s="1594">
        <f t="shared" si="118"/>
        <v>0</v>
      </c>
      <c r="Q804" s="1107" t="str">
        <f>'Exp factors'!I81</f>
        <v>des</v>
      </c>
      <c r="R804" s="1091"/>
      <c r="S804" s="1092"/>
      <c r="T804" s="1092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1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78"/>
      <c r="H805" s="1593">
        <f>IF(H$46="","",IF('Exp factors'!$B88="poor",'Exp factors'!$G$88*H$46,SUM(C805)*'Exp factors'!C$88))</f>
        <v>0</v>
      </c>
      <c r="I805" s="1593">
        <f>IF(I$46="","",IF('Exp factors'!$B88="poor",'Exp factors'!$G$88*I$46,SUM(D805)*'Exp factors'!D$88))</f>
        <v>0</v>
      </c>
      <c r="J805" s="1593">
        <f>IF(J$46="","",IF('Exp factors'!$B88="poor",'Exp factors'!$G$88*J$46,SUM(E805)*'Exp factors'!E$88))</f>
        <v>0</v>
      </c>
      <c r="K805" s="1593">
        <f>IF(K$46="","",IF('Exp factors'!$B88="poor",'Exp factors'!$G$88*K$46,SUM(F805)*'Exp factors'!F$88))</f>
        <v>0</v>
      </c>
      <c r="L805" s="1380"/>
      <c r="M805" s="1594">
        <f t="shared" si="117"/>
        <v>-500</v>
      </c>
      <c r="N805" s="1594">
        <f t="shared" si="118"/>
        <v>-500</v>
      </c>
      <c r="O805" s="1594">
        <f t="shared" si="118"/>
        <v>-500</v>
      </c>
      <c r="P805" s="1594">
        <f t="shared" si="118"/>
        <v>-1200</v>
      </c>
      <c r="Q805" s="1107" t="str">
        <f>'Exp factors'!I88</f>
        <v>dis</v>
      </c>
      <c r="R805" s="1091"/>
      <c r="S805" s="1092"/>
      <c r="T805" s="1092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1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05"/>
      <c r="H806" s="1593">
        <f>IF(H$46="","",IF('Exp factors'!$B82="poor",'Exp factors'!$G$82*H$46,SUM(C806)*'Exp factors'!C$82))</f>
        <v>60</v>
      </c>
      <c r="I806" s="1593">
        <f>IF(I$46="","",IF('Exp factors'!$B82="poor",'Exp factors'!$G$82*I$46,SUM(D806)*'Exp factors'!D$82))</f>
        <v>60</v>
      </c>
      <c r="J806" s="1593">
        <f>IF(J$46="","",IF('Exp factors'!$B82="poor",'Exp factors'!$G$82*J$46,SUM(E806)*'Exp factors'!E$82))</f>
        <v>60</v>
      </c>
      <c r="K806" s="1593">
        <f>IF(K$46="","",IF('Exp factors'!$B82="poor",'Exp factors'!$G$82*K$46,SUM(F806)*'Exp factors'!F$82))</f>
        <v>67.5</v>
      </c>
      <c r="L806" s="1380"/>
      <c r="M806" s="1594">
        <f t="shared" si="117"/>
        <v>10</v>
      </c>
      <c r="N806" s="1594">
        <f t="shared" si="118"/>
        <v>10</v>
      </c>
      <c r="O806" s="1594">
        <f t="shared" si="118"/>
        <v>10</v>
      </c>
      <c r="P806" s="1594">
        <f t="shared" si="118"/>
        <v>17.5</v>
      </c>
      <c r="Q806" s="1107" t="str">
        <f>'Exp factors'!I82</f>
        <v>lbpl</v>
      </c>
      <c r="R806" s="1091"/>
      <c r="S806" s="1092"/>
      <c r="T806" s="1092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1"/>
      <c r="C807" s="1374" t="str">
        <f>IF(Data!BV807="","",Data!BV807)</f>
        <v/>
      </c>
      <c r="D807" s="1374" t="str">
        <f>IF(Data!BW807="","",Data!BW807)</f>
        <v/>
      </c>
      <c r="E807" s="1374" t="str">
        <f>IF(Data!BX807="","",Data!BX807)</f>
        <v/>
      </c>
      <c r="F807" s="1374" t="str">
        <f>IF(Data!BY807="","",Data!BY807)</f>
        <v/>
      </c>
      <c r="G807" s="1105"/>
      <c r="H807" s="1593">
        <f>IF(H$46="","",IF('Exp factors'!$B84="poor",'Exp factors'!$G$84*H$46,SUM(C807)*'Exp factors'!C$84))</f>
        <v>4934.6666666666679</v>
      </c>
      <c r="I807" s="1593">
        <f>IF(I$46="","",IF('Exp factors'!$B84="poor",'Exp factors'!$G$84*I$46,SUM(D807)*'Exp factors'!D$84))</f>
        <v>4934.6666666666679</v>
      </c>
      <c r="J807" s="1593">
        <f>IF(J$46="","",IF('Exp factors'!$B84="poor",'Exp factors'!$G$84*J$46,SUM(E807)*'Exp factors'!E$84))</f>
        <v>4934.6666666666679</v>
      </c>
      <c r="K807" s="1593">
        <f>IF(K$46="","",IF('Exp factors'!$B84="poor",'Exp factors'!$G$84*K$46,SUM(F807)*'Exp factors'!F$84))</f>
        <v>5551.5000000000018</v>
      </c>
      <c r="L807" s="1380"/>
      <c r="M807" s="1594">
        <f t="shared" si="117"/>
        <v>4934.6666666666679</v>
      </c>
      <c r="N807" s="1594">
        <f t="shared" si="118"/>
        <v>4934.6666666666679</v>
      </c>
      <c r="O807" s="1594">
        <f t="shared" si="118"/>
        <v>4934.6666666666679</v>
      </c>
      <c r="P807" s="1594">
        <f t="shared" si="118"/>
        <v>5551.5000000000018</v>
      </c>
      <c r="Q807" s="1107" t="str">
        <f>'Exp factors'!I84</f>
        <v>lbpl</v>
      </c>
      <c r="R807" s="1091"/>
      <c r="S807" s="1092"/>
      <c r="T807" s="1092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1"/>
      <c r="C808" s="1374" t="str">
        <f>IF(Data!BV808="","",Data!BV808)</f>
        <v/>
      </c>
      <c r="D808" s="1374" t="str">
        <f>IF(Data!BW808="","",Data!BW808)</f>
        <v/>
      </c>
      <c r="E808" s="1374" t="str">
        <f>IF(Data!BX808="","",Data!BX808)</f>
        <v/>
      </c>
      <c r="F808" s="1374" t="str">
        <f>IF(Data!BY808="","",Data!BY808)</f>
        <v/>
      </c>
      <c r="G808" s="1105"/>
      <c r="H808" s="1593">
        <f>IF(H$46="","",IF('Exp factors'!$B85="poor",'Exp factors'!$G$85*H$46,SUM(C808)*'Exp factors'!C$85))</f>
        <v>27744</v>
      </c>
      <c r="I808" s="1593">
        <f>IF(I$46="","",IF('Exp factors'!$B85="poor",'Exp factors'!$G$85*I$46,SUM(D808)*'Exp factors'!D$85))</f>
        <v>27744</v>
      </c>
      <c r="J808" s="1593">
        <f>IF(J$46="","",IF('Exp factors'!$B85="poor",'Exp factors'!$G$85*J$46,SUM(E808)*'Exp factors'!E$85))</f>
        <v>27744</v>
      </c>
      <c r="K808" s="1593">
        <f>IF(K$46="","",IF('Exp factors'!$B85="poor",'Exp factors'!$G$85*K$46,SUM(F808)*'Exp factors'!F$85))</f>
        <v>31212</v>
      </c>
      <c r="L808" s="1380"/>
      <c r="M808" s="1594">
        <f t="shared" si="117"/>
        <v>27744</v>
      </c>
      <c r="N808" s="1594">
        <f t="shared" si="118"/>
        <v>27744</v>
      </c>
      <c r="O808" s="1594">
        <f t="shared" si="118"/>
        <v>27744</v>
      </c>
      <c r="P808" s="1594">
        <f t="shared" si="118"/>
        <v>31212</v>
      </c>
      <c r="Q808" s="1107" t="str">
        <f>'Exp factors'!I85</f>
        <v>ubpl</v>
      </c>
      <c r="R808" s="1091"/>
      <c r="S808" s="1092"/>
      <c r="T808" s="1092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1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05"/>
      <c r="H809" s="1593">
        <f>IF(H$46="","",IF('Exp factors'!$B87="poor",'Exp factors'!$G$87*H$46,SUM(C809)*'Exp factors'!C$87))</f>
        <v>1000</v>
      </c>
      <c r="I809" s="1593">
        <f>IF(I$46="","",IF('Exp factors'!$B87="poor",'Exp factors'!$G$87*I$46,SUM(D809)*'Exp factors'!D$87))</f>
        <v>1000</v>
      </c>
      <c r="J809" s="1593">
        <f>IF(J$46="","",IF('Exp factors'!$B87="poor",'Exp factors'!$G$87*J$46,SUM(E809)*'Exp factors'!E$87))</f>
        <v>1450</v>
      </c>
      <c r="K809" s="1593">
        <f>IF(K$46="","",IF('Exp factors'!$B87="poor",'Exp factors'!$G$87*K$46,SUM(F809)*'Exp factors'!F$87))</f>
        <v>1500</v>
      </c>
      <c r="L809" s="1380"/>
      <c r="M809" s="1594">
        <f t="shared" si="117"/>
        <v>0</v>
      </c>
      <c r="N809" s="1594">
        <f t="shared" si="118"/>
        <v>0</v>
      </c>
      <c r="O809" s="1594">
        <f t="shared" si="118"/>
        <v>0</v>
      </c>
      <c r="P809" s="1594">
        <f t="shared" si="118"/>
        <v>0</v>
      </c>
      <c r="Q809" s="1107" t="str">
        <f>'Exp factors'!I87</f>
        <v>des</v>
      </c>
      <c r="R809" s="1091"/>
      <c r="S809" s="1092"/>
      <c r="T809" s="1092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1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78"/>
      <c r="H810" s="1593">
        <f>IF(H$46="","",IF('Exp factors'!$B88="poor",'Exp factors'!$G$88*H$46,SUM(C810)*'Exp factors'!C$88))</f>
        <v>0</v>
      </c>
      <c r="I810" s="1593">
        <f>IF(I$46="","",IF('Exp factors'!$B88="poor",'Exp factors'!$G$88*I$46,SUM(D810)*'Exp factors'!D$88))</f>
        <v>0</v>
      </c>
      <c r="J810" s="1593">
        <f>IF(J$46="","",IF('Exp factors'!$B88="poor",'Exp factors'!$G$88*J$46,SUM(E810)*'Exp factors'!E$88))</f>
        <v>0</v>
      </c>
      <c r="K810" s="1593">
        <f>IF(K$46="","",IF('Exp factors'!$B88="poor",'Exp factors'!$G$88*K$46,SUM(F810)*'Exp factors'!F$88))</f>
        <v>0</v>
      </c>
      <c r="L810" s="1380"/>
      <c r="M810" s="1594">
        <f t="shared" si="117"/>
        <v>-1800</v>
      </c>
      <c r="N810" s="1594">
        <f t="shared" si="118"/>
        <v>-1800</v>
      </c>
      <c r="O810" s="1594">
        <f t="shared" si="118"/>
        <v>-2500</v>
      </c>
      <c r="P810" s="1594">
        <f t="shared" si="118"/>
        <v>-3000</v>
      </c>
      <c r="Q810" s="1107" t="str">
        <f>'Exp factors'!I88</f>
        <v>dis</v>
      </c>
      <c r="R810" s="1091"/>
      <c r="S810" s="1092"/>
      <c r="T810" s="1092"/>
      <c r="U810" s="1046">
        <v>810</v>
      </c>
      <c r="V810" s="461"/>
    </row>
    <row r="811" spans="1:22" ht="15.75" customHeight="1">
      <c r="A811" s="1182" t="s">
        <v>374</v>
      </c>
      <c r="B811" s="1181"/>
      <c r="C811" s="1183">
        <f>C20-C31</f>
        <v>1668</v>
      </c>
      <c r="D811" s="1183">
        <f>D20-D31</f>
        <v>1353</v>
      </c>
      <c r="E811" s="1183">
        <f>E20-E31</f>
        <v>-655</v>
      </c>
      <c r="F811" s="1183">
        <f>F20-F31</f>
        <v>728</v>
      </c>
      <c r="G811" s="1176"/>
      <c r="H811" s="1184">
        <f>C811*'Exp factors'!$D$71</f>
        <v>1668</v>
      </c>
      <c r="I811" s="1184">
        <f>D811*'Exp factors'!$D$71</f>
        <v>1353</v>
      </c>
      <c r="J811" s="1184">
        <f>E811*'Exp factors'!$D$71</f>
        <v>-655</v>
      </c>
      <c r="K811" s="1184">
        <f>F811*'Exp factors'!$D$71</f>
        <v>728</v>
      </c>
      <c r="L811" s="1176"/>
      <c r="M811" s="1184">
        <f>IF(H811="","",SUM(H811)-SUM(C811))</f>
        <v>0</v>
      </c>
      <c r="N811" s="1184">
        <f>IF(I811="","",SUM(I811)-SUM(D811))</f>
        <v>0</v>
      </c>
      <c r="O811" s="1184">
        <f>IF(J811="","",SUM(J811)-SUM(E811))</f>
        <v>0</v>
      </c>
      <c r="P811" s="1184">
        <f>IF(K811="","",SUM(K811)-SUM(F811))</f>
        <v>0</v>
      </c>
      <c r="Q811" s="1107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375</v>
      </c>
      <c r="B812" s="1181"/>
      <c r="C812" s="1096">
        <f>SUM(C772:C776,C781:C785,C790:C810)</f>
        <v>10562</v>
      </c>
      <c r="D812" s="1096">
        <f>SUM(D772:D776,D781:D785,D790:D810)</f>
        <v>12552</v>
      </c>
      <c r="E812" s="1096">
        <f>SUM(E772:E776,E781:E785,E790:E810)</f>
        <v>23040</v>
      </c>
      <c r="F812" s="1096">
        <f>SUM(F772:F776,F781:F785,F790:F810)</f>
        <v>41100</v>
      </c>
      <c r="G812" s="1177"/>
      <c r="H812" s="1185">
        <f>SUM(H772:H776,H781:H785,H790:H810)</f>
        <v>44522.666666666672</v>
      </c>
      <c r="I812" s="1185">
        <f>SUM(I772:I776,I781:I785,I790:I810)</f>
        <v>45462.666666666672</v>
      </c>
      <c r="J812" s="1185">
        <f>SUM(J772:J776,J781:J785,J790:J810)</f>
        <v>49232.666666666672</v>
      </c>
      <c r="K812" s="1185">
        <f>SUM(K772:K776,K781:K785,K790:K810)</f>
        <v>58448</v>
      </c>
      <c r="L812" s="1177"/>
      <c r="M812" s="1185">
        <f>SUM(M772:M776,M781:M785,M790:M810)</f>
        <v>33960.666666666672</v>
      </c>
      <c r="N812" s="1185">
        <f>SUM(N772:N776,N781:N785,N790:N810)</f>
        <v>32910.666666666672</v>
      </c>
      <c r="O812" s="1185">
        <f>SUM(O772:O776,O781:O785,O790:O810)</f>
        <v>26192.666666666668</v>
      </c>
      <c r="P812" s="1185">
        <f>SUM(P772:P776,P781:P785,P790:P810)</f>
        <v>17348</v>
      </c>
      <c r="Q812" s="1107"/>
      <c r="R812" s="44"/>
      <c r="S812" s="46"/>
      <c r="T812" s="46"/>
      <c r="U812" s="1046">
        <v>812</v>
      </c>
      <c r="V812" s="46"/>
    </row>
    <row r="813" spans="1:22" ht="15.75" customHeight="1">
      <c r="A813" s="1186" t="s">
        <v>376</v>
      </c>
      <c r="B813" s="1181"/>
      <c r="C813" s="1024"/>
      <c r="D813" s="1024"/>
      <c r="E813" s="1024"/>
      <c r="F813" s="1024"/>
      <c r="G813" s="1177"/>
      <c r="H813" s="1187"/>
      <c r="I813" s="1187"/>
      <c r="J813" s="1187"/>
      <c r="K813" s="1187"/>
      <c r="L813" s="1177"/>
      <c r="M813" s="1024"/>
      <c r="N813" s="1024"/>
      <c r="O813" s="1024"/>
      <c r="P813" s="1024"/>
      <c r="R813" s="44"/>
      <c r="S813" s="46"/>
      <c r="T813" s="46"/>
      <c r="U813" s="1046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24"/>
      <c r="N814" s="1024"/>
      <c r="O814" s="1024"/>
      <c r="P814" s="1024"/>
      <c r="Q814" s="1107"/>
      <c r="R814" s="44"/>
      <c r="S814" s="46"/>
      <c r="T814" s="46"/>
      <c r="U814" s="1046">
        <v>814</v>
      </c>
      <c r="V814" s="46"/>
    </row>
    <row r="815" spans="1:22" ht="15.75" customHeight="1">
      <c r="A815" s="1186"/>
      <c r="B815" s="1181"/>
      <c r="C815" s="1024"/>
      <c r="D815" s="1024"/>
      <c r="E815" s="1024"/>
      <c r="F815" s="1024"/>
      <c r="G815" s="1177"/>
      <c r="H815" s="1187"/>
      <c r="I815" s="1187"/>
      <c r="J815" s="1187"/>
      <c r="K815" s="1187"/>
      <c r="L815" s="1177"/>
      <c r="M815" s="1024"/>
      <c r="N815" s="1024"/>
      <c r="O815" s="1024"/>
      <c r="P815" s="1024"/>
      <c r="Q815" s="1107"/>
      <c r="R815" s="44"/>
      <c r="S815" s="46"/>
      <c r="T815" s="46"/>
      <c r="U815" s="1046">
        <v>815</v>
      </c>
      <c r="V815" s="46"/>
    </row>
    <row r="816" spans="1:22" ht="15.75" customHeight="1">
      <c r="A816" s="1186"/>
      <c r="B816" s="1181"/>
      <c r="C816" s="1024"/>
      <c r="D816" s="1024"/>
      <c r="E816" s="1024"/>
      <c r="F816" s="1024"/>
      <c r="G816" s="1177"/>
      <c r="H816" s="1187"/>
      <c r="I816" s="1187"/>
      <c r="J816" s="1187"/>
      <c r="K816" s="1187"/>
      <c r="L816" s="1177"/>
      <c r="M816" s="1024"/>
      <c r="N816" s="1024"/>
      <c r="O816" s="1024"/>
      <c r="P816" s="1024"/>
      <c r="Q816" s="1107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34"/>
      <c r="H817" s="1188"/>
      <c r="I817" s="1188"/>
      <c r="J817" s="1188"/>
      <c r="K817" s="1188"/>
      <c r="L817" s="934"/>
      <c r="M817" s="1109"/>
      <c r="N817" s="1109"/>
      <c r="O817" s="1109"/>
      <c r="P817" s="1109"/>
      <c r="Q817" s="1107"/>
      <c r="R817" s="44"/>
      <c r="S817" s="46"/>
      <c r="T817" s="46"/>
      <c r="U817" s="1046">
        <v>817</v>
      </c>
      <c r="V817" s="46"/>
    </row>
    <row r="818" spans="1:22" ht="15.75" customHeight="1">
      <c r="A818" s="1189" t="s">
        <v>377</v>
      </c>
      <c r="B818" s="1181"/>
      <c r="C818" s="1024"/>
      <c r="D818" s="1024"/>
      <c r="E818" s="1024"/>
      <c r="F818" s="1024"/>
      <c r="G818" s="1177"/>
      <c r="H818" s="1190"/>
      <c r="I818" s="1190"/>
      <c r="J818" s="1190"/>
      <c r="K818" s="1190"/>
      <c r="L818" s="1177"/>
      <c r="M818" s="1024"/>
      <c r="N818" s="1024"/>
      <c r="O818" s="1024"/>
      <c r="P818" s="1024"/>
      <c r="R818" s="44" t="s">
        <v>521</v>
      </c>
      <c r="S818" s="46"/>
      <c r="T818" s="46"/>
      <c r="U818" s="1046">
        <v>818</v>
      </c>
      <c r="V818" s="46"/>
    </row>
    <row r="819" spans="1:22" ht="15.75" customHeight="1">
      <c r="A819" s="1196" t="s">
        <v>19</v>
      </c>
      <c r="B819" s="1181"/>
      <c r="C819" s="1024"/>
      <c r="D819" s="1024"/>
      <c r="E819" s="1024"/>
      <c r="F819" s="1024"/>
      <c r="G819" s="1177"/>
      <c r="H819" s="1190"/>
      <c r="I819" s="1190"/>
      <c r="J819" s="1190"/>
      <c r="K819" s="1190"/>
      <c r="L819" s="1177"/>
      <c r="M819" s="1024"/>
      <c r="N819" s="1024"/>
      <c r="O819" s="1024"/>
      <c r="P819" s="1024"/>
      <c r="R819" s="44" t="s">
        <v>522</v>
      </c>
      <c r="S819" s="46"/>
      <c r="T819" s="46"/>
      <c r="U819" s="1046">
        <v>819</v>
      </c>
      <c r="V819" s="46"/>
    </row>
    <row r="820" spans="1:22" ht="15.75" customHeight="1">
      <c r="A820" s="1345" t="s">
        <v>378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9">IF(S820&gt;S819,S820,"")</f>
        <v/>
      </c>
      <c r="U820" s="1046">
        <v>820</v>
      </c>
      <c r="V820" s="46"/>
    </row>
    <row r="821" spans="1:22" ht="15.75" customHeight="1">
      <c r="A821" s="44" t="s">
        <v>379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20">IF(MAX(C821:F821,H821:K821)&gt;0,S820+1,S820)</f>
        <v>0</v>
      </c>
      <c r="T821" s="46" t="str">
        <f t="shared" si="119"/>
        <v/>
      </c>
      <c r="U821" s="1046">
        <v>821</v>
      </c>
      <c r="V821" s="46"/>
    </row>
    <row r="822" spans="1:22" ht="15.75" customHeight="1">
      <c r="A822" s="1345" t="s">
        <v>380</v>
      </c>
      <c r="B822" s="1181"/>
      <c r="C822" s="1109">
        <f>SUM($C$116)</f>
        <v>1.4080012453300126E-2</v>
      </c>
      <c r="D822" s="1109">
        <f>SUM($D$116)</f>
        <v>8.3437110834371116E-3</v>
      </c>
      <c r="E822" s="1109">
        <f>SUM($E$116)</f>
        <v>1.3037048567870486E-2</v>
      </c>
      <c r="F822" s="1109">
        <f>SUM($F$116)</f>
        <v>8.5476684654766849E-2</v>
      </c>
      <c r="G822" s="934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34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20"/>
        <v>1</v>
      </c>
      <c r="T822" s="46">
        <f t="shared" si="119"/>
        <v>1</v>
      </c>
      <c r="U822" s="1046">
        <v>822</v>
      </c>
      <c r="V822" s="46"/>
    </row>
    <row r="823" spans="1:22" ht="15.75" customHeight="1">
      <c r="A823" s="44" t="s">
        <v>381</v>
      </c>
      <c r="B823" s="1181"/>
      <c r="C823" s="1109">
        <f>SUM($C$117)</f>
        <v>2.3466687422166875E-3</v>
      </c>
      <c r="D823" s="1109">
        <f>SUM($D$117)</f>
        <v>0</v>
      </c>
      <c r="E823" s="1109">
        <f>SUM($E$117)</f>
        <v>0</v>
      </c>
      <c r="F823" s="1109">
        <f>SUM($F$117)</f>
        <v>0</v>
      </c>
      <c r="G823" s="934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34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20"/>
        <v>2</v>
      </c>
      <c r="T823" s="46">
        <f t="shared" si="119"/>
        <v>2</v>
      </c>
      <c r="U823" s="1046">
        <v>823</v>
      </c>
      <c r="V823" s="46"/>
    </row>
    <row r="824" spans="1:22" ht="15.75" customHeight="1">
      <c r="A824" s="1345" t="s">
        <v>382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34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34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20"/>
        <v>2</v>
      </c>
      <c r="T824" s="46" t="str">
        <f t="shared" si="119"/>
        <v/>
      </c>
      <c r="U824" s="1046">
        <v>824</v>
      </c>
      <c r="V824" s="46"/>
    </row>
    <row r="825" spans="1:22" ht="15.75" customHeight="1">
      <c r="A825" s="44" t="s">
        <v>383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34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34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20"/>
        <v>2</v>
      </c>
      <c r="T825" s="46" t="str">
        <f t="shared" si="119"/>
        <v/>
      </c>
      <c r="U825" s="1046">
        <v>825</v>
      </c>
      <c r="V825" s="46"/>
    </row>
    <row r="826" spans="1:22" ht="15.75" customHeight="1">
      <c r="A826" s="1345" t="s">
        <v>384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34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34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20"/>
        <v>2</v>
      </c>
      <c r="T826" s="46" t="str">
        <f t="shared" si="119"/>
        <v/>
      </c>
      <c r="U826" s="1046">
        <v>826</v>
      </c>
      <c r="V826" s="46"/>
    </row>
    <row r="827" spans="1:22" ht="15.75" customHeight="1">
      <c r="A827" s="44" t="s">
        <v>385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34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34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20"/>
        <v>2</v>
      </c>
      <c r="T827" s="46" t="str">
        <f t="shared" si="119"/>
        <v/>
      </c>
      <c r="U827" s="1046">
        <v>827</v>
      </c>
      <c r="V827" s="46"/>
    </row>
    <row r="828" spans="1:22" ht="15.75" customHeight="1">
      <c r="A828" s="1345" t="s">
        <v>386</v>
      </c>
      <c r="B828" s="1181"/>
      <c r="C828" s="1109">
        <f>SUM($C$183,$C$180,$C$177)</f>
        <v>5.906425124533001E-3</v>
      </c>
      <c r="D828" s="1109">
        <f>SUM($D$183,$D$180,$D$177)</f>
        <v>2.6171573396637608E-2</v>
      </c>
      <c r="E828" s="1109">
        <f>SUM($E$183,$E$180,$E$177)</f>
        <v>4.6436721668742222E-2</v>
      </c>
      <c r="F828" s="1109">
        <f>SUM($F$183,$F$180,$F$177)</f>
        <v>6.942878268991283E-2</v>
      </c>
      <c r="G828" s="934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34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20"/>
        <v>3</v>
      </c>
      <c r="T828" s="46">
        <f t="shared" si="119"/>
        <v>3</v>
      </c>
      <c r="U828" s="1046">
        <v>828</v>
      </c>
      <c r="V828" s="46"/>
    </row>
    <row r="829" spans="1:22" ht="15.75" customHeight="1">
      <c r="A829" s="1196" t="s">
        <v>20</v>
      </c>
      <c r="B829" s="1181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120"/>
        <v>3</v>
      </c>
      <c r="T829" s="46" t="str">
        <f t="shared" si="119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4.2500000000000003E-2</v>
      </c>
      <c r="D830" s="1109">
        <f>SUM($D$230)</f>
        <v>4.2500000000000003E-2</v>
      </c>
      <c r="E830" s="1583">
        <f>SUM($E$230)</f>
        <v>4.2500000000000003E-2</v>
      </c>
      <c r="F830" s="1109">
        <f>SUM($F$230)</f>
        <v>0.05</v>
      </c>
      <c r="G830" s="934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34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20"/>
        <v>4</v>
      </c>
      <c r="T830" s="46">
        <f t="shared" si="119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583">
        <f>SUM($E$233)</f>
        <v>0</v>
      </c>
      <c r="F831" s="1109">
        <f>SUM($F$233)</f>
        <v>0</v>
      </c>
      <c r="G831" s="934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34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20"/>
        <v>4</v>
      </c>
      <c r="T831" s="46" t="str">
        <f t="shared" si="119"/>
        <v/>
      </c>
      <c r="U831" s="1046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8.8718578767123274E-2</v>
      </c>
      <c r="D832" s="1109">
        <f>SUM($D$243)</f>
        <v>8.8718578767123274E-2</v>
      </c>
      <c r="E832" s="1109">
        <f>SUM($E$243)</f>
        <v>0.13307786815068492</v>
      </c>
      <c r="F832" s="1109">
        <f>SUM($F$243)</f>
        <v>0.16245357534246571</v>
      </c>
      <c r="G832" s="934"/>
      <c r="H832" s="1109">
        <f>SUM($H$243)</f>
        <v>0</v>
      </c>
      <c r="I832" s="1109">
        <f>SUM($I$243)</f>
        <v>0</v>
      </c>
      <c r="J832" s="1109">
        <f>SUM($J$243)</f>
        <v>0.20701001712328765</v>
      </c>
      <c r="K832" s="1109">
        <f>SUM($K$243)</f>
        <v>0.23132547945205478</v>
      </c>
      <c r="L832" s="934"/>
      <c r="M832" s="1109">
        <f>SUM($M$243)</f>
        <v>0</v>
      </c>
      <c r="N832" s="1109">
        <f>SUM($N$243)</f>
        <v>0</v>
      </c>
      <c r="O832" s="1109">
        <f>SUM($O$243)</f>
        <v>7.3932148972602724E-2</v>
      </c>
      <c r="P832" s="1109">
        <f>SUM($P$243)</f>
        <v>6.8871904109589072E-2</v>
      </c>
      <c r="R832" s="44">
        <v>10</v>
      </c>
      <c r="S832" s="46">
        <f t="shared" si="120"/>
        <v>5</v>
      </c>
      <c r="T832" s="46">
        <f t="shared" si="119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3.8561488169364881E-2</v>
      </c>
      <c r="G833" s="934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34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20"/>
        <v>6</v>
      </c>
      <c r="T833" s="46">
        <f t="shared" si="119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34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34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20"/>
        <v>6</v>
      </c>
      <c r="T834" s="46" t="str">
        <f t="shared" si="119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34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34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20"/>
        <v>6</v>
      </c>
      <c r="T835" s="46" t="str">
        <f t="shared" si="119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77"/>
      <c r="C836" s="1109">
        <f>SUM($C$271)</f>
        <v>0</v>
      </c>
      <c r="D836" s="1109">
        <f>SUM($D$271)</f>
        <v>0</v>
      </c>
      <c r="E836" s="1583">
        <f>SUM($E$271)</f>
        <v>0</v>
      </c>
      <c r="F836" s="1109">
        <f>SUM($F$271)</f>
        <v>0</v>
      </c>
      <c r="G836" s="934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34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20"/>
        <v>6</v>
      </c>
      <c r="T836" s="46" t="str">
        <f t="shared" si="119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4.4188206724782075E-2</v>
      </c>
      <c r="D837" s="1109">
        <f>SUM($D$278)</f>
        <v>8.2852887608966391E-2</v>
      </c>
      <c r="E837" s="1583">
        <f>SUM($E$278)</f>
        <v>0.10770875389165629</v>
      </c>
      <c r="F837" s="1109">
        <f>SUM($F$278)</f>
        <v>6.6773290161892901E-2</v>
      </c>
      <c r="G837" s="934"/>
      <c r="H837" s="1109">
        <f>SUM($H$278)</f>
        <v>0</v>
      </c>
      <c r="I837" s="1109">
        <f>SUM($I$278)</f>
        <v>0</v>
      </c>
      <c r="J837" s="1109">
        <f>SUM($J$278)</f>
        <v>6.7663191547322546E-2</v>
      </c>
      <c r="K837" s="1109">
        <f>SUM($K$278)</f>
        <v>4.5661146948941467E-2</v>
      </c>
      <c r="L837" s="934"/>
      <c r="M837" s="1109">
        <f>SUM($M$278)</f>
        <v>0</v>
      </c>
      <c r="N837" s="1109">
        <f>SUM($N$278)</f>
        <v>0</v>
      </c>
      <c r="O837" s="1109">
        <f>SUM($O$278)</f>
        <v>-4.0045562344333749E-2</v>
      </c>
      <c r="P837" s="1109">
        <f>SUM($P$278)</f>
        <v>-2.1112143212951434E-2</v>
      </c>
      <c r="R837" s="44">
        <v>15</v>
      </c>
      <c r="S837" s="46">
        <f t="shared" si="120"/>
        <v>7</v>
      </c>
      <c r="T837" s="46">
        <f t="shared" si="119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34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34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20"/>
        <v>7</v>
      </c>
      <c r="T838" s="46" t="str">
        <f t="shared" si="119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34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34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20"/>
        <v>7</v>
      </c>
      <c r="T839" s="46" t="str">
        <f t="shared" si="119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34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34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20"/>
        <v>7</v>
      </c>
      <c r="T840" s="46" t="str">
        <f t="shared" si="119"/>
        <v/>
      </c>
      <c r="U840" s="1046">
        <v>840</v>
      </c>
      <c r="V840" s="46"/>
    </row>
    <row r="841" spans="1:22" ht="15.75" customHeight="1">
      <c r="A841" s="1191" t="str">
        <f>$A$300</f>
        <v>Cassava: no. local meas.</v>
      </c>
      <c r="B841" s="1181"/>
      <c r="C841" s="1109">
        <f>SUM($C$309)</f>
        <v>4.9858374844333753E-2</v>
      </c>
      <c r="D841" s="1109">
        <f>SUM($D$309)</f>
        <v>0</v>
      </c>
      <c r="E841" s="1109">
        <f>SUM($E$309)</f>
        <v>0</v>
      </c>
      <c r="F841" s="1109">
        <f>SUM($F$309)</f>
        <v>0</v>
      </c>
      <c r="G841" s="934"/>
      <c r="H841" s="1109">
        <f>SUM($H$309)</f>
        <v>6.2322968555417191E-2</v>
      </c>
      <c r="I841" s="1109">
        <f>SUM($I$309)</f>
        <v>0</v>
      </c>
      <c r="J841" s="1109">
        <f>SUM($J$309)</f>
        <v>0</v>
      </c>
      <c r="K841" s="1109">
        <f>SUM($K$309)</f>
        <v>0</v>
      </c>
      <c r="L841" s="934"/>
      <c r="M841" s="1109">
        <f>SUM($M$309)</f>
        <v>1.2464593711083438E-2</v>
      </c>
      <c r="N841" s="1109">
        <f>SUM($N$309)</f>
        <v>0</v>
      </c>
      <c r="O841" s="1109">
        <f>SUM($O$309)</f>
        <v>0</v>
      </c>
      <c r="P841" s="1109">
        <f>SUM($P$309)</f>
        <v>0</v>
      </c>
      <c r="R841" s="44">
        <v>19</v>
      </c>
      <c r="S841" s="46">
        <f t="shared" si="120"/>
        <v>8</v>
      </c>
      <c r="T841" s="46">
        <f t="shared" si="119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1"/>
      <c r="C842" s="1109">
        <f>SUM($C$319)</f>
        <v>0</v>
      </c>
      <c r="D842" s="1109">
        <f>SUM($D$319)</f>
        <v>0</v>
      </c>
      <c r="E842" s="1583">
        <f>SUM($E$319)</f>
        <v>2.2485149439601493E-3</v>
      </c>
      <c r="F842" s="1109">
        <f>SUM($F$319)</f>
        <v>1.9986799501867992E-3</v>
      </c>
      <c r="G842" s="934"/>
      <c r="H842" s="1109">
        <f>SUM($H$319)</f>
        <v>0</v>
      </c>
      <c r="I842" s="1109">
        <f>SUM($I$319)</f>
        <v>0</v>
      </c>
      <c r="J842" s="1109">
        <f>SUM($J$319)</f>
        <v>3.3727724159402241E-3</v>
      </c>
      <c r="K842" s="1109">
        <f>SUM($K$319)</f>
        <v>2.998019925280199E-3</v>
      </c>
      <c r="L842" s="934"/>
      <c r="M842" s="1109">
        <f>SUM($M$319)</f>
        <v>0</v>
      </c>
      <c r="N842" s="1109">
        <f>SUM($N$319)</f>
        <v>0</v>
      </c>
      <c r="O842" s="1109">
        <f>SUM($O$319)</f>
        <v>1.1242574719800748E-3</v>
      </c>
      <c r="P842" s="1109">
        <f>SUM($P$319)</f>
        <v>9.9933997509339982E-4</v>
      </c>
      <c r="R842" s="44">
        <v>20</v>
      </c>
      <c r="S842" s="46">
        <f t="shared" si="120"/>
        <v>9</v>
      </c>
      <c r="T842" s="46">
        <f t="shared" si="119"/>
        <v>9</v>
      </c>
      <c r="U842" s="1046">
        <v>842</v>
      </c>
      <c r="V842" s="46"/>
    </row>
    <row r="843" spans="1:22" ht="15.75" customHeight="1">
      <c r="A843" s="44" t="str">
        <f>$A$320</f>
        <v>Pumpkin: no. local meas</v>
      </c>
      <c r="B843" s="1181"/>
      <c r="C843" s="1109">
        <f>SUM($C$329)</f>
        <v>0</v>
      </c>
      <c r="D843" s="1109">
        <f>SUM($D$329)</f>
        <v>2.1996341843088418E-2</v>
      </c>
      <c r="E843" s="1583">
        <f>SUM($E$329)</f>
        <v>0</v>
      </c>
      <c r="F843" s="1109">
        <f>SUM($F$329)</f>
        <v>0</v>
      </c>
      <c r="G843" s="934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34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20"/>
        <v>10</v>
      </c>
      <c r="T843" s="46">
        <f t="shared" si="119"/>
        <v>10</v>
      </c>
      <c r="U843" s="1046">
        <v>843</v>
      </c>
      <c r="V843" s="46"/>
    </row>
    <row r="844" spans="1:22" ht="15.75" customHeight="1">
      <c r="A844" s="44" t="str">
        <f>$A$330</f>
        <v>Sweet poatato: no. local meas</v>
      </c>
      <c r="B844" s="1181"/>
      <c r="C844" s="1109">
        <f>SUM($C$339)</f>
        <v>2.5988480697384807E-2</v>
      </c>
      <c r="D844" s="1109">
        <f>SUM($D$339)</f>
        <v>2.5988480697384807E-2</v>
      </c>
      <c r="E844" s="1109">
        <f>SUM($E$339)</f>
        <v>6.125856164383562E-2</v>
      </c>
      <c r="F844" s="1109">
        <f>SUM($F$339)</f>
        <v>3.7951432129514323E-2</v>
      </c>
      <c r="G844" s="934"/>
      <c r="H844" s="1109">
        <f>SUM($H$339)</f>
        <v>0</v>
      </c>
      <c r="I844" s="1109">
        <f>SUM($I$339)</f>
        <v>0</v>
      </c>
      <c r="J844" s="1109">
        <f>SUM($J$339)</f>
        <v>7.0540161892901618E-2</v>
      </c>
      <c r="K844" s="1109">
        <f>SUM($K$339)</f>
        <v>6.2702366127023665E-2</v>
      </c>
      <c r="L844" s="934"/>
      <c r="M844" s="1109">
        <f>SUM($M$339)</f>
        <v>0</v>
      </c>
      <c r="N844" s="1109">
        <f>SUM($N$339)</f>
        <v>0</v>
      </c>
      <c r="O844" s="1109">
        <f>SUM($O$339)</f>
        <v>9.281600249065998E-3</v>
      </c>
      <c r="P844" s="1109">
        <f>SUM($P$339)</f>
        <v>2.4750933997509342E-2</v>
      </c>
      <c r="R844" s="44">
        <v>22</v>
      </c>
      <c r="S844" s="46">
        <f t="shared" si="120"/>
        <v>11</v>
      </c>
      <c r="T844" s="46">
        <f t="shared" si="119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3.3018953144458282E-2</v>
      </c>
      <c r="D845" s="1109">
        <f>SUM($D$349)</f>
        <v>5.849071699875466E-2</v>
      </c>
      <c r="E845" s="1583">
        <f>SUM($E$349)</f>
        <v>9.4339866127023678E-2</v>
      </c>
      <c r="F845" s="1109">
        <f>SUM($F$349)</f>
        <v>0.10482207347447074</v>
      </c>
      <c r="G845" s="934"/>
      <c r="H845" s="1109">
        <f>SUM($H$349)</f>
        <v>0</v>
      </c>
      <c r="I845" s="1109">
        <f>SUM($I$349)</f>
        <v>0.10566065006226651</v>
      </c>
      <c r="J845" s="1109">
        <f>SUM($J$349)</f>
        <v>0.1415097991905355</v>
      </c>
      <c r="K845" s="1109">
        <f>SUM($K$349)</f>
        <v>0.15513666874221671</v>
      </c>
      <c r="L845" s="934"/>
      <c r="M845" s="1109">
        <f>SUM($M$349)</f>
        <v>0</v>
      </c>
      <c r="N845" s="1109">
        <f>SUM($N$349)</f>
        <v>4.7169933063511846E-2</v>
      </c>
      <c r="O845" s="1109">
        <f>SUM($O$349)</f>
        <v>4.7169933063511818E-2</v>
      </c>
      <c r="P845" s="1109">
        <f>SUM($P$349)</f>
        <v>5.0314595267745968E-2</v>
      </c>
      <c r="R845" s="44">
        <v>23</v>
      </c>
      <c r="S845" s="46">
        <f t="shared" si="120"/>
        <v>12</v>
      </c>
      <c r="T845" s="46">
        <f t="shared" si="119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583">
        <f>SUM($E$359)</f>
        <v>0</v>
      </c>
      <c r="F846" s="1109">
        <f>SUM($F$359)</f>
        <v>0</v>
      </c>
      <c r="G846" s="934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34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20"/>
        <v>12</v>
      </c>
      <c r="T846" s="46" t="str">
        <f t="shared" si="119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1"/>
      <c r="C847" s="1109">
        <f>SUM($C$370)</f>
        <v>6.1099003735990039E-3</v>
      </c>
      <c r="D847" s="1109">
        <f>SUM($D$370)</f>
        <v>8.3094645080946453E-3</v>
      </c>
      <c r="E847" s="1109">
        <f>SUM($E$370)</f>
        <v>2.4561799501867997E-2</v>
      </c>
      <c r="F847" s="1109">
        <f>SUM($F$370)</f>
        <v>7.0603293206032928E-3</v>
      </c>
      <c r="G847" s="934"/>
      <c r="H847" s="1109">
        <f>SUM($H$370)</f>
        <v>0</v>
      </c>
      <c r="I847" s="1109">
        <f>SUM($I$370)</f>
        <v>1.0509028642590287E-2</v>
      </c>
      <c r="J847" s="1109">
        <f>SUM($J$370)</f>
        <v>4.8146014943960147E-2</v>
      </c>
      <c r="K847" s="1109">
        <f>SUM($K$370)</f>
        <v>1.4663760896637609E-2</v>
      </c>
      <c r="L847" s="934"/>
      <c r="M847" s="1109">
        <f>SUM($M$370)</f>
        <v>0</v>
      </c>
      <c r="N847" s="1109">
        <f>SUM($N$370)</f>
        <v>2.1995641344956414E-3</v>
      </c>
      <c r="O847" s="1109">
        <f>SUM($O$370)</f>
        <v>2.358421544209215E-2</v>
      </c>
      <c r="P847" s="1109">
        <f>SUM($P$370)</f>
        <v>7.6034315760343165E-3</v>
      </c>
      <c r="R847" s="44">
        <v>25</v>
      </c>
      <c r="S847" s="46">
        <f t="shared" si="120"/>
        <v>13</v>
      </c>
      <c r="T847" s="46">
        <f t="shared" si="119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1"/>
      <c r="C848" s="1109">
        <f>SUM($C$381)</f>
        <v>0</v>
      </c>
      <c r="D848" s="1109">
        <f>SUM($D$381)</f>
        <v>0</v>
      </c>
      <c r="E848" s="1583">
        <f>SUM($E$381)</f>
        <v>0</v>
      </c>
      <c r="F848" s="1109">
        <f>SUM($F$381)</f>
        <v>0</v>
      </c>
      <c r="G848" s="934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34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20"/>
        <v>13</v>
      </c>
      <c r="T848" s="46" t="str">
        <f t="shared" si="119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1"/>
      <c r="C849" s="1109">
        <f>SUM($C$391)</f>
        <v>2.5393057285180574E-2</v>
      </c>
      <c r="D849" s="1109">
        <f>SUM($D$391)</f>
        <v>2.082230697384807E-2</v>
      </c>
      <c r="E849" s="1109">
        <f>SUM($E$391)</f>
        <v>2.0991594022415939E-2</v>
      </c>
      <c r="F849" s="1109">
        <f>SUM($F$391)</f>
        <v>2.2571606475716065E-2</v>
      </c>
      <c r="G849" s="934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34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20"/>
        <v>14</v>
      </c>
      <c r="T849" s="46">
        <f t="shared" si="119"/>
        <v>14</v>
      </c>
      <c r="U849" s="1046">
        <v>849</v>
      </c>
      <c r="V849" s="46"/>
    </row>
    <row r="850" spans="1:22" ht="15.75" customHeight="1">
      <c r="A850" s="1346" t="s">
        <v>679</v>
      </c>
      <c r="B850" s="1181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120"/>
        <v>14</v>
      </c>
      <c r="T850" s="46" t="str">
        <f t="shared" si="119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0</v>
      </c>
      <c r="E851" s="1109">
        <f>SUM($E$437)</f>
        <v>0</v>
      </c>
      <c r="F851" s="1109">
        <f>SUM($F$437)</f>
        <v>1.1706102117061022E-2</v>
      </c>
      <c r="G851" s="934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34"/>
      <c r="M851" s="1109">
        <f>SUM($M$437)</f>
        <v>0</v>
      </c>
      <c r="N851" s="1109">
        <f>SUM($N$437)</f>
        <v>0</v>
      </c>
      <c r="O851" s="1109">
        <f>SUM($O$437)</f>
        <v>0</v>
      </c>
      <c r="P851" s="1109">
        <f>SUM($P$437)</f>
        <v>-1.1706102117061022E-2</v>
      </c>
      <c r="R851" s="44">
        <v>28</v>
      </c>
      <c r="S851" s="46">
        <f t="shared" si="120"/>
        <v>15</v>
      </c>
      <c r="T851" s="46">
        <f t="shared" si="119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34"/>
      <c r="H852" s="1109">
        <f>SUM($H$447)</f>
        <v>0</v>
      </c>
      <c r="I852" s="1109">
        <f>SUM($I$447)</f>
        <v>0</v>
      </c>
      <c r="J852" s="1109">
        <f>SUM($J$447)</f>
        <v>0</v>
      </c>
      <c r="K852" s="1109">
        <f>SUM($K$447)</f>
        <v>0</v>
      </c>
      <c r="L852" s="934"/>
      <c r="M852" s="1109">
        <f>SUM($M$447)</f>
        <v>0</v>
      </c>
      <c r="N852" s="1109">
        <f>SUM($N$447)</f>
        <v>0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20"/>
        <v>15</v>
      </c>
      <c r="T852" s="46" t="str">
        <f t="shared" si="119"/>
        <v/>
      </c>
      <c r="U852" s="1046">
        <v>852</v>
      </c>
      <c r="V852" s="46"/>
    </row>
    <row r="853" spans="1:22" ht="15.75" customHeight="1">
      <c r="A853" s="805" t="s">
        <v>21</v>
      </c>
      <c r="B853" s="1181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120"/>
        <v>15</v>
      </c>
      <c r="T853" s="46" t="str">
        <f t="shared" si="119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5.6779890410958905E-2</v>
      </c>
      <c r="E854" s="1109">
        <f>SUM($E$649)</f>
        <v>0</v>
      </c>
      <c r="F854" s="1109">
        <f>SUM($F$649)</f>
        <v>0</v>
      </c>
      <c r="G854" s="934"/>
      <c r="H854" s="1109">
        <f>SUM($H$649)</f>
        <v>0</v>
      </c>
      <c r="I854" s="1109">
        <f>SUM($I$649)</f>
        <v>5.6779890410958905E-2</v>
      </c>
      <c r="J854" s="1109">
        <f>SUM($J$649)</f>
        <v>0</v>
      </c>
      <c r="K854" s="1109">
        <f>SUM($K$649)</f>
        <v>0</v>
      </c>
      <c r="L854" s="934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20"/>
        <v>16</v>
      </c>
      <c r="T854" s="46">
        <f t="shared" si="119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1.8926630136986301E-2</v>
      </c>
      <c r="E855" s="1109">
        <f>SUM($E$655)</f>
        <v>0</v>
      </c>
      <c r="F855" s="1109">
        <f>SUM($F$655)</f>
        <v>0</v>
      </c>
      <c r="G855" s="934"/>
      <c r="H855" s="1109">
        <f>SUM($H$655)</f>
        <v>0</v>
      </c>
      <c r="I855" s="1109">
        <f>SUM($I$655)</f>
        <v>1.8926630136986301E-2</v>
      </c>
      <c r="J855" s="1109">
        <f>SUM($J$655)</f>
        <v>0</v>
      </c>
      <c r="K855" s="1109">
        <f>SUM($K$655)</f>
        <v>0</v>
      </c>
      <c r="L855" s="934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20"/>
        <v>17</v>
      </c>
      <c r="T855" s="46">
        <f t="shared" si="119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34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34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20"/>
        <v>17</v>
      </c>
      <c r="T856" s="46" t="str">
        <f t="shared" si="119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34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34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20"/>
        <v>17</v>
      </c>
      <c r="T857" s="46" t="str">
        <f t="shared" si="119"/>
        <v/>
      </c>
      <c r="U857" s="1046">
        <v>857</v>
      </c>
      <c r="V857" s="46"/>
    </row>
    <row r="858" spans="1:22" ht="15.75" customHeight="1">
      <c r="A858" s="805" t="s">
        <v>22</v>
      </c>
      <c r="B858" s="1181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21">SUM(D$455)</f>
        <v>0.35389669987546701</v>
      </c>
      <c r="E859" s="1109">
        <f t="shared" si="121"/>
        <v>0.35389669987546701</v>
      </c>
      <c r="F859" s="1109">
        <f t="shared" si="121"/>
        <v>0.31457484433374844</v>
      </c>
      <c r="G859" s="934"/>
      <c r="H859" s="1109">
        <f>SUM(H$455)</f>
        <v>0</v>
      </c>
      <c r="I859" s="1109">
        <f t="shared" ref="I859:K859" si="122">SUM(I$455)</f>
        <v>0</v>
      </c>
      <c r="J859" s="1109">
        <f t="shared" si="122"/>
        <v>0</v>
      </c>
      <c r="K859" s="1109">
        <f t="shared" si="122"/>
        <v>0</v>
      </c>
      <c r="L859" s="934"/>
      <c r="M859" s="1109">
        <f>SUM(M$455)</f>
        <v>0</v>
      </c>
      <c r="N859" s="1109">
        <f t="shared" ref="N859:P859" si="123">SUM(N$455)</f>
        <v>0</v>
      </c>
      <c r="O859" s="1109">
        <f t="shared" si="123"/>
        <v>0</v>
      </c>
      <c r="P859" s="1109">
        <f t="shared" si="123"/>
        <v>0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24">SUM(D$464)</f>
        <v>6.5060291095890413E-2</v>
      </c>
      <c r="E860" s="1109">
        <f t="shared" si="124"/>
        <v>5.9145719178082187E-2</v>
      </c>
      <c r="F860" s="1109">
        <f t="shared" si="124"/>
        <v>6.3088767123287662E-2</v>
      </c>
      <c r="G860" s="934"/>
      <c r="H860" s="1109">
        <f>SUM(H$464)</f>
        <v>0</v>
      </c>
      <c r="I860" s="1109">
        <f t="shared" ref="I860:K860" si="125">SUM(I$464)</f>
        <v>0</v>
      </c>
      <c r="J860" s="1109">
        <f t="shared" si="125"/>
        <v>0</v>
      </c>
      <c r="K860" s="1109">
        <f t="shared" si="125"/>
        <v>0</v>
      </c>
      <c r="L860" s="934"/>
      <c r="M860" s="1109">
        <f>SUM(M$464)</f>
        <v>0</v>
      </c>
      <c r="N860" s="1109">
        <f t="shared" ref="N860:P860" si="126">SUM(N$464)</f>
        <v>0</v>
      </c>
      <c r="O860" s="1109">
        <f t="shared" si="126"/>
        <v>0</v>
      </c>
      <c r="P860" s="1109">
        <f t="shared" si="126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27">SUM(D$473)</f>
        <v>6.9215155666251554E-2</v>
      </c>
      <c r="E861" s="1109">
        <f t="shared" si="127"/>
        <v>6.9215155666251554E-2</v>
      </c>
      <c r="F861" s="1109">
        <f t="shared" si="127"/>
        <v>6.1524582814445818E-2</v>
      </c>
      <c r="G861" s="934"/>
      <c r="H861" s="1109">
        <f>SUM(H$473)</f>
        <v>4.1743776476445053E-2</v>
      </c>
      <c r="I861" s="1109">
        <f t="shared" ref="I861:K861" si="128">SUM(I$473)</f>
        <v>4.1743776476445053E-2</v>
      </c>
      <c r="J861" s="1109">
        <f t="shared" si="128"/>
        <v>4.1743776476445053E-2</v>
      </c>
      <c r="K861" s="1109">
        <f t="shared" si="128"/>
        <v>4.174377647644506E-2</v>
      </c>
      <c r="L861" s="934"/>
      <c r="M861" s="1109">
        <f>SUM(M$473)</f>
        <v>-2.7471379189806501E-2</v>
      </c>
      <c r="N861" s="1109">
        <f t="shared" ref="N861:P861" si="129">SUM(N$473)</f>
        <v>-2.7471379189806501E-2</v>
      </c>
      <c r="O861" s="1109">
        <f t="shared" si="129"/>
        <v>-2.7471379189806501E-2</v>
      </c>
      <c r="P861" s="1109">
        <f t="shared" si="129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1.3442208904109588E-2</v>
      </c>
      <c r="D862" s="1109">
        <f t="shared" ref="D862:F862" si="130">SUM(D$482)</f>
        <v>1.4664227895392278E-2</v>
      </c>
      <c r="E862" s="1109">
        <f t="shared" si="130"/>
        <v>1.4664227895392278E-2</v>
      </c>
      <c r="F862" s="1109">
        <f t="shared" si="130"/>
        <v>1.3034869240348693E-2</v>
      </c>
      <c r="G862" s="934"/>
      <c r="H862" s="1109">
        <f>SUM(H$482)</f>
        <v>6.8499749728887158E-3</v>
      </c>
      <c r="I862" s="1109">
        <f t="shared" ref="I862:K862" si="131">SUM(I$482)</f>
        <v>6.8499749728887158E-3</v>
      </c>
      <c r="J862" s="1109">
        <f t="shared" si="131"/>
        <v>6.8499749728887158E-3</v>
      </c>
      <c r="K862" s="1109">
        <f t="shared" si="131"/>
        <v>6.8499749728887149E-3</v>
      </c>
      <c r="L862" s="934"/>
      <c r="M862" s="1109">
        <f>SUM(M$482)</f>
        <v>-6.5922339312208724E-3</v>
      </c>
      <c r="N862" s="1109">
        <f t="shared" ref="N862:P862" si="132">SUM(N$482)</f>
        <v>-7.8142529225035621E-3</v>
      </c>
      <c r="O862" s="1109">
        <f t="shared" si="132"/>
        <v>-7.8142529225035621E-3</v>
      </c>
      <c r="P862" s="1109">
        <f t="shared" si="132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33">SUM(D$491)</f>
        <v>0</v>
      </c>
      <c r="E863" s="1109">
        <f t="shared" si="133"/>
        <v>0</v>
      </c>
      <c r="F863" s="1109">
        <f t="shared" si="133"/>
        <v>4.4344625155666249E-2</v>
      </c>
      <c r="G863" s="934"/>
      <c r="H863" s="1109">
        <f>SUM(H$491)</f>
        <v>0.15239060633791646</v>
      </c>
      <c r="I863" s="1109">
        <f t="shared" ref="I863:K863" si="134">SUM(I$491)</f>
        <v>0.15239060633791646</v>
      </c>
      <c r="J863" s="1109">
        <f t="shared" si="134"/>
        <v>0.15239060633791646</v>
      </c>
      <c r="K863" s="1109">
        <f t="shared" si="134"/>
        <v>0.15239060633791646</v>
      </c>
      <c r="L863" s="934"/>
      <c r="M863" s="1109">
        <f>SUM(M$491)</f>
        <v>0.15239060633791646</v>
      </c>
      <c r="N863" s="1109">
        <f t="shared" ref="N863:P863" si="135">SUM(N$491)</f>
        <v>0.15239060633791646</v>
      </c>
      <c r="O863" s="1109">
        <f t="shared" si="135"/>
        <v>0.15239060633791646</v>
      </c>
      <c r="P863" s="1109">
        <f t="shared" si="135"/>
        <v>0.1080459811822502</v>
      </c>
      <c r="Q863" s="1019" t="str">
        <f>$Q$493</f>
        <v>fpl</v>
      </c>
      <c r="R863" s="44" t="str">
        <f t="shared" ref="R863:R887" si="136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White bread purchase</v>
      </c>
      <c r="B864" s="1181"/>
      <c r="C864" s="1109">
        <f>SUM(C$500)</f>
        <v>0</v>
      </c>
      <c r="D864" s="1109">
        <f t="shared" ref="D864:F864" si="137">SUM(D$500)</f>
        <v>0</v>
      </c>
      <c r="E864" s="1109">
        <f t="shared" si="137"/>
        <v>0</v>
      </c>
      <c r="F864" s="1109">
        <f t="shared" si="137"/>
        <v>4.8906829389788298E-2</v>
      </c>
      <c r="G864" s="934"/>
      <c r="H864" s="1109">
        <f>SUM(H$500)</f>
        <v>4.0039884208984369E-2</v>
      </c>
      <c r="I864" s="1109">
        <f t="shared" ref="I864:K864" si="138">SUM(I$500)</f>
        <v>4.0039884208984369E-2</v>
      </c>
      <c r="J864" s="1109">
        <f t="shared" si="138"/>
        <v>4.0039884208984369E-2</v>
      </c>
      <c r="K864" s="1109">
        <f t="shared" si="138"/>
        <v>4.0039884208984376E-2</v>
      </c>
      <c r="L864" s="934"/>
      <c r="M864" s="1109">
        <f>SUM(M$500)</f>
        <v>4.0039884208984369E-2</v>
      </c>
      <c r="N864" s="1109">
        <f t="shared" ref="N864:P864" si="139">SUM(N$500)</f>
        <v>4.0039884208984369E-2</v>
      </c>
      <c r="O864" s="1109">
        <f t="shared" si="139"/>
        <v>4.0039884208984369E-2</v>
      </c>
      <c r="P864" s="1109">
        <f t="shared" si="139"/>
        <v>-8.8669451808039215E-3</v>
      </c>
      <c r="Q864" s="1019" t="str">
        <f>$Q$502</f>
        <v>fpl</v>
      </c>
      <c r="R864" s="44" t="str">
        <f t="shared" si="136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40">SUM(D$506)</f>
        <v>0</v>
      </c>
      <c r="E865" s="1109">
        <f t="shared" si="140"/>
        <v>0</v>
      </c>
      <c r="F865" s="1109">
        <f t="shared" si="140"/>
        <v>0</v>
      </c>
      <c r="G865" s="934"/>
      <c r="H865" s="1109">
        <f>SUM(H$506)</f>
        <v>2.0254077046125727E-2</v>
      </c>
      <c r="I865" s="1109">
        <f t="shared" ref="I865:K865" si="141">SUM(I$506)</f>
        <v>2.0254077046125727E-2</v>
      </c>
      <c r="J865" s="1109">
        <f t="shared" si="141"/>
        <v>2.0254077046125727E-2</v>
      </c>
      <c r="K865" s="1109">
        <f t="shared" si="141"/>
        <v>2.0254077046125731E-2</v>
      </c>
      <c r="L865" s="934"/>
      <c r="M865" s="1109">
        <f>SUM(M$506)</f>
        <v>2.0254077046125727E-2</v>
      </c>
      <c r="N865" s="1109">
        <f t="shared" ref="N865:P865" si="142">SUM(N$506)</f>
        <v>2.0254077046125727E-2</v>
      </c>
      <c r="O865" s="1109">
        <f t="shared" si="142"/>
        <v>2.0254077046125727E-2</v>
      </c>
      <c r="P865" s="1109">
        <f t="shared" si="142"/>
        <v>2.0254077046125731E-2</v>
      </c>
      <c r="Q865" s="1019" t="str">
        <f>$Q$508</f>
        <v>fpl</v>
      </c>
      <c r="R865" s="44" t="str">
        <f t="shared" si="136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43">SUM(D$512)</f>
        <v>7.9186830635118305E-2</v>
      </c>
      <c r="E866" s="1109">
        <f t="shared" si="143"/>
        <v>7.9186830635118305E-2</v>
      </c>
      <c r="F866" s="1109">
        <f t="shared" si="143"/>
        <v>7.0388293897882939E-2</v>
      </c>
      <c r="G866" s="934"/>
      <c r="H866" s="1109">
        <f>SUM(H$512)</f>
        <v>1.3335009323731963E-2</v>
      </c>
      <c r="I866" s="1109">
        <f t="shared" ref="I866:K866" si="144">SUM(I$512)</f>
        <v>1.3335009323731963E-2</v>
      </c>
      <c r="J866" s="1109">
        <f t="shared" si="144"/>
        <v>1.3335009323731963E-2</v>
      </c>
      <c r="K866" s="1109">
        <f t="shared" si="144"/>
        <v>1.3335009323731963E-2</v>
      </c>
      <c r="L866" s="934"/>
      <c r="M866" s="1109">
        <f>SUM(M$512)</f>
        <v>-6.5851821311386338E-2</v>
      </c>
      <c r="N866" s="1109">
        <f t="shared" ref="N866:P866" si="145">SUM(N$512)</f>
        <v>-6.5851821311386338E-2</v>
      </c>
      <c r="O866" s="1109">
        <f t="shared" si="145"/>
        <v>-6.5851821311386338E-2</v>
      </c>
      <c r="P866" s="1109">
        <f t="shared" si="145"/>
        <v>-5.7053284574150973E-2</v>
      </c>
      <c r="Q866" s="1192" t="str">
        <f>$Q$514</f>
        <v>fpl</v>
      </c>
      <c r="R866" s="44" t="str">
        <f t="shared" si="136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46">SUM(D$518)</f>
        <v>8.7985367372353671E-2</v>
      </c>
      <c r="E867" s="1109">
        <f t="shared" si="146"/>
        <v>8.7985367372353671E-2</v>
      </c>
      <c r="F867" s="1109">
        <f t="shared" si="146"/>
        <v>7.8209215442092153E-2</v>
      </c>
      <c r="G867" s="934"/>
      <c r="H867" s="1109">
        <f>SUM(H$518)</f>
        <v>6.9223060183329313E-2</v>
      </c>
      <c r="I867" s="1109">
        <f t="shared" ref="I867:K867" si="147">SUM(I$518)</f>
        <v>6.9223060183329313E-2</v>
      </c>
      <c r="J867" s="1109">
        <f t="shared" si="147"/>
        <v>6.9223060183329313E-2</v>
      </c>
      <c r="K867" s="1109">
        <f t="shared" si="147"/>
        <v>6.9223060183329313E-2</v>
      </c>
      <c r="L867" s="934"/>
      <c r="M867" s="1109">
        <f>SUM(M$518)</f>
        <v>-1.8762307189024358E-2</v>
      </c>
      <c r="N867" s="1109">
        <f t="shared" ref="N867:P867" si="148">SUM(N$518)</f>
        <v>-1.8762307189024358E-2</v>
      </c>
      <c r="O867" s="1109">
        <f t="shared" si="148"/>
        <v>-1.8762307189024358E-2</v>
      </c>
      <c r="P867" s="1109">
        <f t="shared" si="148"/>
        <v>-8.9861552587628402E-3</v>
      </c>
      <c r="Q867" s="1019" t="str">
        <f>$Q$520</f>
        <v>fpl</v>
      </c>
      <c r="R867" s="44" t="str">
        <f t="shared" si="136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49">SUM(D$524)</f>
        <v>0</v>
      </c>
      <c r="E868" s="1109">
        <f t="shared" si="149"/>
        <v>0</v>
      </c>
      <c r="F868" s="1109">
        <f t="shared" si="149"/>
        <v>0</v>
      </c>
      <c r="G868" s="934"/>
      <c r="H868" s="1109">
        <f>SUM(H$524)</f>
        <v>4.1863769079100452E-3</v>
      </c>
      <c r="I868" s="1109">
        <f t="shared" ref="I868:K868" si="150">SUM(I$524)</f>
        <v>4.1863769079100452E-3</v>
      </c>
      <c r="J868" s="1109">
        <f t="shared" si="150"/>
        <v>4.1863769079100452E-3</v>
      </c>
      <c r="K868" s="1109">
        <f t="shared" si="150"/>
        <v>4.1863769079100461E-3</v>
      </c>
      <c r="L868" s="934"/>
      <c r="M868" s="1109">
        <f>SUM(M$524)</f>
        <v>4.1863769079100452E-3</v>
      </c>
      <c r="N868" s="1109">
        <f t="shared" ref="N868:P868" si="151">SUM(N$524)</f>
        <v>4.1863769079100452E-3</v>
      </c>
      <c r="O868" s="1109">
        <f t="shared" si="151"/>
        <v>4.1863769079100452E-3</v>
      </c>
      <c r="P868" s="1109">
        <f t="shared" si="151"/>
        <v>4.1863769079100461E-3</v>
      </c>
      <c r="Q868" s="1019" t="str">
        <f>$Q$526</f>
        <v>fpl</v>
      </c>
      <c r="R868" s="44" t="str">
        <f t="shared" si="136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52">SUM(D$530)</f>
        <v>1.1069862702366127E-2</v>
      </c>
      <c r="E869" s="1109">
        <f t="shared" si="152"/>
        <v>1.1069862702366127E-2</v>
      </c>
      <c r="F869" s="1109">
        <f t="shared" si="152"/>
        <v>9.839877957658779E-3</v>
      </c>
      <c r="G869" s="934"/>
      <c r="H869" s="1109">
        <f>SUM(H$530)</f>
        <v>6.6514941164040114E-3</v>
      </c>
      <c r="I869" s="1109">
        <f t="shared" ref="I869:K869" si="153">SUM(I$530)</f>
        <v>6.6514941164040114E-3</v>
      </c>
      <c r="J869" s="1109">
        <f t="shared" si="153"/>
        <v>6.6514941164040114E-3</v>
      </c>
      <c r="K869" s="1109">
        <f t="shared" si="153"/>
        <v>6.6514941164040114E-3</v>
      </c>
      <c r="L869" s="934"/>
      <c r="M869" s="1109">
        <f>SUM(M$530)</f>
        <v>6.6514941164040114E-3</v>
      </c>
      <c r="N869" s="1109">
        <f t="shared" ref="N869:P869" si="154">SUM(N$530)</f>
        <v>-4.4183685859621154E-3</v>
      </c>
      <c r="O869" s="1109">
        <f t="shared" si="154"/>
        <v>-4.4183685859621154E-3</v>
      </c>
      <c r="P869" s="1109">
        <f t="shared" si="154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7.0062422166874208E-3</v>
      </c>
      <c r="D870" s="1109">
        <f t="shared" ref="D870:F870" si="155">SUM(D$536)</f>
        <v>2.1018726650062266E-2</v>
      </c>
      <c r="E870" s="1109">
        <f t="shared" si="155"/>
        <v>2.1018726650062266E-2</v>
      </c>
      <c r="F870" s="1109">
        <f t="shared" si="155"/>
        <v>1.8683312577833126E-2</v>
      </c>
      <c r="G870" s="934"/>
      <c r="H870" s="1109">
        <f>SUM(H$536)</f>
        <v>6.5236465135985258E-2</v>
      </c>
      <c r="I870" s="1109">
        <f t="shared" ref="I870:K870" si="156">SUM(I$536)</f>
        <v>6.5236465135985258E-2</v>
      </c>
      <c r="J870" s="1109">
        <f t="shared" si="156"/>
        <v>6.5236465135985258E-2</v>
      </c>
      <c r="K870" s="1109">
        <f t="shared" si="156"/>
        <v>6.5236465135985258E-2</v>
      </c>
      <c r="L870" s="934"/>
      <c r="M870" s="1109">
        <f>SUM(M$536)</f>
        <v>5.8230222919297837E-2</v>
      </c>
      <c r="N870" s="1109">
        <f t="shared" ref="N870:P870" si="157">SUM(N$536)</f>
        <v>4.4217738485922989E-2</v>
      </c>
      <c r="O870" s="1109">
        <f t="shared" si="157"/>
        <v>4.4217738485922989E-2</v>
      </c>
      <c r="P870" s="1109">
        <f t="shared" si="157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58">SUM(D$542)</f>
        <v>0</v>
      </c>
      <c r="E871" s="1109">
        <f t="shared" si="158"/>
        <v>9.5724820983810709E-3</v>
      </c>
      <c r="F871" s="1109">
        <f t="shared" si="158"/>
        <v>2.0421295143212951E-2</v>
      </c>
      <c r="G871" s="934"/>
      <c r="H871" s="1109">
        <f>SUM(H$542)</f>
        <v>1.0484878246657239E-2</v>
      </c>
      <c r="I871" s="1109">
        <f t="shared" ref="I871:K871" si="159">SUM(I$542)</f>
        <v>1.0484878246657239E-2</v>
      </c>
      <c r="J871" s="1109">
        <f t="shared" si="159"/>
        <v>1.0484878246657239E-2</v>
      </c>
      <c r="K871" s="1109">
        <f t="shared" si="159"/>
        <v>1.0484878246657239E-2</v>
      </c>
      <c r="L871" s="934"/>
      <c r="M871" s="1109">
        <f>SUM(M$542)</f>
        <v>1.0484878246657239E-2</v>
      </c>
      <c r="N871" s="1109">
        <f t="shared" ref="N871:P871" si="160">SUM(N$542)</f>
        <v>1.0484878246657239E-2</v>
      </c>
      <c r="O871" s="1109">
        <f t="shared" si="160"/>
        <v>9.1239614827616847E-4</v>
      </c>
      <c r="P871" s="1109">
        <f t="shared" si="160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0</v>
      </c>
      <c r="D872" s="1109">
        <f t="shared" ref="D872:F872" si="161">SUM(D$548)</f>
        <v>0</v>
      </c>
      <c r="E872" s="1109">
        <f t="shared" si="161"/>
        <v>0</v>
      </c>
      <c r="F872" s="1109">
        <f t="shared" si="161"/>
        <v>0</v>
      </c>
      <c r="G872" s="934"/>
      <c r="H872" s="1109">
        <f>SUM(H$548)</f>
        <v>4.7146460909842777E-3</v>
      </c>
      <c r="I872" s="1109">
        <f t="shared" ref="I872:K872" si="162">SUM(I$548)</f>
        <v>4.7146460909842777E-3</v>
      </c>
      <c r="J872" s="1109">
        <f t="shared" si="162"/>
        <v>4.7146460909842777E-3</v>
      </c>
      <c r="K872" s="1109">
        <f t="shared" si="162"/>
        <v>4.7146460909842768E-3</v>
      </c>
      <c r="L872" s="934"/>
      <c r="M872" s="1109">
        <f>SUM(M$548)</f>
        <v>4.7146460909842777E-3</v>
      </c>
      <c r="N872" s="1109">
        <f t="shared" ref="N872:P872" si="163">SUM(N$548)</f>
        <v>4.7146460909842777E-3</v>
      </c>
      <c r="O872" s="1109">
        <f t="shared" si="163"/>
        <v>4.7146460909842777E-3</v>
      </c>
      <c r="P872" s="1109">
        <f t="shared" si="163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0</v>
      </c>
      <c r="D873" s="1109">
        <f t="shared" ref="D873:F873" si="164">SUM(D$554)</f>
        <v>0</v>
      </c>
      <c r="E873" s="1109">
        <f t="shared" si="164"/>
        <v>0</v>
      </c>
      <c r="F873" s="1109">
        <f t="shared" si="164"/>
        <v>0</v>
      </c>
      <c r="G873" s="934"/>
      <c r="H873" s="1109">
        <f>SUM(H$554)</f>
        <v>2.3294279928963192E-3</v>
      </c>
      <c r="I873" s="1109">
        <f t="shared" ref="I873:K873" si="165">SUM(I$554)</f>
        <v>2.3294279928963192E-3</v>
      </c>
      <c r="J873" s="1109">
        <f t="shared" si="165"/>
        <v>2.3294279928963192E-3</v>
      </c>
      <c r="K873" s="1109">
        <f t="shared" si="165"/>
        <v>2.3294279928963196E-3</v>
      </c>
      <c r="L873" s="934"/>
      <c r="M873" s="1109">
        <f>SUM(M$554)</f>
        <v>2.3294279928963192E-3</v>
      </c>
      <c r="N873" s="1109">
        <f t="shared" ref="N873:P873" si="166">SUM(N$554)</f>
        <v>2.3294279928963192E-3</v>
      </c>
      <c r="O873" s="1109">
        <f t="shared" si="166"/>
        <v>2.3294279928963192E-3</v>
      </c>
      <c r="P873" s="1109">
        <f t="shared" si="166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0</v>
      </c>
      <c r="D874" s="1109">
        <f t="shared" ref="D874:F874" si="167">SUM(D$560)</f>
        <v>0</v>
      </c>
      <c r="E874" s="1109">
        <f t="shared" si="167"/>
        <v>0</v>
      </c>
      <c r="F874" s="1109">
        <f t="shared" si="167"/>
        <v>0</v>
      </c>
      <c r="G874" s="934"/>
      <c r="H874" s="1109">
        <f>SUM(H$560)</f>
        <v>1.190520460913079E-3</v>
      </c>
      <c r="I874" s="1109">
        <f t="shared" ref="I874:K874" si="168">SUM(I$560)</f>
        <v>1.190520460913079E-3</v>
      </c>
      <c r="J874" s="1109">
        <f t="shared" si="168"/>
        <v>1.190520460913079E-3</v>
      </c>
      <c r="K874" s="1109">
        <f t="shared" si="168"/>
        <v>1.1905204609130788E-3</v>
      </c>
      <c r="L874" s="934"/>
      <c r="M874" s="1109">
        <f>SUM(M$560)</f>
        <v>1.190520460913079E-3</v>
      </c>
      <c r="N874" s="1109">
        <f t="shared" ref="N874:P874" si="169">SUM(N$560)</f>
        <v>1.190520460913079E-3</v>
      </c>
      <c r="O874" s="1109">
        <f t="shared" si="169"/>
        <v>1.190520460913079E-3</v>
      </c>
      <c r="P874" s="1109">
        <f t="shared" si="169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9.3851058530510581E-3</v>
      </c>
      <c r="D875" s="1109">
        <f t="shared" ref="D875:F875" si="170">SUM(D$566)</f>
        <v>4.6925529265255291E-3</v>
      </c>
      <c r="E875" s="1109">
        <f t="shared" si="170"/>
        <v>9.3851058530510581E-3</v>
      </c>
      <c r="F875" s="1109">
        <f t="shared" si="170"/>
        <v>8.3423163138231626E-3</v>
      </c>
      <c r="G875" s="934"/>
      <c r="H875" s="1109">
        <f>SUM(H$566)</f>
        <v>2.54315563055953E-3</v>
      </c>
      <c r="I875" s="1109">
        <f t="shared" ref="I875:K875" si="171">SUM(I$566)</f>
        <v>2.54315563055953E-3</v>
      </c>
      <c r="J875" s="1109">
        <f t="shared" si="171"/>
        <v>2.54315563055953E-3</v>
      </c>
      <c r="K875" s="1109">
        <f t="shared" si="171"/>
        <v>2.54315563055953E-3</v>
      </c>
      <c r="L875" s="934"/>
      <c r="M875" s="1109">
        <f>SUM(M$566)</f>
        <v>-6.8419502224915281E-3</v>
      </c>
      <c r="N875" s="1109">
        <f t="shared" ref="N875:P875" si="172">SUM(N$566)</f>
        <v>-2.149397295965999E-3</v>
      </c>
      <c r="O875" s="1109">
        <f t="shared" si="172"/>
        <v>-6.8419502224915281E-3</v>
      </c>
      <c r="P875" s="1109">
        <f t="shared" si="172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73">SUM(D$572)</f>
        <v>0</v>
      </c>
      <c r="E876" s="1109">
        <f t="shared" si="173"/>
        <v>0</v>
      </c>
      <c r="F876" s="1109">
        <f t="shared" si="173"/>
        <v>0</v>
      </c>
      <c r="G876" s="934"/>
      <c r="H876" s="1109">
        <f>SUM(H$572)</f>
        <v>6.4452444981512964E-3</v>
      </c>
      <c r="I876" s="1109">
        <f t="shared" ref="I876:K876" si="174">SUM(I$572)</f>
        <v>6.4452444981512964E-3</v>
      </c>
      <c r="J876" s="1109">
        <f t="shared" si="174"/>
        <v>6.4452444981512964E-3</v>
      </c>
      <c r="K876" s="1109">
        <f t="shared" si="174"/>
        <v>6.4452444981512973E-3</v>
      </c>
      <c r="L876" s="934"/>
      <c r="M876" s="1109">
        <f>SUM(M$572)</f>
        <v>6.4452444981512964E-3</v>
      </c>
      <c r="N876" s="1109">
        <f t="shared" ref="N876:P876" si="175">SUM(N$572)</f>
        <v>6.4452444981512964E-3</v>
      </c>
      <c r="O876" s="1109">
        <f t="shared" si="175"/>
        <v>6.4452444981512964E-3</v>
      </c>
      <c r="P876" s="1109">
        <f t="shared" si="175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0</v>
      </c>
      <c r="D877" s="1109">
        <f t="shared" ref="D877:F877" si="176">SUM(D$578)</f>
        <v>0</v>
      </c>
      <c r="E877" s="1109">
        <f t="shared" si="176"/>
        <v>0</v>
      </c>
      <c r="F877" s="1109">
        <f t="shared" si="176"/>
        <v>0</v>
      </c>
      <c r="G877" s="934"/>
      <c r="H877" s="1109">
        <f>SUM(H$578)</f>
        <v>1.7428331246525793E-3</v>
      </c>
      <c r="I877" s="1109">
        <f t="shared" ref="I877:K877" si="177">SUM(I$578)</f>
        <v>1.7428331246525793E-3</v>
      </c>
      <c r="J877" s="1109">
        <f t="shared" si="177"/>
        <v>1.7428331246525793E-3</v>
      </c>
      <c r="K877" s="1109">
        <f t="shared" si="177"/>
        <v>1.7428331246525798E-3</v>
      </c>
      <c r="L877" s="934"/>
      <c r="M877" s="1109">
        <f>SUM(M$578)</f>
        <v>1.7428331246525793E-3</v>
      </c>
      <c r="N877" s="1109">
        <f t="shared" ref="N877:P877" si="178">SUM(N$578)</f>
        <v>1.7428331246525793E-3</v>
      </c>
      <c r="O877" s="1109">
        <f t="shared" si="178"/>
        <v>1.7428331246525793E-3</v>
      </c>
      <c r="P877" s="1109">
        <f t="shared" si="178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79">SUM(D$584)</f>
        <v>0</v>
      </c>
      <c r="E878" s="1109">
        <f t="shared" si="179"/>
        <v>0</v>
      </c>
      <c r="F878" s="1109">
        <f t="shared" si="179"/>
        <v>0</v>
      </c>
      <c r="G878" s="934"/>
      <c r="H878" s="1109">
        <f>SUM(H$584)</f>
        <v>1.8095648906604107E-2</v>
      </c>
      <c r="I878" s="1109">
        <f t="shared" ref="I878:K878" si="180">SUM(I$584)</f>
        <v>1.8095648906604107E-2</v>
      </c>
      <c r="J878" s="1109">
        <f t="shared" si="180"/>
        <v>1.8095648906604107E-2</v>
      </c>
      <c r="K878" s="1109">
        <f t="shared" si="180"/>
        <v>1.8095648906604107E-2</v>
      </c>
      <c r="L878" s="934"/>
      <c r="M878" s="1109">
        <f>SUM(M$584)</f>
        <v>1.8095648906604107E-2</v>
      </c>
      <c r="N878" s="1109">
        <f t="shared" ref="N878:P878" si="181">SUM(N$584)</f>
        <v>1.8095648906604107E-2</v>
      </c>
      <c r="O878" s="1109">
        <f t="shared" si="181"/>
        <v>1.8095648906604107E-2</v>
      </c>
      <c r="P878" s="1109">
        <f t="shared" si="181"/>
        <v>1.8095648906604107E-2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0</v>
      </c>
      <c r="D879" s="1109">
        <f t="shared" ref="D879:F879" si="182">SUM(D$590)</f>
        <v>0</v>
      </c>
      <c r="E879" s="1109">
        <f t="shared" si="182"/>
        <v>0</v>
      </c>
      <c r="F879" s="1109">
        <f t="shared" si="182"/>
        <v>5.7735780821917817E-3</v>
      </c>
      <c r="G879" s="934"/>
      <c r="H879" s="1109">
        <f>SUM(H$590)</f>
        <v>1.8469185559062884E-3</v>
      </c>
      <c r="I879" s="1109">
        <f t="shared" ref="I879:K879" si="183">SUM(I$590)</f>
        <v>1.8469185559062884E-3</v>
      </c>
      <c r="J879" s="1109">
        <f t="shared" si="183"/>
        <v>1.8469185559062884E-3</v>
      </c>
      <c r="K879" s="1109">
        <f t="shared" si="183"/>
        <v>1.8469185559062884E-3</v>
      </c>
      <c r="L879" s="934"/>
      <c r="M879" s="1109">
        <f>SUM(M$590)</f>
        <v>1.8469185559062884E-3</v>
      </c>
      <c r="N879" s="1109">
        <f t="shared" ref="N879:P879" si="184">SUM(N$590)</f>
        <v>1.8469185559062884E-3</v>
      </c>
      <c r="O879" s="1109">
        <f t="shared" si="184"/>
        <v>1.8469185559062884E-3</v>
      </c>
      <c r="P879" s="1109">
        <f t="shared" si="184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0</v>
      </c>
      <c r="D880" s="1109">
        <f t="shared" ref="D880:F880" si="185">SUM(D$597)</f>
        <v>0</v>
      </c>
      <c r="E880" s="1109">
        <f t="shared" si="185"/>
        <v>0</v>
      </c>
      <c r="F880" s="1109">
        <f t="shared" si="185"/>
        <v>0</v>
      </c>
      <c r="G880" s="934"/>
      <c r="H880" s="1109">
        <f>SUM(H$597)</f>
        <v>0</v>
      </c>
      <c r="I880" s="1109">
        <f t="shared" ref="I880:K880" si="186">SUM(I$597)</f>
        <v>0</v>
      </c>
      <c r="J880" s="1109">
        <f t="shared" si="186"/>
        <v>0</v>
      </c>
      <c r="K880" s="1109">
        <f t="shared" si="186"/>
        <v>0</v>
      </c>
      <c r="L880" s="934"/>
      <c r="M880" s="1109">
        <f>SUM(M$597)</f>
        <v>0</v>
      </c>
      <c r="N880" s="1109">
        <f t="shared" ref="N880:P880" si="187">SUM(N$597)</f>
        <v>0</v>
      </c>
      <c r="O880" s="1109">
        <f t="shared" si="187"/>
        <v>0</v>
      </c>
      <c r="P880" s="1109">
        <f t="shared" si="187"/>
        <v>0</v>
      </c>
      <c r="Q880" s="1019" t="str">
        <f>$Q$599</f>
        <v>des</v>
      </c>
      <c r="R880" s="44" t="str">
        <f t="shared" si="136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88">SUM(D$603)</f>
        <v>0</v>
      </c>
      <c r="E881" s="1109">
        <f t="shared" si="188"/>
        <v>0</v>
      </c>
      <c r="F881" s="1109">
        <f t="shared" si="188"/>
        <v>0</v>
      </c>
      <c r="G881" s="934"/>
      <c r="H881" s="1109">
        <f>SUM(H$603)</f>
        <v>1.6008841220431971E-3</v>
      </c>
      <c r="I881" s="1109">
        <f t="shared" ref="I881:K881" si="189">SUM(I$603)</f>
        <v>1.6008841220431971E-3</v>
      </c>
      <c r="J881" s="1109">
        <f t="shared" si="189"/>
        <v>1.6008841220431971E-3</v>
      </c>
      <c r="K881" s="1109">
        <f t="shared" si="189"/>
        <v>1.6008841220431971E-3</v>
      </c>
      <c r="L881" s="934"/>
      <c r="M881" s="1109">
        <f>SUM(M$603)</f>
        <v>1.6008841220431971E-3</v>
      </c>
      <c r="N881" s="1109">
        <f t="shared" ref="N881:P881" si="190">SUM(N$603)</f>
        <v>1.6008841220431971E-3</v>
      </c>
      <c r="O881" s="1109">
        <f t="shared" si="190"/>
        <v>1.6008841220431971E-3</v>
      </c>
      <c r="P881" s="1109">
        <f t="shared" si="190"/>
        <v>1.6008841220431971E-3</v>
      </c>
      <c r="Q881" s="1019" t="str">
        <f>$Q$605</f>
        <v>fpl</v>
      </c>
      <c r="R881" s="44" t="str">
        <f t="shared" si="136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91">SUM(D$609)</f>
        <v>0</v>
      </c>
      <c r="E882" s="1109">
        <f t="shared" si="191"/>
        <v>0</v>
      </c>
      <c r="F882" s="1109">
        <f t="shared" si="191"/>
        <v>0</v>
      </c>
      <c r="G882" s="934"/>
      <c r="H882" s="1109">
        <f>SUM(H$609)</f>
        <v>7.37994481039518E-3</v>
      </c>
      <c r="I882" s="1109">
        <f t="shared" ref="I882:K882" si="192">SUM(I$609)</f>
        <v>7.37994481039518E-3</v>
      </c>
      <c r="J882" s="1109">
        <f t="shared" si="192"/>
        <v>7.37994481039518E-3</v>
      </c>
      <c r="K882" s="1109">
        <f t="shared" si="192"/>
        <v>7.37994481039518E-3</v>
      </c>
      <c r="L882" s="934"/>
      <c r="M882" s="1109">
        <f>SUM(M$609)</f>
        <v>7.37994481039518E-3</v>
      </c>
      <c r="N882" s="1109">
        <f t="shared" ref="N882:P882" si="193">SUM(N$609)</f>
        <v>7.37994481039518E-3</v>
      </c>
      <c r="O882" s="1109">
        <f t="shared" si="193"/>
        <v>7.37994481039518E-3</v>
      </c>
      <c r="P882" s="1109">
        <f t="shared" si="193"/>
        <v>7.37994481039518E-3</v>
      </c>
      <c r="Q882" s="1019" t="str">
        <f>$Q$611</f>
        <v>fpl</v>
      </c>
      <c r="R882" s="44" t="str">
        <f t="shared" si="136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94">SUM(D$615)</f>
        <v>0</v>
      </c>
      <c r="E883" s="1109">
        <f t="shared" si="194"/>
        <v>0</v>
      </c>
      <c r="F883" s="1109">
        <f t="shared" si="194"/>
        <v>0</v>
      </c>
      <c r="G883" s="934"/>
      <c r="H883" s="1109">
        <f>SUM(H$615)</f>
        <v>0</v>
      </c>
      <c r="I883" s="1109">
        <f t="shared" ref="I883:K883" si="195">SUM(I$615)</f>
        <v>0</v>
      </c>
      <c r="J883" s="1109">
        <f t="shared" si="195"/>
        <v>0</v>
      </c>
      <c r="K883" s="1109">
        <f t="shared" si="195"/>
        <v>0</v>
      </c>
      <c r="L883" s="934"/>
      <c r="M883" s="1109">
        <f>SUM(M$615)</f>
        <v>0</v>
      </c>
      <c r="N883" s="1109">
        <f t="shared" ref="N883:P883" si="196">SUM(N$615)</f>
        <v>0</v>
      </c>
      <c r="O883" s="1109">
        <f t="shared" si="196"/>
        <v>0</v>
      </c>
      <c r="P883" s="1109">
        <f t="shared" si="196"/>
        <v>0</v>
      </c>
      <c r="Q883" s="1019" t="str">
        <f>$Q$617</f>
        <v>des</v>
      </c>
      <c r="R883" s="44" t="str">
        <f t="shared" si="136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97">SUM(D$621)</f>
        <v>0</v>
      </c>
      <c r="E884" s="1109">
        <f t="shared" si="197"/>
        <v>0</v>
      </c>
      <c r="F884" s="1109">
        <f t="shared" si="197"/>
        <v>0</v>
      </c>
      <c r="G884" s="934"/>
      <c r="H884" s="1109">
        <f>SUM(H$621)</f>
        <v>8.4622877826154574E-3</v>
      </c>
      <c r="I884" s="1109">
        <f t="shared" ref="I884:K884" si="198">SUM(I$621)</f>
        <v>8.4622877826154574E-3</v>
      </c>
      <c r="J884" s="1109">
        <f t="shared" si="198"/>
        <v>8.4622877826154574E-3</v>
      </c>
      <c r="K884" s="1109">
        <f t="shared" si="198"/>
        <v>8.4622877826154574E-3</v>
      </c>
      <c r="L884" s="934"/>
      <c r="M884" s="1109">
        <f>SUM(M$621)</f>
        <v>8.4622877826154574E-3</v>
      </c>
      <c r="N884" s="1109">
        <f t="shared" ref="N884:P884" si="199">SUM(N$621)</f>
        <v>8.4622877826154574E-3</v>
      </c>
      <c r="O884" s="1109">
        <f t="shared" si="199"/>
        <v>8.4622877826154574E-3</v>
      </c>
      <c r="P884" s="1109">
        <f t="shared" si="199"/>
        <v>8.4622877826154574E-3</v>
      </c>
      <c r="Q884" s="1019" t="str">
        <f>$Q$623</f>
        <v>fpl</v>
      </c>
      <c r="R884" s="44" t="str">
        <f t="shared" si="136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1"/>
      <c r="C885" s="1109">
        <f>SUM(C$627)</f>
        <v>0</v>
      </c>
      <c r="D885" s="1109">
        <f t="shared" ref="D885:F885" si="200">SUM(D$627)</f>
        <v>0</v>
      </c>
      <c r="E885" s="1109">
        <f t="shared" si="200"/>
        <v>0</v>
      </c>
      <c r="F885" s="1109">
        <f t="shared" si="200"/>
        <v>0</v>
      </c>
      <c r="G885" s="934"/>
      <c r="H885" s="1109">
        <f>SUM(H$627)</f>
        <v>0</v>
      </c>
      <c r="I885" s="1109">
        <f t="shared" ref="I885:K885" si="201">SUM(I$627)</f>
        <v>0</v>
      </c>
      <c r="J885" s="1109">
        <f t="shared" si="201"/>
        <v>0</v>
      </c>
      <c r="K885" s="1109">
        <f t="shared" si="201"/>
        <v>0</v>
      </c>
      <c r="L885" s="934"/>
      <c r="M885" s="1109">
        <f>SUM(M$627)</f>
        <v>0</v>
      </c>
      <c r="N885" s="1109">
        <f t="shared" ref="N885:P885" si="202">SUM(N$627)</f>
        <v>0</v>
      </c>
      <c r="O885" s="1109">
        <f t="shared" si="202"/>
        <v>0</v>
      </c>
      <c r="P885" s="1109">
        <f t="shared" si="202"/>
        <v>0</v>
      </c>
      <c r="Q885" s="1019" t="str">
        <f>$Q$629</f>
        <v>des</v>
      </c>
      <c r="R885" s="44" t="str">
        <f t="shared" si="136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 xml:space="preserve">Baking flour </v>
      </c>
      <c r="B886" s="1181"/>
      <c r="C886" s="1109">
        <f>SUM(C$633)</f>
        <v>6.7650971357409703E-2</v>
      </c>
      <c r="D886" s="1109">
        <f t="shared" ref="D886:F886" si="203">SUM(D$633)</f>
        <v>6.7650971357409703E-2</v>
      </c>
      <c r="E886" s="1109">
        <f t="shared" si="203"/>
        <v>6.7650971357409703E-2</v>
      </c>
      <c r="F886" s="1109">
        <f t="shared" si="203"/>
        <v>6.0134196762141955E-2</v>
      </c>
      <c r="G886" s="934"/>
      <c r="H886" s="1109">
        <f>SUM(H$633)</f>
        <v>0</v>
      </c>
      <c r="I886" s="1109">
        <f t="shared" ref="I886:K886" si="204">SUM(I$633)</f>
        <v>0</v>
      </c>
      <c r="J886" s="1109">
        <f t="shared" si="204"/>
        <v>0</v>
      </c>
      <c r="K886" s="1109">
        <f t="shared" si="204"/>
        <v>0</v>
      </c>
      <c r="L886" s="934"/>
      <c r="M886" s="1109">
        <f>SUM(M$633)</f>
        <v>-6.7650971357409703E-2</v>
      </c>
      <c r="N886" s="1109">
        <f t="shared" ref="N886:P886" si="205">SUM(N$633)</f>
        <v>-6.7650971357409703E-2</v>
      </c>
      <c r="O886" s="1109">
        <f t="shared" si="205"/>
        <v>-6.7650971357409703E-2</v>
      </c>
      <c r="P886" s="1109">
        <f t="shared" si="205"/>
        <v>-6.0134196762141955E-2</v>
      </c>
      <c r="Q886" s="1019" t="str">
        <f>$Q$635</f>
        <v>des</v>
      </c>
      <c r="R886" s="44" t="str">
        <f t="shared" si="136"/>
        <v/>
      </c>
      <c r="S886" s="46"/>
      <c r="T886" s="46"/>
      <c r="U886" s="1046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206">SUM(D$640)</f>
        <v>3.314115504358655E-2</v>
      </c>
      <c r="E887" s="1109">
        <f t="shared" si="206"/>
        <v>3.314115504358655E-2</v>
      </c>
      <c r="F887" s="1109">
        <f t="shared" si="206"/>
        <v>2.7003904109589038E-2</v>
      </c>
      <c r="G887" s="934"/>
      <c r="H887" s="1109">
        <f>SUM(H$640)</f>
        <v>0</v>
      </c>
      <c r="I887" s="1109">
        <f t="shared" ref="I887:K887" si="207">SUM(I$640)</f>
        <v>0</v>
      </c>
      <c r="J887" s="1109">
        <f t="shared" si="207"/>
        <v>0</v>
      </c>
      <c r="K887" s="1109">
        <f t="shared" si="207"/>
        <v>0</v>
      </c>
      <c r="L887" s="934"/>
      <c r="M887" s="1109">
        <f>SUM(M$640)</f>
        <v>-3.314115504358655E-2</v>
      </c>
      <c r="N887" s="1109">
        <f t="shared" ref="N887:P887" si="208">SUM(N$640)</f>
        <v>-3.314115504358655E-2</v>
      </c>
      <c r="O887" s="1109">
        <f t="shared" si="208"/>
        <v>-3.314115504358655E-2</v>
      </c>
      <c r="P887" s="1109">
        <f t="shared" si="208"/>
        <v>-2.7003904109589038E-2</v>
      </c>
      <c r="Q887" s="1019" t="str">
        <f>$Q$642</f>
        <v>dis</v>
      </c>
      <c r="R887" s="44" t="str">
        <f t="shared" si="136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538</v>
      </c>
      <c r="B888" s="1181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0.11904761904761904</v>
      </c>
      <c r="E889" s="1109">
        <f>SUM($E$667)</f>
        <v>0.11904761904761904</v>
      </c>
      <c r="F889" s="1109">
        <f>SUM($F$667)</f>
        <v>0.10582010582010581</v>
      </c>
      <c r="G889" s="934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34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34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34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34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34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34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34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34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34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38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34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34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4" t="s">
        <v>388</v>
      </c>
      <c r="B895" s="1181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1.7694834993773351E-2</v>
      </c>
      <c r="F896" s="1109">
        <f>SUM($F$691)</f>
        <v>5.3477723536737236E-2</v>
      </c>
      <c r="G896" s="934"/>
      <c r="H896" s="1109">
        <f>SUM($H$691)</f>
        <v>0</v>
      </c>
      <c r="I896" s="1109">
        <f>SUM($I$691)</f>
        <v>0</v>
      </c>
      <c r="J896" s="1109">
        <f>SUM($J$691)</f>
        <v>1.7694834993773351E-2</v>
      </c>
      <c r="K896" s="1109">
        <f>SUM($K$691)</f>
        <v>5.3477723536737236E-2</v>
      </c>
      <c r="L896" s="934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34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34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2.3069738480697384E-2</v>
      </c>
      <c r="F898" s="1109">
        <f>SUM($F$701)</f>
        <v>2.5633042756330427E-2</v>
      </c>
      <c r="G898" s="934"/>
      <c r="H898" s="1109">
        <f>SUM($H$701)</f>
        <v>0</v>
      </c>
      <c r="I898" s="1109">
        <f>SUM($I$701)</f>
        <v>0</v>
      </c>
      <c r="J898" s="1109">
        <f>SUM($J$701)</f>
        <v>2.3069738480697384E-2</v>
      </c>
      <c r="K898" s="1109">
        <f>SUM($K$701)</f>
        <v>2.5633042756330427E-2</v>
      </c>
      <c r="L898" s="934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1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1"/>
      <c r="C900" s="1109">
        <f>SUM($C$820:$C$899)</f>
        <v>1.2490408771422641</v>
      </c>
      <c r="D900" s="1109">
        <f>SUM($D$820:$D$899)</f>
        <v>1.3865300426933227</v>
      </c>
      <c r="E900" s="1109">
        <f>SUM($E$820:$E$899)</f>
        <v>1.5219052253676688</v>
      </c>
      <c r="F900" s="1109">
        <f>SUM($F$820:$F$899)</f>
        <v>1.6880054249428402</v>
      </c>
      <c r="G900" s="934"/>
      <c r="H900" s="1109">
        <f>SUM($H$820:$H$899)</f>
        <v>0.54907008348751662</v>
      </c>
      <c r="I900" s="1109">
        <f>SUM($I$820:$I$899)</f>
        <v>0.6786233141849014</v>
      </c>
      <c r="J900" s="1109">
        <f>SUM($J$820:$J$899)</f>
        <v>1.0657536455205181</v>
      </c>
      <c r="K900" s="1109">
        <f>SUM($K$820:$K$899)</f>
        <v>1.0783453233173217</v>
      </c>
      <c r="L900" s="934"/>
      <c r="M900" s="1109">
        <f>SUM($M$820:$M$899)</f>
        <v>0.13219867159461507</v>
      </c>
      <c r="N900" s="1109">
        <f>SUM($N$820:$N$899)</f>
        <v>0.14749176188104096</v>
      </c>
      <c r="O900" s="1109">
        <f>SUM($O$820:$O$899)</f>
        <v>0.19890382251304578</v>
      </c>
      <c r="P900" s="1109">
        <f>SUM($P$820:$P$899)</f>
        <v>0.13986217764138414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523</v>
      </c>
      <c r="B901" s="1181"/>
      <c r="C901" s="1193">
        <f>SUMPRODUCT(C859:C887,$S859:$S887)</f>
        <v>0</v>
      </c>
      <c r="D901" s="1193">
        <f>SUMPRODUCT(D859:D887,$S859:$S887)</f>
        <v>0</v>
      </c>
      <c r="E901" s="1193">
        <f>SUMPRODUCT(E859:E887,$S859:$S887)</f>
        <v>0</v>
      </c>
      <c r="F901" s="1193">
        <f>SUMPRODUCT(F859:F887,$S859:$S887)</f>
        <v>0</v>
      </c>
      <c r="G901" s="934"/>
      <c r="H901" s="1193">
        <f>SUMPRODUCT(H859:H887,$S859:$S887)</f>
        <v>0</v>
      </c>
      <c r="I901" s="1193">
        <f>SUMPRODUCT(I859:I887,$S859:$S887)</f>
        <v>0</v>
      </c>
      <c r="J901" s="1193">
        <f>SUMPRODUCT(J859:J887,$S859:$S887)</f>
        <v>0</v>
      </c>
      <c r="K901" s="1193">
        <f>SUMPRODUCT(K859:K887,$S859:$S887)</f>
        <v>0</v>
      </c>
      <c r="L901" s="934"/>
      <c r="M901" s="1193">
        <f>SUMPRODUCT(M859:M887,$S859:$S887)</f>
        <v>0</v>
      </c>
      <c r="N901" s="1193">
        <f>SUMPRODUCT(N859:N887,$S859:$S887)</f>
        <v>0</v>
      </c>
      <c r="O901" s="1193">
        <f>SUMPRODUCT(O859:O887,$S859:$S887)</f>
        <v>0</v>
      </c>
      <c r="P901" s="1193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46" t="s">
        <v>389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6">
        <v>902</v>
      </c>
      <c r="V902" s="46"/>
    </row>
    <row r="903" spans="1:22" ht="15.75" customHeight="1">
      <c r="A903" s="1196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6">
        <v>903</v>
      </c>
      <c r="V903" s="46"/>
    </row>
    <row r="904" spans="1:22" ht="15.75" customHeight="1">
      <c r="A904" s="1345" t="s">
        <v>390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9">IF(S904&gt;S903,S904,"")</f>
        <v/>
      </c>
      <c r="U904" s="1046">
        <v>904</v>
      </c>
      <c r="V904" s="46"/>
    </row>
    <row r="905" spans="1:22" ht="15.75" customHeight="1">
      <c r="A905" s="44" t="s">
        <v>391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210">IF(MAX(C905:F905,H905:K905)&gt;0,S904+1,S904)</f>
        <v>0</v>
      </c>
      <c r="T905" s="46" t="str">
        <f t="shared" si="209"/>
        <v/>
      </c>
      <c r="U905" s="1046">
        <v>905</v>
      </c>
      <c r="V905" s="46"/>
    </row>
    <row r="906" spans="1:22" ht="15.75" customHeight="1">
      <c r="A906" s="44" t="s">
        <v>392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210"/>
        <v>0</v>
      </c>
      <c r="T906" s="46" t="str">
        <f t="shared" si="209"/>
        <v/>
      </c>
      <c r="U906" s="1046">
        <v>906</v>
      </c>
      <c r="V906" s="46"/>
    </row>
    <row r="907" spans="1:22" ht="15.75" customHeight="1">
      <c r="A907" s="1345" t="s">
        <v>393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210"/>
        <v>0</v>
      </c>
      <c r="T907" s="46" t="str">
        <f t="shared" si="209"/>
        <v/>
      </c>
      <c r="U907" s="1046">
        <v>907</v>
      </c>
      <c r="V907" s="46"/>
    </row>
    <row r="908" spans="1:22" ht="15.75" customHeight="1">
      <c r="A908" s="44" t="s">
        <v>394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210"/>
        <v>0</v>
      </c>
      <c r="T908" s="46" t="str">
        <f t="shared" si="209"/>
        <v/>
      </c>
      <c r="U908" s="1046">
        <v>908</v>
      </c>
      <c r="V908" s="46"/>
    </row>
    <row r="909" spans="1:22" ht="15.75" customHeight="1">
      <c r="A909" s="44" t="s">
        <v>395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210"/>
        <v>0</v>
      </c>
      <c r="T909" s="46" t="str">
        <f t="shared" si="209"/>
        <v/>
      </c>
      <c r="U909" s="1046">
        <v>909</v>
      </c>
      <c r="V909" s="46"/>
    </row>
    <row r="910" spans="1:22" ht="15.75" customHeight="1">
      <c r="A910" s="1345" t="s">
        <v>396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210"/>
        <v>0</v>
      </c>
      <c r="T910" s="46" t="str">
        <f t="shared" si="209"/>
        <v/>
      </c>
      <c r="U910" s="1046">
        <v>910</v>
      </c>
      <c r="V910" s="46"/>
    </row>
    <row r="911" spans="1:22" ht="15.75" customHeight="1">
      <c r="A911" s="44" t="s">
        <v>397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210"/>
        <v>0</v>
      </c>
      <c r="T911" s="46" t="str">
        <f t="shared" si="209"/>
        <v/>
      </c>
      <c r="U911" s="1046">
        <v>911</v>
      </c>
      <c r="V911" s="46"/>
    </row>
    <row r="912" spans="1:22" ht="15.75" customHeight="1">
      <c r="A912" s="44" t="s">
        <v>398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210"/>
        <v>0</v>
      </c>
      <c r="T912" s="46" t="str">
        <f t="shared" si="209"/>
        <v/>
      </c>
      <c r="U912" s="1046">
        <v>912</v>
      </c>
      <c r="V912" s="46"/>
    </row>
    <row r="913" spans="1:22" ht="15.75" customHeight="1">
      <c r="A913" s="1345" t="s">
        <v>399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210"/>
        <v>0</v>
      </c>
      <c r="T913" s="46" t="str">
        <f t="shared" si="209"/>
        <v/>
      </c>
      <c r="U913" s="1046">
        <v>913</v>
      </c>
      <c r="V913" s="46"/>
    </row>
    <row r="914" spans="1:22" ht="15.75" customHeight="1">
      <c r="A914" s="44" t="s">
        <v>400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210"/>
        <v>0</v>
      </c>
      <c r="T914" s="46" t="str">
        <f t="shared" si="209"/>
        <v/>
      </c>
      <c r="U914" s="1046">
        <v>914</v>
      </c>
      <c r="V914" s="46"/>
    </row>
    <row r="915" spans="1:22" ht="15.75" customHeight="1">
      <c r="A915" s="44" t="s">
        <v>401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210"/>
        <v>0</v>
      </c>
      <c r="T915" s="46" t="str">
        <f t="shared" si="209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210"/>
        <v>0</v>
      </c>
      <c r="T916" s="46" t="str">
        <f t="shared" si="209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210"/>
        <v>0</v>
      </c>
      <c r="T917" s="46" t="str">
        <f t="shared" si="209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210"/>
        <v>0</v>
      </c>
      <c r="T918" s="46" t="str">
        <f t="shared" si="209"/>
        <v/>
      </c>
      <c r="U918" s="1046">
        <v>918</v>
      </c>
      <c r="V918" s="46"/>
    </row>
    <row r="919" spans="1:22" ht="15.75" customHeight="1">
      <c r="A919" s="1196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210"/>
        <v>0</v>
      </c>
      <c r="T919" s="46" t="str">
        <f t="shared" si="209"/>
        <v/>
      </c>
      <c r="U919" s="1046">
        <v>919</v>
      </c>
      <c r="V919" s="46"/>
    </row>
    <row r="920" spans="1:22" ht="15.75" customHeight="1">
      <c r="A920" s="1345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210"/>
        <v>0</v>
      </c>
      <c r="T920" s="46" t="str">
        <f t="shared" si="209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210"/>
        <v>0</v>
      </c>
      <c r="T921" s="46" t="str">
        <f t="shared" si="209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210"/>
        <v>0</v>
      </c>
      <c r="T922" s="46" t="str">
        <f t="shared" si="209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210"/>
        <v>0</v>
      </c>
      <c r="T923" s="46" t="str">
        <f t="shared" si="209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0</v>
      </c>
      <c r="E924" s="1096">
        <f>SUM($E$200)</f>
        <v>2000</v>
      </c>
      <c r="F924" s="1096">
        <f>SUM($F$200)</f>
        <v>8000</v>
      </c>
      <c r="G924" s="1181"/>
      <c r="H924" s="1096">
        <f>SUM($H$200)</f>
        <v>0</v>
      </c>
      <c r="I924" s="1096">
        <f>SUM($I$200)</f>
        <v>0</v>
      </c>
      <c r="J924" s="1096">
        <f>SUM($J$200)</f>
        <v>2000</v>
      </c>
      <c r="K924" s="1096">
        <f>SUM($K$200)</f>
        <v>10000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2000</v>
      </c>
      <c r="R924" s="44"/>
      <c r="S924" s="46">
        <f t="shared" si="210"/>
        <v>1</v>
      </c>
      <c r="T924" s="46">
        <f t="shared" si="209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210"/>
        <v>1</v>
      </c>
      <c r="T925" s="46" t="str">
        <f t="shared" si="209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0</v>
      </c>
      <c r="D926" s="1096">
        <f>SUM($D$207)</f>
        <v>500</v>
      </c>
      <c r="E926" s="1096">
        <f>SUM($E$207)</f>
        <v>1500</v>
      </c>
      <c r="F926" s="1096">
        <f>SUM($F$207)</f>
        <v>2500</v>
      </c>
      <c r="G926" s="1181"/>
      <c r="H926" s="1096">
        <f>SUM($H$207)</f>
        <v>0</v>
      </c>
      <c r="I926" s="1096">
        <f>SUM($I$207)</f>
        <v>500</v>
      </c>
      <c r="J926" s="1096">
        <f>SUM($J$207)</f>
        <v>2500</v>
      </c>
      <c r="K926" s="1096">
        <f>SUM($K$207)</f>
        <v>3000</v>
      </c>
      <c r="L926" s="1181"/>
      <c r="M926" s="1096">
        <f>SUM($M$207)</f>
        <v>0</v>
      </c>
      <c r="N926" s="1096">
        <f>SUM($N$207)</f>
        <v>0</v>
      </c>
      <c r="O926" s="1096">
        <f>SUM($O$207)</f>
        <v>1000</v>
      </c>
      <c r="P926" s="1096">
        <f>SUM($P$207)</f>
        <v>500</v>
      </c>
      <c r="R926" s="44"/>
      <c r="S926" s="46">
        <f t="shared" si="210"/>
        <v>2</v>
      </c>
      <c r="T926" s="46">
        <f t="shared" si="209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210"/>
        <v>2</v>
      </c>
      <c r="T927" s="46" t="str">
        <f t="shared" si="209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210"/>
        <v>2</v>
      </c>
      <c r="T928" s="46" t="str">
        <f t="shared" si="209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550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210"/>
        <v>3</v>
      </c>
      <c r="T929" s="46">
        <f t="shared" si="209"/>
        <v>3</v>
      </c>
      <c r="U929" s="1046">
        <v>929</v>
      </c>
      <c r="V929" s="46"/>
    </row>
    <row r="930" spans="1:22" ht="15.75" customHeight="1">
      <c r="A930" s="1196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210"/>
        <v>3</v>
      </c>
      <c r="T930" s="46" t="str">
        <f t="shared" si="209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210"/>
        <v>3</v>
      </c>
      <c r="T931" s="46" t="str">
        <f t="shared" si="209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500</v>
      </c>
      <c r="F932" s="1096">
        <f>SUM($F$241)</f>
        <v>655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-500</v>
      </c>
      <c r="P932" s="1096">
        <f>SUM($P$241)</f>
        <v>-655</v>
      </c>
      <c r="R932" s="44">
        <v>10</v>
      </c>
      <c r="S932" s="46">
        <f t="shared" si="210"/>
        <v>4</v>
      </c>
      <c r="T932" s="46">
        <f t="shared" si="209"/>
        <v>4</v>
      </c>
      <c r="U932" s="1046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210"/>
        <v>4</v>
      </c>
      <c r="T933" s="46" t="str">
        <f t="shared" si="209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210"/>
        <v>4</v>
      </c>
      <c r="T934" s="46" t="str">
        <f t="shared" si="209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210"/>
        <v>4</v>
      </c>
      <c r="T935" s="46" t="str">
        <f t="shared" si="209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210"/>
        <v>4</v>
      </c>
      <c r="T936" s="46" t="str">
        <f t="shared" si="209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1250</v>
      </c>
      <c r="F937" s="1096">
        <f>SUM($F$276)</f>
        <v>1250</v>
      </c>
      <c r="G937" s="1181"/>
      <c r="H937" s="1096">
        <f>SUM($H$276)</f>
        <v>0</v>
      </c>
      <c r="I937" s="1096">
        <f>SUM($I$276)</f>
        <v>0</v>
      </c>
      <c r="J937" s="1096">
        <f>SUM($J$276)</f>
        <v>3062.5</v>
      </c>
      <c r="K937" s="1096">
        <f>SUM($K$276)</f>
        <v>2325</v>
      </c>
      <c r="L937" s="1181"/>
      <c r="M937" s="1096">
        <f>SUM($M$276)</f>
        <v>0</v>
      </c>
      <c r="N937" s="1096">
        <f>SUM($N$276)</f>
        <v>0</v>
      </c>
      <c r="O937" s="1096">
        <f>SUM($O$276)</f>
        <v>1812.5</v>
      </c>
      <c r="P937" s="1096">
        <f>SUM($P$276)</f>
        <v>1075</v>
      </c>
      <c r="R937" s="44">
        <v>15</v>
      </c>
      <c r="S937" s="46">
        <f t="shared" si="210"/>
        <v>5</v>
      </c>
      <c r="T937" s="46">
        <f t="shared" si="209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210"/>
        <v>5</v>
      </c>
      <c r="T938" s="46" t="str">
        <f t="shared" si="209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210"/>
        <v>5</v>
      </c>
      <c r="T939" s="46" t="str">
        <f t="shared" si="209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210"/>
        <v>5</v>
      </c>
      <c r="T940" s="46" t="str">
        <f t="shared" si="209"/>
        <v/>
      </c>
      <c r="U940" s="1046">
        <v>940</v>
      </c>
      <c r="V940" s="46"/>
    </row>
    <row r="941" spans="1:22" ht="15.75" customHeight="1">
      <c r="A941" s="1191" t="str">
        <f>$A$300</f>
        <v>Cassava: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210"/>
        <v>5</v>
      </c>
      <c r="T941" s="46" t="str">
        <f t="shared" si="209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1"/>
      <c r="C942" s="1096">
        <f>SUM($C$317)</f>
        <v>0</v>
      </c>
      <c r="D942" s="1096">
        <f>SUM($D$317)</f>
        <v>0</v>
      </c>
      <c r="E942" s="1096">
        <f>SUM($E$317)</f>
        <v>99</v>
      </c>
      <c r="F942" s="1096">
        <f>SUM($F$317)</f>
        <v>99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-99</v>
      </c>
      <c r="P942" s="1096">
        <f>SUM($P$317)</f>
        <v>-99</v>
      </c>
      <c r="R942" s="44">
        <v>20</v>
      </c>
      <c r="S942" s="46">
        <f t="shared" si="210"/>
        <v>6</v>
      </c>
      <c r="T942" s="46">
        <f t="shared" si="209"/>
        <v>6</v>
      </c>
      <c r="U942" s="1046">
        <v>942</v>
      </c>
      <c r="V942" s="46"/>
    </row>
    <row r="943" spans="1:22" ht="15.75" customHeight="1">
      <c r="A943" s="44" t="str">
        <f>$A$320</f>
        <v>Pumpkin: no. local meas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210"/>
        <v>6</v>
      </c>
      <c r="T943" s="46" t="str">
        <f t="shared" si="209"/>
        <v/>
      </c>
      <c r="U943" s="1046">
        <v>943</v>
      </c>
      <c r="V943" s="46"/>
    </row>
    <row r="944" spans="1:22" ht="15.75" customHeight="1">
      <c r="A944" s="44" t="str">
        <f>$A$330</f>
        <v>Sweet poatato: no. local meas</v>
      </c>
      <c r="B944" s="1181"/>
      <c r="C944" s="1096">
        <f>SUM($C$337)</f>
        <v>0</v>
      </c>
      <c r="D944" s="1096">
        <f>SUM($D$337)</f>
        <v>0</v>
      </c>
      <c r="E944" s="1096">
        <f>SUM($E$337)</f>
        <v>250</v>
      </c>
      <c r="F944" s="1096">
        <f>SUM($F$337)</f>
        <v>750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0</v>
      </c>
      <c r="N944" s="1096">
        <f>SUM($N$337)</f>
        <v>0</v>
      </c>
      <c r="O944" s="1096">
        <f>SUM($O$337)</f>
        <v>-250</v>
      </c>
      <c r="P944" s="1096">
        <f>SUM($P$337)</f>
        <v>-750</v>
      </c>
      <c r="R944" s="44">
        <v>22</v>
      </c>
      <c r="S944" s="46">
        <f t="shared" si="210"/>
        <v>7</v>
      </c>
      <c r="T944" s="46">
        <f t="shared" si="209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650</v>
      </c>
      <c r="E945" s="1096">
        <f>SUM($E$347)</f>
        <v>250</v>
      </c>
      <c r="F945" s="1096">
        <f>SUM($F$347)</f>
        <v>1140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-650</v>
      </c>
      <c r="O945" s="1096">
        <f>SUM($O$347)</f>
        <v>-250</v>
      </c>
      <c r="P945" s="1096">
        <f>SUM($P$347)</f>
        <v>-1140</v>
      </c>
      <c r="R945" s="44">
        <v>23</v>
      </c>
      <c r="S945" s="46">
        <f t="shared" si="210"/>
        <v>8</v>
      </c>
      <c r="T945" s="46">
        <f t="shared" si="209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210"/>
        <v>8</v>
      </c>
      <c r="T946" s="46" t="str">
        <f t="shared" si="209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1"/>
      <c r="C947" s="1096">
        <f>SUM($C$368)</f>
        <v>0</v>
      </c>
      <c r="D947" s="1096">
        <f>SUM($D$368)</f>
        <v>36</v>
      </c>
      <c r="E947" s="1096">
        <f>SUM($E$368)</f>
        <v>772</v>
      </c>
      <c r="F947" s="1096">
        <f>SUM($F$368)</f>
        <v>280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-36</v>
      </c>
      <c r="O947" s="1096">
        <f>SUM($O$368)</f>
        <v>-772</v>
      </c>
      <c r="P947" s="1096">
        <f>SUM($P$368)</f>
        <v>-280</v>
      </c>
      <c r="R947" s="44">
        <v>25</v>
      </c>
      <c r="S947" s="46">
        <f t="shared" si="210"/>
        <v>9</v>
      </c>
      <c r="T947" s="46">
        <f t="shared" si="209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210"/>
        <v>9</v>
      </c>
      <c r="T948" s="46" t="str">
        <f t="shared" si="209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1"/>
      <c r="C949" s="1096">
        <f>SUM($C$389)</f>
        <v>0</v>
      </c>
      <c r="D949" s="1096">
        <f>SUM($D$389)</f>
        <v>0</v>
      </c>
      <c r="E949" s="1096">
        <f>SUM($E$389)</f>
        <v>400</v>
      </c>
      <c r="F949" s="1096">
        <f>SUM($F$389)</f>
        <v>500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210"/>
        <v>10</v>
      </c>
      <c r="T949" s="46">
        <f t="shared" si="209"/>
        <v>10</v>
      </c>
      <c r="U949" s="1046">
        <v>949</v>
      </c>
      <c r="V949" s="46"/>
    </row>
    <row r="950" spans="1:22" ht="15.75" customHeight="1">
      <c r="A950" s="1191" t="str">
        <f>$A$392</f>
        <v>Main cashcrop kg sold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210"/>
        <v>10</v>
      </c>
      <c r="T950" s="46" t="str">
        <f t="shared" si="209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1"/>
      <c r="C951" s="1096">
        <f>SUM($C$397)</f>
        <v>0</v>
      </c>
      <c r="D951" s="1096">
        <f>SUM($D$397)</f>
        <v>150</v>
      </c>
      <c r="E951" s="1096">
        <f>SUM($E$397)</f>
        <v>100</v>
      </c>
      <c r="F951" s="1096">
        <f>SUM($F$397)</f>
        <v>300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210"/>
        <v>11</v>
      </c>
      <c r="T951" s="46">
        <f t="shared" si="209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210"/>
        <v>11</v>
      </c>
      <c r="T952" s="46" t="str">
        <f t="shared" si="209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210"/>
        <v>11</v>
      </c>
      <c r="T953" s="46" t="str">
        <f t="shared" si="209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500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210"/>
        <v>12</v>
      </c>
      <c r="T954" s="46">
        <f t="shared" si="209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300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210"/>
        <v>13</v>
      </c>
      <c r="T955" s="46">
        <f t="shared" si="209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210"/>
        <v>13</v>
      </c>
      <c r="T956" s="46" t="str">
        <f t="shared" si="209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210"/>
        <v>13</v>
      </c>
      <c r="T957" s="46" t="str">
        <f t="shared" si="209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210"/>
        <v>13</v>
      </c>
      <c r="T958" s="46" t="str">
        <f t="shared" si="209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210"/>
        <v>13</v>
      </c>
      <c r="T959" s="46" t="str">
        <f t="shared" si="209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210"/>
        <v>13</v>
      </c>
      <c r="T960" s="46" t="str">
        <f t="shared" si="209"/>
        <v/>
      </c>
      <c r="U960" s="1046">
        <v>960</v>
      </c>
      <c r="V960" s="46"/>
    </row>
    <row r="961" spans="1:22" ht="15.75" customHeight="1">
      <c r="A961" s="1346" t="s">
        <v>679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210"/>
        <v>13</v>
      </c>
      <c r="T961" s="46" t="str">
        <f t="shared" si="209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47"/>
      <c r="C962" s="1349">
        <f>C435</f>
        <v>0</v>
      </c>
      <c r="D962" s="1349">
        <f>D435</f>
        <v>0</v>
      </c>
      <c r="E962" s="1349">
        <f>E435</f>
        <v>0</v>
      </c>
      <c r="F962" s="1349">
        <f>F435</f>
        <v>0</v>
      </c>
      <c r="G962" s="1348"/>
      <c r="H962" s="1349">
        <f>H435</f>
        <v>0</v>
      </c>
      <c r="I962" s="1349">
        <f>I435</f>
        <v>0</v>
      </c>
      <c r="J962" s="1349">
        <f>J435</f>
        <v>0</v>
      </c>
      <c r="K962" s="1349">
        <f>K435</f>
        <v>0</v>
      </c>
      <c r="L962" s="1348"/>
      <c r="M962" s="1349">
        <f>M435</f>
        <v>0</v>
      </c>
      <c r="N962" s="1349">
        <f>N435</f>
        <v>0</v>
      </c>
      <c r="O962" s="1349">
        <f>O435</f>
        <v>0</v>
      </c>
      <c r="P962" s="1349">
        <f>P435</f>
        <v>0</v>
      </c>
      <c r="R962" s="44">
        <v>28</v>
      </c>
      <c r="S962" s="46">
        <f t="shared" si="210"/>
        <v>13</v>
      </c>
      <c r="T962" s="46" t="str">
        <f t="shared" si="209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47"/>
      <c r="C963" s="1350">
        <f>C445</f>
        <v>0</v>
      </c>
      <c r="D963" s="1350">
        <f>D445</f>
        <v>0</v>
      </c>
      <c r="E963" s="1350">
        <f>E445</f>
        <v>0</v>
      </c>
      <c r="F963" s="1350">
        <f>F445</f>
        <v>0</v>
      </c>
      <c r="G963" s="1348"/>
      <c r="H963" s="1350">
        <f>H445</f>
        <v>0</v>
      </c>
      <c r="I963" s="1350">
        <f>I445</f>
        <v>0</v>
      </c>
      <c r="J963" s="1350">
        <f>J445</f>
        <v>0</v>
      </c>
      <c r="K963" s="1350">
        <f>K445</f>
        <v>0</v>
      </c>
      <c r="L963" s="1348"/>
      <c r="M963" s="1350">
        <f>M445</f>
        <v>0</v>
      </c>
      <c r="N963" s="1350">
        <f>N445</f>
        <v>0</v>
      </c>
      <c r="O963" s="1350">
        <f>O445</f>
        <v>0</v>
      </c>
      <c r="P963" s="1350">
        <f>P445</f>
        <v>0</v>
      </c>
      <c r="R963" s="44">
        <v>29</v>
      </c>
      <c r="S963" s="46">
        <f t="shared" si="210"/>
        <v>13</v>
      </c>
      <c r="T963" s="46" t="str">
        <f t="shared" si="209"/>
        <v/>
      </c>
      <c r="U963" s="1046">
        <v>963</v>
      </c>
      <c r="V963" s="46"/>
    </row>
    <row r="964" spans="1:22" ht="15.75" customHeight="1">
      <c r="A964" s="1196" t="s">
        <v>403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210"/>
        <v>13</v>
      </c>
      <c r="T964" s="46" t="str">
        <f t="shared" si="209"/>
        <v/>
      </c>
      <c r="U964" s="1046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1109</v>
      </c>
      <c r="E965" s="1096">
        <f>SUM($E$708)</f>
        <v>752</v>
      </c>
      <c r="F965" s="1096">
        <f>SUM($F$708)</f>
        <v>0</v>
      </c>
      <c r="G965" s="1181"/>
      <c r="H965" s="1096">
        <f>SUM($H$708)</f>
        <v>0</v>
      </c>
      <c r="I965" s="1096">
        <f>SUM($I$708)</f>
        <v>1109</v>
      </c>
      <c r="J965" s="1096">
        <f>SUM($J$708)</f>
        <v>752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210"/>
        <v>14</v>
      </c>
      <c r="T965" s="46">
        <f t="shared" si="209"/>
        <v>14</v>
      </c>
      <c r="U965" s="1046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210"/>
        <v>14</v>
      </c>
      <c r="T966" s="46" t="str">
        <f t="shared" si="209"/>
        <v/>
      </c>
      <c r="U966" s="1046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210"/>
        <v>14</v>
      </c>
      <c r="T967" s="46" t="str">
        <f t="shared" si="209"/>
        <v/>
      </c>
      <c r="U967" s="1046">
        <v>967</v>
      </c>
      <c r="V967" s="46"/>
    </row>
    <row r="968" spans="1:22" ht="15.75" customHeight="1">
      <c r="A968" s="805" t="s">
        <v>678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210"/>
        <v>14</v>
      </c>
      <c r="T968" s="46" t="str">
        <f t="shared" ref="T968:T983" si="211">IF(S968&gt;S967,S968,"")</f>
        <v/>
      </c>
      <c r="U968" s="1046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11000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11000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212">IF(MAX(C969:F969,H969:K969)&gt;0,S968+1,S968)</f>
        <v>15</v>
      </c>
      <c r="T969" s="46">
        <f t="shared" si="211"/>
        <v>15</v>
      </c>
      <c r="U969" s="1046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23760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23760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212"/>
        <v>16</v>
      </c>
      <c r="T970" s="46">
        <f t="shared" si="211"/>
        <v>16</v>
      </c>
      <c r="U970" s="1046">
        <v>970</v>
      </c>
      <c r="V970" s="46"/>
    </row>
    <row r="971" spans="1:22" ht="15.75" customHeight="1">
      <c r="A971" s="1196" t="s">
        <v>405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212"/>
        <v>16</v>
      </c>
      <c r="T971" s="46" t="str">
        <f t="shared" si="211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212"/>
        <v>16</v>
      </c>
      <c r="T972" s="46" t="str">
        <f t="shared" si="211"/>
        <v/>
      </c>
      <c r="U972" s="1046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429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514.79999999999995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85.799999999999955</v>
      </c>
      <c r="P973" s="1096">
        <f>SUM($P$755)</f>
        <v>0</v>
      </c>
      <c r="R973" s="44"/>
      <c r="S973" s="46">
        <f t="shared" si="212"/>
        <v>17</v>
      </c>
      <c r="T973" s="46">
        <f t="shared" si="211"/>
        <v>17</v>
      </c>
      <c r="U973" s="1046">
        <v>973</v>
      </c>
      <c r="V973" s="46"/>
    </row>
    <row r="974" spans="1:22" ht="15.75" customHeight="1">
      <c r="A974" s="1196" t="s">
        <v>406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212"/>
        <v>17</v>
      </c>
      <c r="T974" s="46" t="str">
        <f t="shared" si="211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2160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212"/>
        <v>18</v>
      </c>
      <c r="T975" s="46">
        <f t="shared" si="211"/>
        <v>18</v>
      </c>
      <c r="U975" s="1046">
        <v>975</v>
      </c>
      <c r="V975" s="46"/>
    </row>
    <row r="976" spans="1:22" ht="15.75" customHeight="1">
      <c r="A976" s="1346" t="s">
        <v>680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212"/>
        <v>18</v>
      </c>
      <c r="T976" s="46" t="str">
        <f t="shared" si="211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22020</v>
      </c>
      <c r="E977" s="1096">
        <f>SUM($E$743)</f>
        <v>22020</v>
      </c>
      <c r="F977" s="1096">
        <f>SUM($F$743)</f>
        <v>6162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212"/>
        <v>19</v>
      </c>
      <c r="T977" s="46">
        <f t="shared" si="211"/>
        <v>19</v>
      </c>
      <c r="U977" s="1046">
        <v>977</v>
      </c>
      <c r="V977" s="46"/>
    </row>
    <row r="978" spans="1:22" ht="15.75" customHeight="1">
      <c r="A978" s="805" t="s">
        <v>407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212"/>
        <v>19</v>
      </c>
      <c r="T978" s="46" t="str">
        <f t="shared" si="211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0</v>
      </c>
      <c r="E979" s="1096">
        <f>SUM($E$749)</f>
        <v>371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212"/>
        <v>20</v>
      </c>
      <c r="T979" s="46">
        <f t="shared" si="211"/>
        <v>20</v>
      </c>
      <c r="U979" s="1046">
        <v>979</v>
      </c>
      <c r="V979" s="46"/>
    </row>
    <row r="980" spans="1:22" ht="15.75" customHeight="1">
      <c r="A980" s="1196" t="s">
        <v>524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212"/>
        <v>20</v>
      </c>
      <c r="T980" s="46" t="str">
        <f t="shared" si="211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212"/>
        <v>20</v>
      </c>
      <c r="T981" s="46" t="str">
        <f t="shared" si="211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1600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212"/>
        <v>21</v>
      </c>
      <c r="T982" s="46">
        <f t="shared" si="211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0</v>
      </c>
      <c r="E983" s="1096">
        <f>SUM(E$727)</f>
        <v>0</v>
      </c>
      <c r="F983" s="1096">
        <f>SUM(F$727)</f>
        <v>0</v>
      </c>
      <c r="G983" s="1181"/>
      <c r="H983" s="1096">
        <f>SUM(H$727)</f>
        <v>0</v>
      </c>
      <c r="I983" s="1096">
        <f>SUM(I$727)</f>
        <v>0</v>
      </c>
      <c r="J983" s="1096">
        <f>SUM(J$727)</f>
        <v>0</v>
      </c>
      <c r="K983" s="1096">
        <f>SUM(K$727)</f>
        <v>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212"/>
        <v>21</v>
      </c>
      <c r="T983" s="46" t="str">
        <f t="shared" si="211"/>
        <v/>
      </c>
      <c r="U983" s="1046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1"/>
      <c r="C985" s="1096">
        <f>SUM($C$904:$C$984)</f>
        <v>22020</v>
      </c>
      <c r="D985" s="1096">
        <f>SUM($D$904:$D$984)</f>
        <v>24465</v>
      </c>
      <c r="E985" s="1096">
        <f>SUM($E$904:$E$984)</f>
        <v>34453</v>
      </c>
      <c r="F985" s="1096">
        <f>SUM($F$904:$F$984)</f>
        <v>57746</v>
      </c>
      <c r="G985" s="1181"/>
      <c r="H985" s="1096">
        <f>SUM($H$904:$H$984)</f>
        <v>0</v>
      </c>
      <c r="I985" s="1096">
        <f>SUM($I$904:$I$984)</f>
        <v>1609</v>
      </c>
      <c r="J985" s="1096">
        <f>SUM($J$904:$J$984)</f>
        <v>8829.2999999999993</v>
      </c>
      <c r="K985" s="1096">
        <f>SUM($K$904:$K$984)</f>
        <v>50085</v>
      </c>
      <c r="L985" s="1181"/>
      <c r="M985" s="1096">
        <f>SUM($M$904:$M$984)</f>
        <v>0</v>
      </c>
      <c r="N985" s="1096">
        <f>SUM($N$904:$N$984)</f>
        <v>-686</v>
      </c>
      <c r="O985" s="1096">
        <f>SUM($O$904:$O$984)</f>
        <v>1027.3</v>
      </c>
      <c r="P985" s="1096">
        <f>SUM($P$904:$P$984)</f>
        <v>651</v>
      </c>
      <c r="R985" s="44"/>
      <c r="S985" s="46"/>
      <c r="T985" s="46"/>
      <c r="U985" s="1046">
        <v>985</v>
      </c>
      <c r="V985" s="46"/>
    </row>
    <row r="986" spans="1:22" ht="15.75" customHeight="1">
      <c r="A986" s="1194"/>
      <c r="B986" s="1181"/>
      <c r="C986" s="1181"/>
      <c r="D986" s="1181"/>
      <c r="E986" s="1181"/>
      <c r="F986" s="1181"/>
      <c r="G986" s="1181"/>
      <c r="H986" s="1195"/>
      <c r="I986" s="1195"/>
      <c r="J986" s="1195"/>
      <c r="K986" s="1195"/>
      <c r="L986" s="1181"/>
      <c r="M986" s="1181"/>
      <c r="N986" s="1181"/>
      <c r="O986" s="1181"/>
      <c r="P986" s="1181"/>
      <c r="R986" s="44"/>
      <c r="S986" s="46"/>
      <c r="T986" s="46"/>
      <c r="U986" s="1046">
        <v>986</v>
      </c>
      <c r="V986" s="46"/>
    </row>
    <row r="987" spans="1:22" ht="15.75" customHeight="1">
      <c r="A987" s="1196" t="s">
        <v>410</v>
      </c>
      <c r="B987" s="1181"/>
      <c r="C987" s="1024"/>
      <c r="D987" s="1024"/>
      <c r="E987" s="1024"/>
      <c r="F987" s="1024"/>
      <c r="G987" s="1177"/>
      <c r="H987" s="1190"/>
      <c r="I987" s="1190"/>
      <c r="J987" s="1190"/>
      <c r="K987" s="1190"/>
      <c r="L987" s="1177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1"/>
      <c r="C988" s="784">
        <f>SUM(C457,C466,C475,C484,C493,C502,C635)</f>
        <v>4820</v>
      </c>
      <c r="D988" s="784">
        <f t="shared" ref="D988:F988" si="213">SUM(D457,D466,D475,D484,D493,D502,D635)</f>
        <v>4825</v>
      </c>
      <c r="E988" s="784">
        <f t="shared" si="213"/>
        <v>5180</v>
      </c>
      <c r="F988" s="784">
        <f t="shared" si="213"/>
        <v>8340</v>
      </c>
      <c r="G988" s="1181"/>
      <c r="H988" s="784">
        <f>SUM(H457,H466,H475,H484,H493,H502,H635)</f>
        <v>5845.2942856068212</v>
      </c>
      <c r="I988" s="784">
        <f t="shared" ref="I988:K988" si="214">SUM(I457,I466,I475,I484,I493,I502,I635)</f>
        <v>5845.2942856068212</v>
      </c>
      <c r="J988" s="784">
        <f t="shared" si="214"/>
        <v>5845.2942856068212</v>
      </c>
      <c r="K988" s="784">
        <f t="shared" si="214"/>
        <v>6575.9560713076735</v>
      </c>
      <c r="L988" s="1181"/>
      <c r="M988" s="784">
        <f>SUM(M457,M466,M475,M484,M493,M502,M635)</f>
        <v>3845.2942856068212</v>
      </c>
      <c r="N988" s="784">
        <f t="shared" ref="N988:P988" si="215">SUM(N457,N466,N475,N484,N493,N502,N635)</f>
        <v>3805.2942856068212</v>
      </c>
      <c r="O988" s="784">
        <f t="shared" si="215"/>
        <v>3685.2942856068212</v>
      </c>
      <c r="P988" s="784">
        <f t="shared" si="215"/>
        <v>1355.9560713076739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701</v>
      </c>
      <c r="B989" s="1181"/>
      <c r="C989" s="784">
        <f>SUM(C508,C514,C520,C526,C532,C538,C544,C550,C556,C562,C568,C574,C580,C586,C592,C605,C611,C623,C772:C773)</f>
        <v>2952</v>
      </c>
      <c r="D989" s="784">
        <f t="shared" ref="D989:F989" si="216">SUM(D508,D514,D520,D526,D532,D538,D544,D550,D556,D562,D568,D574,D580,D586,D592,D605,D611,D623,D772:D773)</f>
        <v>3717</v>
      </c>
      <c r="E989" s="784">
        <f t="shared" si="216"/>
        <v>4918</v>
      </c>
      <c r="F989" s="784">
        <f t="shared" si="216"/>
        <v>6491</v>
      </c>
      <c r="G989" s="1181"/>
      <c r="H989" s="784">
        <f>SUM(H508,H514,H520,H526,H532,H538,H544,H550,H556,H562,H568,H574,H580,H586,H592,H605,H611,H623,H772:H773)</f>
        <v>13579.128949616812</v>
      </c>
      <c r="I989" s="784">
        <f t="shared" ref="I989:K989" si="217">SUM(I508,I514,I520,I526,I532,I538,I544,I550,I556,I562,I568,I574,I580,I586,I592,I605,I611,I623,I772:I773)</f>
        <v>13579.128949616812</v>
      </c>
      <c r="J989" s="784">
        <f t="shared" si="217"/>
        <v>13579.128949616812</v>
      </c>
      <c r="K989" s="784">
        <f t="shared" si="217"/>
        <v>15276.520068318914</v>
      </c>
      <c r="L989" s="1181"/>
      <c r="M989" s="784">
        <f>SUM(M508,M514,M520,M526,M532,M538,M544,M550,M556,M562,M568,M574,M580,M586,M592,M605,M611,M623,M772:M773)</f>
        <v>10627.12894961681</v>
      </c>
      <c r="N989" s="784">
        <f t="shared" ref="N989:P989" si="218">SUM(N508,N514,N520,N526,N532,N538,N544,N550,N556,N562,N568,N574,N580,N586,N592,N605,N611,N623,N772:N773)</f>
        <v>9862.1289496168101</v>
      </c>
      <c r="O989" s="784">
        <f t="shared" si="218"/>
        <v>8661.1289496168101</v>
      </c>
      <c r="P989" s="784">
        <f t="shared" si="218"/>
        <v>8785.5200683189123</v>
      </c>
      <c r="Q989" s="1019" t="s">
        <v>946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702</v>
      </c>
      <c r="B990" s="1181"/>
      <c r="C990" s="784">
        <f>SUM(C599,C617,C629)</f>
        <v>0</v>
      </c>
      <c r="D990" s="784">
        <f t="shared" ref="D990:F990" si="219">SUM(D599,D617,D629)</f>
        <v>0</v>
      </c>
      <c r="E990" s="784">
        <f t="shared" si="219"/>
        <v>0</v>
      </c>
      <c r="F990" s="784">
        <f t="shared" si="219"/>
        <v>0</v>
      </c>
      <c r="G990" s="1181"/>
      <c r="H990" s="784">
        <f>SUM(H599,H617,H629)</f>
        <v>0</v>
      </c>
      <c r="I990" s="784">
        <f t="shared" ref="I990:K990" si="220">SUM(I599,I617,I629)</f>
        <v>0</v>
      </c>
      <c r="J990" s="784">
        <f t="shared" si="220"/>
        <v>0</v>
      </c>
      <c r="K990" s="784">
        <f t="shared" si="220"/>
        <v>0</v>
      </c>
      <c r="L990" s="1181"/>
      <c r="M990" s="784">
        <f>SUM(M599,M617,M629)</f>
        <v>0</v>
      </c>
      <c r="N990" s="784">
        <f t="shared" ref="N990:P990" si="221">SUM(N599,N617,N629)</f>
        <v>0</v>
      </c>
      <c r="O990" s="784">
        <f t="shared" si="221"/>
        <v>0</v>
      </c>
      <c r="P990" s="784">
        <f t="shared" si="221"/>
        <v>0</v>
      </c>
      <c r="Q990" s="1019" t="s">
        <v>947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703</v>
      </c>
      <c r="B991" s="1181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1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1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Q991" s="1019" t="s">
        <v>948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1"/>
      <c r="C992" s="784">
        <f>SUM(C774,C775,C776,C782:C783,C806)</f>
        <v>770</v>
      </c>
      <c r="D992" s="784">
        <f t="shared" ref="D992:F992" si="222">SUM(D774,D775,D776,D782:D783,D806)</f>
        <v>830</v>
      </c>
      <c r="E992" s="784">
        <f t="shared" si="222"/>
        <v>1850</v>
      </c>
      <c r="F992" s="784">
        <f t="shared" si="222"/>
        <v>2510</v>
      </c>
      <c r="G992" s="1177"/>
      <c r="H992" s="784">
        <f>SUM(H774,H775,H776,H782:H783,H806)</f>
        <v>3260</v>
      </c>
      <c r="I992" s="784">
        <f t="shared" ref="I992:K992" si="223">SUM(I774,I775,I776,I782:I783,I806)</f>
        <v>3320</v>
      </c>
      <c r="J992" s="784">
        <f t="shared" si="223"/>
        <v>3320</v>
      </c>
      <c r="K992" s="784">
        <f t="shared" si="223"/>
        <v>3727.5</v>
      </c>
      <c r="L992" s="1177"/>
      <c r="M992" s="784">
        <f>SUM(M774,M775,M776,M782:M783,M806)</f>
        <v>2490</v>
      </c>
      <c r="N992" s="784">
        <f t="shared" ref="N992:P992" si="224">SUM(N774,N775,N776,N782:N783,N806)</f>
        <v>2490</v>
      </c>
      <c r="O992" s="784">
        <f t="shared" si="224"/>
        <v>1470</v>
      </c>
      <c r="P992" s="784">
        <f t="shared" si="224"/>
        <v>1217.5</v>
      </c>
      <c r="Q992" s="1019" t="s">
        <v>947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1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77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77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1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77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77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1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77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77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1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1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1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411</v>
      </c>
      <c r="B997" s="1181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1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1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943</v>
      </c>
      <c r="B998" s="1181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1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1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412</v>
      </c>
      <c r="B999" s="1181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1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1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704</v>
      </c>
      <c r="B1000" s="1181"/>
      <c r="C1000" s="784">
        <f t="shared" ref="C1000:F1001" si="225">SUM(C807)</f>
        <v>0</v>
      </c>
      <c r="D1000" s="784">
        <f t="shared" si="225"/>
        <v>0</v>
      </c>
      <c r="E1000" s="784">
        <f t="shared" si="225"/>
        <v>0</v>
      </c>
      <c r="F1000" s="784">
        <f t="shared" si="225"/>
        <v>0</v>
      </c>
      <c r="G1000" s="1181"/>
      <c r="H1000" s="784">
        <f t="shared" ref="H1000:K1000" si="226">SUM(H807)</f>
        <v>4934.6666666666679</v>
      </c>
      <c r="I1000" s="784">
        <f t="shared" si="226"/>
        <v>4934.6666666666679</v>
      </c>
      <c r="J1000" s="784">
        <f t="shared" si="226"/>
        <v>4934.6666666666679</v>
      </c>
      <c r="K1000" s="784">
        <f t="shared" si="226"/>
        <v>5551.5000000000018</v>
      </c>
      <c r="L1000" s="1181"/>
      <c r="M1000" s="784">
        <f t="shared" ref="M1000:P1000" si="227">SUM(M807)</f>
        <v>4934.6666666666679</v>
      </c>
      <c r="N1000" s="784">
        <f t="shared" si="227"/>
        <v>4934.6666666666679</v>
      </c>
      <c r="O1000" s="784">
        <f t="shared" si="227"/>
        <v>4934.6666666666679</v>
      </c>
      <c r="P1000" s="784">
        <f t="shared" si="227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705</v>
      </c>
      <c r="B1001" s="1181"/>
      <c r="C1001" s="784">
        <f t="shared" si="225"/>
        <v>0</v>
      </c>
      <c r="D1001" s="784">
        <f t="shared" si="225"/>
        <v>0</v>
      </c>
      <c r="E1001" s="784">
        <f t="shared" si="225"/>
        <v>0</v>
      </c>
      <c r="F1001" s="784">
        <f t="shared" si="225"/>
        <v>0</v>
      </c>
      <c r="G1001" s="1181"/>
      <c r="H1001" s="784">
        <f t="shared" ref="H1001:K1001" si="228">SUM(H808)</f>
        <v>27744</v>
      </c>
      <c r="I1001" s="784">
        <f t="shared" si="228"/>
        <v>27744</v>
      </c>
      <c r="J1001" s="784">
        <f t="shared" si="228"/>
        <v>27744</v>
      </c>
      <c r="K1001" s="784">
        <f t="shared" si="228"/>
        <v>31212</v>
      </c>
      <c r="L1001" s="1181"/>
      <c r="M1001" s="784">
        <f t="shared" ref="M1001:P1001" si="229">SUM(M808)</f>
        <v>27744</v>
      </c>
      <c r="N1001" s="784">
        <f t="shared" si="229"/>
        <v>27744</v>
      </c>
      <c r="O1001" s="784">
        <f t="shared" si="229"/>
        <v>27744</v>
      </c>
      <c r="P1001" s="784">
        <f t="shared" si="229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413</v>
      </c>
      <c r="B1002" s="1181"/>
      <c r="C1002" s="784">
        <f>C985-SUM(C988:C999)</f>
        <v>1718</v>
      </c>
      <c r="D1002" s="784">
        <f>D985-SUM(D988:D999)</f>
        <v>1403</v>
      </c>
      <c r="E1002" s="784">
        <f>E985-SUM(E988:E999)</f>
        <v>-605</v>
      </c>
      <c r="F1002" s="784">
        <f>F985-SUM(F988:F999)</f>
        <v>778</v>
      </c>
      <c r="G1002" s="1181"/>
      <c r="H1002" s="784">
        <f>H985-SUM(H988:H999)</f>
        <v>-58572.423235223629</v>
      </c>
      <c r="I1002" s="784">
        <f>I985-SUM(I988:I999)</f>
        <v>-57903.423235223629</v>
      </c>
      <c r="J1002" s="784">
        <f>J985-SUM(J988:J999)</f>
        <v>-54453.123235223626</v>
      </c>
      <c r="K1002" s="784">
        <f>K985-SUM(K988:K999)</f>
        <v>-24168.976139626582</v>
      </c>
      <c r="L1002" s="1181"/>
      <c r="M1002" s="784">
        <f>M985-SUM(M988:M999)</f>
        <v>-41090.423235223629</v>
      </c>
      <c r="N1002" s="784">
        <f>N985-SUM(N988:N999)</f>
        <v>-39921.423235223629</v>
      </c>
      <c r="O1002" s="784">
        <f>O985-SUM(O988:O999)</f>
        <v>-30217.123235223633</v>
      </c>
      <c r="P1002" s="784">
        <f>P985-SUM(P988:P999)</f>
        <v>-19754.976139626586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5"/>
      <c r="I1003" s="1195"/>
      <c r="J1003" s="1195"/>
      <c r="K1003" s="1195"/>
      <c r="L1003" s="1181"/>
      <c r="M1003" s="1181"/>
      <c r="N1003" s="1181"/>
      <c r="O1003" s="1181"/>
      <c r="P1003" s="1181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1"/>
      <c r="C1004" s="1096">
        <f>SUM(C988:C1003)</f>
        <v>22020</v>
      </c>
      <c r="D1004" s="1096">
        <f>SUM(D988:D1002)</f>
        <v>24465</v>
      </c>
      <c r="E1004" s="1096">
        <f>SUM(E988:E1003)</f>
        <v>34453</v>
      </c>
      <c r="F1004" s="1096">
        <f>SUM(F988:F1003)</f>
        <v>57746</v>
      </c>
      <c r="G1004" s="1181"/>
      <c r="H1004" s="1185">
        <f>SUM(H988:H1003)</f>
        <v>32678.666666666672</v>
      </c>
      <c r="I1004" s="1185">
        <f>SUM(I988:I1003)</f>
        <v>34287.666666666672</v>
      </c>
      <c r="J1004" s="1185">
        <f>SUM(J988:J1003)</f>
        <v>41507.966666666674</v>
      </c>
      <c r="K1004" s="1185">
        <f>SUM(K988:K1003)</f>
        <v>86848.5</v>
      </c>
      <c r="L1004" s="1181"/>
      <c r="M1004" s="1096">
        <f>SUM(M988:M1003)</f>
        <v>32678.666666666672</v>
      </c>
      <c r="N1004" s="1096">
        <f>SUM(N988:N1003)</f>
        <v>31992.666666666672</v>
      </c>
      <c r="O1004" s="1096">
        <f>SUM(O988:O1003)</f>
        <v>33705.966666666667</v>
      </c>
      <c r="P1004" s="1096">
        <f>SUM(P988:P1003)</f>
        <v>37414.5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86" t="s">
        <v>414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86" t="s">
        <v>415</v>
      </c>
      <c r="B1010" s="1197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35" t="s">
        <v>416</v>
      </c>
      <c r="B1011" s="1197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35" t="s">
        <v>417</v>
      </c>
      <c r="B1012" s="1197"/>
      <c r="C1012" s="1101">
        <f>SUM(C965:C967)</f>
        <v>0</v>
      </c>
      <c r="D1012" s="1101">
        <f>SUM(D965:D967)</f>
        <v>1109</v>
      </c>
      <c r="E1012" s="1101">
        <f>SUM(E965:E967)</f>
        <v>752</v>
      </c>
      <c r="F1012" s="1101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35" t="s">
        <v>418</v>
      </c>
      <c r="B1013" s="1197"/>
      <c r="C1013" s="1101">
        <f>C1011*C1012*100</f>
        <v>0</v>
      </c>
      <c r="D1013" s="1101">
        <f>D1011*D1012*100</f>
        <v>33270</v>
      </c>
      <c r="E1013" s="1101">
        <f>E1011*E1012*100</f>
        <v>11280</v>
      </c>
      <c r="F1013" s="1101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35" t="s">
        <v>419</v>
      </c>
      <c r="B1014" s="1197"/>
      <c r="C1014" s="1101">
        <f>SUM(C1013:F1013)</f>
        <v>44550</v>
      </c>
      <c r="D1014" s="1198"/>
      <c r="E1014" s="1198"/>
      <c r="F1014" s="1198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35" t="s">
        <v>420</v>
      </c>
      <c r="B1015" s="1197"/>
      <c r="C1015" s="1101">
        <f>SUM(C795)</f>
        <v>0</v>
      </c>
      <c r="D1015" s="1101">
        <f>SUM(D795)</f>
        <v>0</v>
      </c>
      <c r="E1015" s="1101">
        <f>SUM(E795)</f>
        <v>1300</v>
      </c>
      <c r="F1015" s="1101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35" t="s">
        <v>421</v>
      </c>
      <c r="B1016" s="1197"/>
      <c r="C1016" s="1101">
        <f>C1011*C1015*100</f>
        <v>0</v>
      </c>
      <c r="D1016" s="1101">
        <f>D1011*D1015*100</f>
        <v>0</v>
      </c>
      <c r="E1016" s="1101">
        <f>E1011*E1015*100</f>
        <v>19500</v>
      </c>
      <c r="F1016" s="1101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35" t="s">
        <v>422</v>
      </c>
      <c r="B1017" s="1197"/>
      <c r="C1017" s="1101">
        <f>SUM(C1016:F1016)</f>
        <v>44500</v>
      </c>
      <c r="D1017" s="1198"/>
      <c r="E1017" s="1198"/>
      <c r="F1017" s="1198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197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86" t="s">
        <v>423</v>
      </c>
      <c r="B1019" s="1197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35" t="s">
        <v>525</v>
      </c>
      <c r="B1020" s="1197"/>
      <c r="C1020" s="1199">
        <f>C11</f>
        <v>0.19606839196762141</v>
      </c>
      <c r="D1020" s="1199">
        <f>D11</f>
        <v>0.14383883094645081</v>
      </c>
      <c r="E1020" s="1199">
        <f>E11</f>
        <v>0.23988982331880446</v>
      </c>
      <c r="F1020" s="1199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35" t="s">
        <v>425</v>
      </c>
      <c r="B1021" s="1197"/>
      <c r="C1021" s="1200">
        <f>C21</f>
        <v>0</v>
      </c>
      <c r="D1021" s="1200">
        <f>D21</f>
        <v>836</v>
      </c>
      <c r="E1021" s="1200">
        <f>E21</f>
        <v>3621</v>
      </c>
      <c r="F1021" s="1200">
        <f>F21</f>
        <v>5774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1" t="s">
        <v>682</v>
      </c>
      <c r="B1022" s="1197"/>
      <c r="C1022" s="1101">
        <f>IF(C46="",0,$D1022*C46/$D46)</f>
        <v>6781.6399555139615</v>
      </c>
      <c r="D1022" s="1101">
        <f>IF(OR(D454=0,D454="",D450=0,D450=""),0,365*$P$1*D456*D46/D454/D450)</f>
        <v>6781.6399555139615</v>
      </c>
      <c r="E1022" s="1101">
        <f>IF(E46="",0,$D1022*E46/$D46)</f>
        <v>6781.6399555139615</v>
      </c>
      <c r="F1022" s="1101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2" t="s">
        <v>526</v>
      </c>
      <c r="B1023" s="1197"/>
      <c r="C1023" s="1203">
        <f>C1021/C1022</f>
        <v>0</v>
      </c>
      <c r="D1023" s="1203">
        <f>D1021/D1022</f>
        <v>0.12327401712328769</v>
      </c>
      <c r="E1023" s="1203">
        <f>E1021/E1022</f>
        <v>0.53394164593711091</v>
      </c>
      <c r="F1023" s="1203">
        <f>F1021/F1022</f>
        <v>0.75681464632627649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2" t="s">
        <v>428</v>
      </c>
      <c r="B1024" s="1197"/>
      <c r="C1024" s="1203">
        <f>C1020+C1023</f>
        <v>0.19606839196762141</v>
      </c>
      <c r="D1024" s="1203">
        <f>D1020+D1023</f>
        <v>0.26711284806973851</v>
      </c>
      <c r="E1024" s="1203">
        <f>E1020+E1023</f>
        <v>0.77383146925591539</v>
      </c>
      <c r="F1024" s="1203">
        <f>F1020+F1023</f>
        <v>1.0254130777639408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2" t="s">
        <v>429</v>
      </c>
      <c r="B1025" s="1197"/>
      <c r="C1025" s="1203">
        <f>C1024*C46/6</f>
        <v>0.26142452262349519</v>
      </c>
      <c r="D1025" s="1203">
        <f>D1024*D46/6</f>
        <v>0.35615046409298468</v>
      </c>
      <c r="E1025" s="1203">
        <f>E1024*E46/6</f>
        <v>1.0317752923412205</v>
      </c>
      <c r="F1025" s="1203">
        <f>F1024*F46/6</f>
        <v>1.5381196166459112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2" t="s">
        <v>430</v>
      </c>
      <c r="B1026" s="1197"/>
      <c r="C1026" s="1203">
        <f>C1025/SUM(C48)</f>
        <v>0.26142452262349519</v>
      </c>
      <c r="D1026" s="1203">
        <f>D1025/SUM(D48)</f>
        <v>0.44518808011623084</v>
      </c>
      <c r="E1026" s="1203">
        <f>E1025/SUM(E48)</f>
        <v>1.0317752923412205</v>
      </c>
      <c r="F1026" s="1203">
        <f>F1025/SUM(F48)</f>
        <v>1.5381196166459112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197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4" t="s">
        <v>527</v>
      </c>
      <c r="B1029" s="1197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04" t="s">
        <v>17</v>
      </c>
      <c r="B1030" s="1197"/>
      <c r="C1030" s="1205" t="str">
        <f>C1110</f>
        <v>VP</v>
      </c>
      <c r="D1030" s="826"/>
      <c r="E1030" s="1205" t="str">
        <f>D1110</f>
        <v>P</v>
      </c>
      <c r="F1030" s="826"/>
      <c r="G1030" s="826"/>
      <c r="H1030" s="1206" t="str">
        <f>E1110</f>
        <v>M</v>
      </c>
      <c r="I1030" s="825"/>
      <c r="J1030" s="1206" t="str">
        <f>F1110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35" t="s">
        <v>697</v>
      </c>
      <c r="B1031" s="1197"/>
      <c r="C1031" s="1101">
        <f>SUM(C989)+SUM(M989)</f>
        <v>13579.12894961681</v>
      </c>
      <c r="D1031" s="826"/>
      <c r="E1031" s="1101">
        <f>SUM(D989)+SUM(N989)</f>
        <v>13579.12894961681</v>
      </c>
      <c r="F1031" s="826"/>
      <c r="G1031" s="826"/>
      <c r="H1031" s="1101">
        <f>SUM(E989)+SUM(O989)</f>
        <v>13579.12894961681</v>
      </c>
      <c r="I1031" s="825"/>
      <c r="J1031" s="1101">
        <f>SUM(F989)+SUM(P989)</f>
        <v>15276.520068318912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35" t="s">
        <v>698</v>
      </c>
      <c r="B1032" s="1197"/>
      <c r="C1032" s="1101">
        <f>SUMIF($Q$772:$Q$776,"lbpl",H$772:H$776)+SUMIF($Q$781:$Q$785,"lbpl",H$781:H$785)+SUMIF($Q$790:$Q$810,"lbpl",H$790:H$810)</f>
        <v>13978.666666666668</v>
      </c>
      <c r="D1032" s="826"/>
      <c r="E1032" s="1101">
        <f>SUMIF($Q$772:$Q$776,"lbpl",I$772:I$776)+SUMIF($Q$781:$Q$785,"lbpl",I$781:I$785)+SUMIF($Q$790:$Q$810,"lbpl",I$790:I$810)</f>
        <v>13978.666666666668</v>
      </c>
      <c r="F1032" s="826"/>
      <c r="G1032" s="826"/>
      <c r="H1032" s="1101">
        <f>SUMIF($Q$772:$Q$776,"lbpl",J$772:J$776)+SUMIF($Q$781:$Q$785,"lbpl",J$781:J$785)+SUMIF($Q$790:$Q$810,"lbpl",J$790:J$810)</f>
        <v>13978.666666666668</v>
      </c>
      <c r="I1032" s="825"/>
      <c r="J1032" s="1101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08" t="s">
        <v>699</v>
      </c>
      <c r="B1033" s="1197"/>
      <c r="C1033" s="1101">
        <f>SUMIF($Q$772:$Q$776,"ubpl",H$772:H$776)+SUMIF($Q$781:$Q$785,"ubpl",H$781:H$785)+SUMIF($Q$790:$Q$810,"ubpl",H$790:H$810)</f>
        <v>27744</v>
      </c>
      <c r="D1033" s="1197"/>
      <c r="E1033" s="1101">
        <f>SUMIF($Q$772:$Q$776,"ubpl",I$772:I$776)+SUMIF($Q$781:$Q$785,"ubpl",I$781:I$785)+SUMIF($Q$790:$Q$810,"ubpl",I$790:I$810)</f>
        <v>27744</v>
      </c>
      <c r="F1033" s="1197"/>
      <c r="G1033" s="1197"/>
      <c r="H1033" s="1101">
        <f>SUMIF($Q$772:$Q$776,"ubpl",J$772:J$776)+SUMIF($Q$781:$Q$785,"ubpl",J$781:J$785)+SUMIF($Q$790:$Q$810,"ubpl",J$790:J$810)</f>
        <v>27744</v>
      </c>
      <c r="I1033" s="43"/>
      <c r="J1033" s="1101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08" t="s">
        <v>700</v>
      </c>
      <c r="B1034" s="1197"/>
      <c r="C1034" s="1101">
        <f>SUMIF($Q$772:$Q$776,"des",H$772:H$776)+SUMIF($Q$781:$Q$785,"des",H$781:H$785)+SUMIF($Q$790:$Q$810,"des",H$790:H$810)</f>
        <v>2800</v>
      </c>
      <c r="D1034" s="1197"/>
      <c r="E1034" s="1101">
        <f>SUMIF($Q$772:$Q$776,"des",I$772:I$776)+SUMIF($Q$781:$Q$785,"des",I$781:I$785)+SUMIF($Q$790:$Q$810,"des",I$790:I$810)</f>
        <v>3740</v>
      </c>
      <c r="F1034" s="1197"/>
      <c r="G1034" s="1197"/>
      <c r="H1034" s="1101">
        <f>SUMIF($Q$772:$Q$776,"des",J$772:J$776)+SUMIF($Q$781:$Q$785,"des",J$781:J$785)+SUMIF($Q$790:$Q$810,"des",J$790:J$810)</f>
        <v>7510</v>
      </c>
      <c r="I1034" s="43"/>
      <c r="J1034" s="1101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69" customFormat="1" ht="15.75" customHeight="1">
      <c r="A1035" s="1208"/>
      <c r="B1035" s="1197"/>
      <c r="C1035" s="1209"/>
      <c r="D1035" s="1197"/>
      <c r="E1035" s="1209"/>
      <c r="F1035" s="1197"/>
      <c r="G1035" s="1197"/>
      <c r="H1035" s="1210"/>
      <c r="I1035" s="43"/>
      <c r="J1035" s="1210"/>
      <c r="K1035" s="43"/>
      <c r="L1035" s="1197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04" t="s">
        <v>528</v>
      </c>
      <c r="B1036" s="1197"/>
      <c r="C1036" s="1205" t="str">
        <f>C1030</f>
        <v>VP</v>
      </c>
      <c r="D1036" s="826"/>
      <c r="E1036" s="1205" t="str">
        <f>E1030</f>
        <v>P</v>
      </c>
      <c r="F1036" s="826"/>
      <c r="G1036" s="826"/>
      <c r="H1036" s="1206" t="str">
        <f>H1030</f>
        <v>M</v>
      </c>
      <c r="I1036" s="825"/>
      <c r="J1036" s="1206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35" t="s">
        <v>529</v>
      </c>
      <c r="B1037" s="1197"/>
      <c r="C1037" s="990" t="str">
        <f>E1037</f>
        <v>maize</v>
      </c>
      <c r="D1037" s="826"/>
      <c r="E1037" s="284" t="s">
        <v>530</v>
      </c>
      <c r="F1037" s="826"/>
      <c r="G1037" s="826"/>
      <c r="H1037" s="1211" t="str">
        <f>E1037</f>
        <v>maize</v>
      </c>
      <c r="I1037" s="825"/>
      <c r="J1037" s="1212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35" t="s">
        <v>531</v>
      </c>
      <c r="B1038" s="1197"/>
      <c r="C1038" s="1178">
        <f>E1038</f>
        <v>0.58061985920496251</v>
      </c>
      <c r="D1038" s="1213"/>
      <c r="E1038" s="1178">
        <f>$P$1/D454</f>
        <v>0.58061985920496251</v>
      </c>
      <c r="F1038" s="1213"/>
      <c r="G1038" s="1213"/>
      <c r="H1038" s="1212">
        <f>E1038</f>
        <v>0.58061985920496251</v>
      </c>
      <c r="I1038" s="1214"/>
      <c r="J1038" s="1212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35" t="s">
        <v>64</v>
      </c>
      <c r="B1039" s="1197"/>
      <c r="C1039" s="990">
        <f>SUM(C46)</f>
        <v>8</v>
      </c>
      <c r="D1039" s="826"/>
      <c r="E1039" s="990">
        <f>SUM(D46)</f>
        <v>8</v>
      </c>
      <c r="F1039" s="826"/>
      <c r="G1039" s="826"/>
      <c r="H1039" s="1211">
        <f>SUM(E46)</f>
        <v>8</v>
      </c>
      <c r="I1039" s="825"/>
      <c r="J1039" s="1211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35" t="s">
        <v>532</v>
      </c>
      <c r="B1040" s="1197"/>
      <c r="C1040" s="1178">
        <f>E1040</f>
        <v>4</v>
      </c>
      <c r="D1040" s="826"/>
      <c r="E1040" s="1178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2">
        <f>E1040</f>
        <v>4</v>
      </c>
      <c r="I1040" s="825"/>
      <c r="J1040" s="1212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197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15" t="s">
        <v>533</v>
      </c>
      <c r="B1042" s="1197"/>
      <c r="C1042" s="1216" t="str">
        <f>WB!T3</f>
        <v>V Poor</v>
      </c>
      <c r="D1042" s="1217"/>
      <c r="E1042" s="1216" t="str">
        <f>WB!AK3</f>
        <v>Poor</v>
      </c>
      <c r="F1042" s="1217"/>
      <c r="G1042" s="826"/>
      <c r="H1042" s="1218" t="str">
        <f>WB!BB3</f>
        <v>Middle</v>
      </c>
      <c r="I1042" s="1219"/>
      <c r="J1042" s="1218" t="str">
        <f>WB!BS3</f>
        <v>B Off</v>
      </c>
      <c r="K1042" s="1219"/>
      <c r="L1042" s="826"/>
      <c r="M1042" s="1220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04" t="s">
        <v>15</v>
      </c>
      <c r="B1043" s="1197"/>
      <c r="C1043" s="1221" t="s">
        <v>534</v>
      </c>
      <c r="D1043" s="1221" t="s">
        <v>535</v>
      </c>
      <c r="E1043" s="1221" t="s">
        <v>534</v>
      </c>
      <c r="F1043" s="1221" t="s">
        <v>535</v>
      </c>
      <c r="G1043" s="826"/>
      <c r="H1043" s="1222" t="s">
        <v>534</v>
      </c>
      <c r="I1043" s="1222" t="s">
        <v>535</v>
      </c>
      <c r="J1043" s="1222" t="s">
        <v>534</v>
      </c>
      <c r="K1043" s="1222" t="s">
        <v>535</v>
      </c>
      <c r="L1043" s="826"/>
      <c r="M1043" s="1206" t="s">
        <v>536</v>
      </c>
      <c r="N1043" s="826"/>
      <c r="O1043" s="826"/>
      <c r="P1043" s="826"/>
      <c r="Q1043" s="435"/>
      <c r="R1043" s="44" t="s">
        <v>537</v>
      </c>
      <c r="S1043" s="46"/>
      <c r="T1043" s="46"/>
      <c r="U1043" s="1046">
        <v>1043</v>
      </c>
      <c r="V1043" s="46"/>
    </row>
    <row r="1044" spans="1:22" ht="15" customHeight="1">
      <c r="A1044" s="1223" t="str">
        <f>LOOKUP(B1044,$T$820:$T$898,A$820:A$898)</f>
        <v>Cows' milk - season 1</v>
      </c>
      <c r="B1044" s="1197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24">
        <f>LOOKUP($B1044,$T$820:$T$898,E$820:E$898)</f>
        <v>1.3037048567870486E-2</v>
      </c>
      <c r="I1044" s="1224">
        <f>LOOKUP($B1044,$T$820:$T$898,O$820:O$898)</f>
        <v>0</v>
      </c>
      <c r="J1044" s="1224">
        <f>LOOKUP($B1044,$T$820:$T$898,F$820:F$898)</f>
        <v>8.5476684654766849E-2</v>
      </c>
      <c r="K1044" s="1224">
        <f>LOOKUP($B1044,$T$820:$T$898,P$820:P$898)</f>
        <v>0</v>
      </c>
      <c r="L1044" s="826"/>
      <c r="M1044" s="1207" t="str">
        <f t="shared" ref="M1044:M1063" si="230">IF(LOOKUP(R1044,R$1071:R$1094,R$1071:R$1094)=R1044,R1044,"")</f>
        <v/>
      </c>
      <c r="N1044" s="826"/>
      <c r="O1044" s="826"/>
      <c r="P1044" s="826"/>
      <c r="Q1044" s="435"/>
      <c r="R1044" s="826">
        <f t="shared" ref="R1044:R1063" si="231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3" t="str">
        <f t="shared" ref="A1045:A1055" si="232">IF(OR(A1044="",LOOKUP(B1045,$T$820:$T$898,A$820:A$898)=A1044),"",LOOKUP(B1045,$T$820:$T$898,A$820:A$898))</f>
        <v>Cows' milk - season 2</v>
      </c>
      <c r="B1045" s="1197">
        <v>2</v>
      </c>
      <c r="C1045" s="870">
        <f t="shared" ref="C1045:C1063" si="233">IF($A1045="","",LOOKUP($B1045,$T$820:$T$898,C$820:C$898))</f>
        <v>2.3466687422166875E-3</v>
      </c>
      <c r="D1045" s="870">
        <f t="shared" ref="D1045:D1055" si="234">IF($A1045="","",LOOKUP($B1045,$T$820:$T$898,M$820:M$898))</f>
        <v>0</v>
      </c>
      <c r="E1045" s="870">
        <f t="shared" ref="E1045:E1055" si="235">IF($A1045="","",LOOKUP($B1045,$T$820:$T$898,D$820:D$898))</f>
        <v>0</v>
      </c>
      <c r="F1045" s="870">
        <f t="shared" ref="F1045:F1055" si="236">IF($A1045="","",LOOKUP($B1045,$T$820:$T$898,N$820:N$898))</f>
        <v>0</v>
      </c>
      <c r="G1045" s="826"/>
      <c r="H1045" s="1224">
        <f t="shared" ref="H1045:H1055" si="237">IF($A1045="","",LOOKUP($B1045,$T$820:$T$898,E$820:E$898))</f>
        <v>0</v>
      </c>
      <c r="I1045" s="1224">
        <f t="shared" ref="I1045:I1055" si="238">IF($A1045="","",LOOKUP($B1045,$T$820:$T$898,O$820:O$898))</f>
        <v>0</v>
      </c>
      <c r="J1045" s="1224">
        <f t="shared" ref="J1045:J1055" si="239">IF($A1045="","",LOOKUP($B1045,$T$820:$T$898,F$820:F$898))</f>
        <v>0</v>
      </c>
      <c r="K1045" s="1224">
        <f t="shared" ref="K1045:K1055" si="240">IF($A1045="","",LOOKUP($B1045,$T$820:$T$898,P$820:P$898))</f>
        <v>0</v>
      </c>
      <c r="L1045" s="826"/>
      <c r="M1045" s="1207" t="str">
        <f t="shared" si="230"/>
        <v/>
      </c>
      <c r="N1045" s="826"/>
      <c r="O1045" s="826"/>
      <c r="P1045" s="826"/>
      <c r="Q1045" s="435"/>
      <c r="R1045" s="826">
        <f t="shared" si="231"/>
        <v>4</v>
      </c>
      <c r="S1045" s="46"/>
      <c r="T1045" s="46"/>
      <c r="U1045" s="1046">
        <v>1045</v>
      </c>
      <c r="V1045" s="46"/>
    </row>
    <row r="1046" spans="1:22" ht="15.75" customHeight="1">
      <c r="A1046" s="1223" t="str">
        <f t="shared" si="232"/>
        <v>Own meat</v>
      </c>
      <c r="B1046" s="1197">
        <v>3</v>
      </c>
      <c r="C1046" s="870">
        <f t="shared" si="233"/>
        <v>5.906425124533001E-3</v>
      </c>
      <c r="D1046" s="870">
        <f t="shared" si="234"/>
        <v>0</v>
      </c>
      <c r="E1046" s="870">
        <f t="shared" si="235"/>
        <v>2.6171573396637608E-2</v>
      </c>
      <c r="F1046" s="870">
        <f t="shared" si="236"/>
        <v>0</v>
      </c>
      <c r="G1046" s="826"/>
      <c r="H1046" s="1224">
        <f t="shared" si="237"/>
        <v>4.6436721668742222E-2</v>
      </c>
      <c r="I1046" s="1224">
        <f t="shared" si="238"/>
        <v>0</v>
      </c>
      <c r="J1046" s="1224">
        <f t="shared" si="239"/>
        <v>6.942878268991283E-2</v>
      </c>
      <c r="K1046" s="1224">
        <f t="shared" si="240"/>
        <v>0</v>
      </c>
      <c r="L1046" s="826"/>
      <c r="M1046" s="1207" t="str">
        <f t="shared" si="230"/>
        <v/>
      </c>
      <c r="N1046" s="826"/>
      <c r="O1046" s="826"/>
      <c r="P1046" s="826"/>
      <c r="Q1046" s="435"/>
      <c r="R1046" s="826" t="str">
        <f t="shared" si="231"/>
        <v/>
      </c>
      <c r="S1046" s="46"/>
      <c r="T1046" s="46"/>
      <c r="U1046" s="1046">
        <v>1046</v>
      </c>
      <c r="V1046" s="46"/>
    </row>
    <row r="1047" spans="1:22" ht="15.75" customHeight="1">
      <c r="A1047" s="1223" t="str">
        <f t="shared" si="232"/>
        <v>Green cons - Season 1: no of months</v>
      </c>
      <c r="B1047" s="1197">
        <v>4</v>
      </c>
      <c r="C1047" s="870">
        <f t="shared" si="233"/>
        <v>4.2500000000000003E-2</v>
      </c>
      <c r="D1047" s="870">
        <f t="shared" si="234"/>
        <v>0</v>
      </c>
      <c r="E1047" s="870">
        <f t="shared" si="235"/>
        <v>4.2500000000000003E-2</v>
      </c>
      <c r="F1047" s="870">
        <f t="shared" si="236"/>
        <v>0</v>
      </c>
      <c r="G1047" s="826"/>
      <c r="H1047" s="1224">
        <f t="shared" si="237"/>
        <v>4.2500000000000003E-2</v>
      </c>
      <c r="I1047" s="1224">
        <f t="shared" si="238"/>
        <v>0</v>
      </c>
      <c r="J1047" s="1224">
        <f t="shared" si="239"/>
        <v>0.05</v>
      </c>
      <c r="K1047" s="1224">
        <f t="shared" si="240"/>
        <v>0</v>
      </c>
      <c r="L1047" s="826"/>
      <c r="M1047" s="1207" t="str">
        <f t="shared" si="230"/>
        <v/>
      </c>
      <c r="N1047" s="826"/>
      <c r="O1047" s="826"/>
      <c r="P1047" s="826"/>
      <c r="Q1047" s="435"/>
      <c r="R1047" s="826">
        <f t="shared" si="231"/>
        <v>9</v>
      </c>
      <c r="S1047" s="46"/>
      <c r="T1047" s="46"/>
      <c r="U1047" s="1046">
        <v>1047</v>
      </c>
      <c r="V1047" s="46"/>
    </row>
    <row r="1048" spans="1:22" ht="15.75" customHeight="1">
      <c r="A1048" s="1223" t="str">
        <f t="shared" si="232"/>
        <v>Maize: kg produced</v>
      </c>
      <c r="B1048" s="1197">
        <v>5</v>
      </c>
      <c r="C1048" s="870">
        <f t="shared" si="233"/>
        <v>8.8718578767123274E-2</v>
      </c>
      <c r="D1048" s="870">
        <f t="shared" si="234"/>
        <v>0</v>
      </c>
      <c r="E1048" s="870">
        <f t="shared" si="235"/>
        <v>8.8718578767123274E-2</v>
      </c>
      <c r="F1048" s="870">
        <f t="shared" si="236"/>
        <v>0</v>
      </c>
      <c r="G1048" s="826"/>
      <c r="H1048" s="1224">
        <f t="shared" si="237"/>
        <v>0.13307786815068492</v>
      </c>
      <c r="I1048" s="1224">
        <f t="shared" si="238"/>
        <v>7.3932148972602724E-2</v>
      </c>
      <c r="J1048" s="1224">
        <f t="shared" si="239"/>
        <v>0.16245357534246571</v>
      </c>
      <c r="K1048" s="1224">
        <f t="shared" si="240"/>
        <v>6.8871904109589072E-2</v>
      </c>
      <c r="L1048" s="826"/>
      <c r="M1048" s="1207">
        <f t="shared" si="230"/>
        <v>10</v>
      </c>
      <c r="N1048" s="826"/>
      <c r="O1048" s="826"/>
      <c r="P1048" s="826"/>
      <c r="Q1048" s="435"/>
      <c r="R1048" s="826">
        <f t="shared" si="231"/>
        <v>10</v>
      </c>
      <c r="S1048" s="46"/>
      <c r="T1048" s="46"/>
      <c r="U1048" s="1046">
        <v>1048</v>
      </c>
      <c r="V1048" s="46"/>
    </row>
    <row r="1049" spans="1:22" ht="15.75" customHeight="1">
      <c r="A1049" s="1223" t="str">
        <f t="shared" si="232"/>
        <v>Sorghum: kg produced</v>
      </c>
      <c r="B1049" s="1197">
        <v>6</v>
      </c>
      <c r="C1049" s="870">
        <f t="shared" si="233"/>
        <v>0</v>
      </c>
      <c r="D1049" s="870">
        <f t="shared" si="234"/>
        <v>0</v>
      </c>
      <c r="E1049" s="870">
        <f t="shared" si="235"/>
        <v>0</v>
      </c>
      <c r="F1049" s="870">
        <f t="shared" si="236"/>
        <v>0</v>
      </c>
      <c r="G1049" s="826"/>
      <c r="H1049" s="1224">
        <f t="shared" si="237"/>
        <v>0</v>
      </c>
      <c r="I1049" s="1224">
        <f t="shared" si="238"/>
        <v>0</v>
      </c>
      <c r="J1049" s="1224">
        <f t="shared" si="239"/>
        <v>3.8561488169364881E-2</v>
      </c>
      <c r="K1049" s="1224">
        <f t="shared" si="240"/>
        <v>0</v>
      </c>
      <c r="L1049" s="826"/>
      <c r="M1049" s="1207" t="str">
        <f t="shared" si="230"/>
        <v/>
      </c>
      <c r="N1049" s="826"/>
      <c r="O1049" s="826"/>
      <c r="P1049" s="826"/>
      <c r="Q1049" s="435"/>
      <c r="R1049" s="826">
        <f t="shared" si="231"/>
        <v>11</v>
      </c>
      <c r="S1049" s="46"/>
      <c r="T1049" s="46"/>
      <c r="U1049" s="1046">
        <v>1049</v>
      </c>
      <c r="V1049" s="46"/>
    </row>
    <row r="1050" spans="1:22" ht="15.75" customHeight="1">
      <c r="A1050" s="1223" t="str">
        <f t="shared" si="232"/>
        <v>Beans: kg produced</v>
      </c>
      <c r="B1050" s="1197">
        <v>7</v>
      </c>
      <c r="C1050" s="870">
        <f t="shared" si="233"/>
        <v>4.4188206724782075E-2</v>
      </c>
      <c r="D1050" s="870">
        <f t="shared" si="234"/>
        <v>0</v>
      </c>
      <c r="E1050" s="870">
        <f t="shared" si="235"/>
        <v>8.2852887608966391E-2</v>
      </c>
      <c r="F1050" s="870">
        <f t="shared" si="236"/>
        <v>0</v>
      </c>
      <c r="G1050" s="826"/>
      <c r="H1050" s="1224">
        <f t="shared" si="237"/>
        <v>0.10770875389165629</v>
      </c>
      <c r="I1050" s="1224">
        <f t="shared" si="238"/>
        <v>-4.0045562344333749E-2</v>
      </c>
      <c r="J1050" s="1224">
        <f t="shared" si="239"/>
        <v>6.6773290161892901E-2</v>
      </c>
      <c r="K1050" s="1224">
        <f t="shared" si="240"/>
        <v>-2.1112143212951434E-2</v>
      </c>
      <c r="L1050" s="826"/>
      <c r="M1050" s="1207">
        <f t="shared" si="230"/>
        <v>15</v>
      </c>
      <c r="N1050" s="826"/>
      <c r="O1050" s="826"/>
      <c r="P1050" s="826"/>
      <c r="Q1050" s="435"/>
      <c r="R1050" s="826">
        <f t="shared" si="231"/>
        <v>15</v>
      </c>
      <c r="S1050" s="46"/>
      <c r="T1050" s="46"/>
      <c r="U1050" s="1046">
        <v>1050</v>
      </c>
      <c r="V1050" s="46"/>
    </row>
    <row r="1051" spans="1:22" ht="15.75" customHeight="1">
      <c r="A1051" s="1223" t="str">
        <f t="shared" si="232"/>
        <v>Cassava: no. local meas.</v>
      </c>
      <c r="B1051" s="1197">
        <v>8</v>
      </c>
      <c r="C1051" s="870">
        <f t="shared" si="233"/>
        <v>4.9858374844333753E-2</v>
      </c>
      <c r="D1051" s="870">
        <f t="shared" si="234"/>
        <v>1.2464593711083438E-2</v>
      </c>
      <c r="E1051" s="870">
        <f t="shared" si="235"/>
        <v>0</v>
      </c>
      <c r="F1051" s="870">
        <f t="shared" si="236"/>
        <v>0</v>
      </c>
      <c r="G1051" s="826"/>
      <c r="H1051" s="1224">
        <f t="shared" si="237"/>
        <v>0</v>
      </c>
      <c r="I1051" s="1224">
        <f t="shared" si="238"/>
        <v>0</v>
      </c>
      <c r="J1051" s="1224">
        <f t="shared" si="239"/>
        <v>0</v>
      </c>
      <c r="K1051" s="1224">
        <f t="shared" si="240"/>
        <v>0</v>
      </c>
      <c r="L1051" s="826"/>
      <c r="M1051" s="1207" t="str">
        <f t="shared" si="230"/>
        <v/>
      </c>
      <c r="N1051" s="826"/>
      <c r="O1051" s="826"/>
      <c r="P1051" s="826"/>
      <c r="Q1051" s="435"/>
      <c r="R1051" s="826">
        <f t="shared" si="231"/>
        <v>19</v>
      </c>
      <c r="S1051" s="46"/>
      <c r="T1051" s="46"/>
      <c r="U1051" s="1046">
        <v>1051</v>
      </c>
      <c r="V1051" s="46"/>
    </row>
    <row r="1052" spans="1:22" ht="15.75" customHeight="1">
      <c r="A1052" s="1223" t="str">
        <f t="shared" si="232"/>
        <v>Water melon: no. local meas (Bhece)</v>
      </c>
      <c r="B1052" s="1197">
        <v>9</v>
      </c>
      <c r="C1052" s="870">
        <f t="shared" si="233"/>
        <v>0</v>
      </c>
      <c r="D1052" s="870">
        <f t="shared" si="234"/>
        <v>0</v>
      </c>
      <c r="E1052" s="870">
        <f t="shared" si="235"/>
        <v>0</v>
      </c>
      <c r="F1052" s="870">
        <f t="shared" si="236"/>
        <v>0</v>
      </c>
      <c r="G1052" s="1197"/>
      <c r="H1052" s="1224">
        <f t="shared" si="237"/>
        <v>2.2485149439601493E-3</v>
      </c>
      <c r="I1052" s="1224">
        <f t="shared" si="238"/>
        <v>1.1242574719800748E-3</v>
      </c>
      <c r="J1052" s="1224">
        <f t="shared" si="239"/>
        <v>1.9986799501867992E-3</v>
      </c>
      <c r="K1052" s="1224">
        <f t="shared" si="240"/>
        <v>9.9933997509339982E-4</v>
      </c>
      <c r="L1052" s="826"/>
      <c r="M1052" s="1207">
        <f t="shared" si="230"/>
        <v>20</v>
      </c>
      <c r="N1052" s="826"/>
      <c r="O1052" s="826"/>
      <c r="P1052" s="826"/>
      <c r="Q1052" s="435"/>
      <c r="R1052" s="826">
        <f t="shared" si="231"/>
        <v>20</v>
      </c>
      <c r="S1052" s="46"/>
      <c r="T1052" s="46"/>
      <c r="U1052" s="1046">
        <v>1052</v>
      </c>
      <c r="V1052" s="46"/>
    </row>
    <row r="1053" spans="1:22" ht="15.75" customHeight="1">
      <c r="A1053" s="1223" t="str">
        <f t="shared" si="232"/>
        <v>Pumpkin: no. local meas</v>
      </c>
      <c r="B1053" s="1197">
        <v>10</v>
      </c>
      <c r="C1053" s="870">
        <f t="shared" si="233"/>
        <v>0</v>
      </c>
      <c r="D1053" s="870">
        <f t="shared" si="234"/>
        <v>0</v>
      </c>
      <c r="E1053" s="870">
        <f t="shared" si="235"/>
        <v>2.1996341843088418E-2</v>
      </c>
      <c r="F1053" s="870">
        <f t="shared" si="236"/>
        <v>0</v>
      </c>
      <c r="G1053" s="826"/>
      <c r="H1053" s="1224">
        <f t="shared" si="237"/>
        <v>0</v>
      </c>
      <c r="I1053" s="1224">
        <f t="shared" si="238"/>
        <v>0</v>
      </c>
      <c r="J1053" s="1224">
        <f t="shared" si="239"/>
        <v>0</v>
      </c>
      <c r="K1053" s="1224">
        <f t="shared" si="240"/>
        <v>0</v>
      </c>
      <c r="L1053" s="826"/>
      <c r="M1053" s="1207" t="str">
        <f t="shared" si="230"/>
        <v/>
      </c>
      <c r="N1053" s="826"/>
      <c r="O1053" s="826"/>
      <c r="P1053" s="826"/>
      <c r="Q1053" s="435"/>
      <c r="R1053" s="826">
        <f t="shared" si="231"/>
        <v>21</v>
      </c>
      <c r="S1053" s="46"/>
      <c r="T1053" s="46"/>
      <c r="U1053" s="1046">
        <v>1053</v>
      </c>
      <c r="V1053" s="46"/>
    </row>
    <row r="1054" spans="1:22" ht="15.75" customHeight="1">
      <c r="A1054" s="1223" t="str">
        <f t="shared" si="232"/>
        <v>Sweet poatato: no. local meas</v>
      </c>
      <c r="B1054" s="1197">
        <v>11</v>
      </c>
      <c r="C1054" s="870">
        <f t="shared" si="233"/>
        <v>2.5988480697384807E-2</v>
      </c>
      <c r="D1054" s="870">
        <f t="shared" si="234"/>
        <v>0</v>
      </c>
      <c r="E1054" s="870">
        <f t="shared" si="235"/>
        <v>2.5988480697384807E-2</v>
      </c>
      <c r="F1054" s="870">
        <f t="shared" si="236"/>
        <v>0</v>
      </c>
      <c r="G1054" s="826"/>
      <c r="H1054" s="1224">
        <f t="shared" si="237"/>
        <v>6.125856164383562E-2</v>
      </c>
      <c r="I1054" s="1224">
        <f t="shared" si="238"/>
        <v>9.281600249065998E-3</v>
      </c>
      <c r="J1054" s="1224">
        <f t="shared" si="239"/>
        <v>3.7951432129514323E-2</v>
      </c>
      <c r="K1054" s="1224">
        <f t="shared" si="240"/>
        <v>2.4750933997509342E-2</v>
      </c>
      <c r="L1054" s="826"/>
      <c r="M1054" s="1207">
        <f t="shared" si="230"/>
        <v>22</v>
      </c>
      <c r="N1054" s="826"/>
      <c r="O1054" s="826"/>
      <c r="P1054" s="826"/>
      <c r="Q1054" s="435"/>
      <c r="R1054" s="826">
        <f t="shared" si="231"/>
        <v>22</v>
      </c>
      <c r="S1054" s="46"/>
      <c r="T1054" s="46"/>
      <c r="U1054" s="1046">
        <v>1054</v>
      </c>
      <c r="V1054" s="46"/>
    </row>
    <row r="1055" spans="1:22" ht="15.75" customHeight="1">
      <c r="A1055" s="1223" t="str">
        <f t="shared" si="232"/>
        <v>Groundnuts (dry): no. local meas</v>
      </c>
      <c r="B1055" s="1197">
        <v>12</v>
      </c>
      <c r="C1055" s="870">
        <f t="shared" si="233"/>
        <v>3.3018953144458282E-2</v>
      </c>
      <c r="D1055" s="870">
        <f t="shared" si="234"/>
        <v>0</v>
      </c>
      <c r="E1055" s="870">
        <f t="shared" si="235"/>
        <v>5.849071699875466E-2</v>
      </c>
      <c r="F1055" s="870">
        <f t="shared" si="236"/>
        <v>4.7169933063511846E-2</v>
      </c>
      <c r="G1055" s="826"/>
      <c r="H1055" s="1224">
        <f t="shared" si="237"/>
        <v>9.4339866127023678E-2</v>
      </c>
      <c r="I1055" s="1224">
        <f t="shared" si="238"/>
        <v>4.7169933063511818E-2</v>
      </c>
      <c r="J1055" s="1224">
        <f t="shared" si="239"/>
        <v>0.10482207347447074</v>
      </c>
      <c r="K1055" s="1224">
        <f t="shared" si="240"/>
        <v>5.0314595267745968E-2</v>
      </c>
      <c r="L1055" s="826"/>
      <c r="M1055" s="1207">
        <f t="shared" si="230"/>
        <v>23</v>
      </c>
      <c r="N1055" s="826"/>
      <c r="O1055" s="826"/>
      <c r="P1055" s="826"/>
      <c r="Q1055" s="435"/>
      <c r="R1055" s="826">
        <f t="shared" si="231"/>
        <v>23</v>
      </c>
      <c r="S1055" s="46"/>
      <c r="T1055" s="46"/>
      <c r="U1055" s="1046">
        <v>1055</v>
      </c>
      <c r="V1055" s="46"/>
    </row>
    <row r="1056" spans="1:22" ht="15.75" customHeight="1">
      <c r="A1056" s="1223" t="str">
        <f t="shared" ref="A1056:A1058" si="241">IF(OR(A1055="",LOOKUP(B1056,$T$820:$T$898,A$820:A$898)=A1055),"",LOOKUP(B1056,$T$820:$T$898,A$820:A$898))</f>
        <v>Irish potato: type</v>
      </c>
      <c r="B1056" s="1197">
        <v>13</v>
      </c>
      <c r="C1056" s="870">
        <f t="shared" si="233"/>
        <v>6.1099003735990039E-3</v>
      </c>
      <c r="D1056" s="870">
        <f t="shared" ref="D1056:D1058" si="242">IF($A1056="","",LOOKUP($B1056,$T$820:$T$898,M$820:M$898))</f>
        <v>0</v>
      </c>
      <c r="E1056" s="870">
        <f t="shared" ref="E1056:E1058" si="243">IF($A1056="","",LOOKUP($B1056,$T$820:$T$898,D$820:D$898))</f>
        <v>8.3094645080946453E-3</v>
      </c>
      <c r="F1056" s="870">
        <f t="shared" ref="F1056:F1058" si="244">IF($A1056="","",LOOKUP($B1056,$T$820:$T$898,N$820:N$898))</f>
        <v>2.1995641344956414E-3</v>
      </c>
      <c r="G1056" s="826"/>
      <c r="H1056" s="1224">
        <f t="shared" ref="H1056:H1058" si="245">IF($A1056="","",LOOKUP($B1056,$T$820:$T$898,E$820:E$898))</f>
        <v>2.4561799501867997E-2</v>
      </c>
      <c r="I1056" s="1224">
        <f t="shared" ref="I1056:I1058" si="246">IF($A1056="","",LOOKUP($B1056,$T$820:$T$898,O$820:O$898))</f>
        <v>2.358421544209215E-2</v>
      </c>
      <c r="J1056" s="1224">
        <f t="shared" ref="J1056:J1058" si="247">IF($A1056="","",LOOKUP($B1056,$T$820:$T$898,F$820:F$898))</f>
        <v>7.0603293206032928E-3</v>
      </c>
      <c r="K1056" s="1224">
        <f t="shared" ref="K1056:K1058" si="248">IF($A1056="","",LOOKUP($B1056,$T$820:$T$898,P$820:P$898))</f>
        <v>7.6034315760343165E-3</v>
      </c>
      <c r="L1056" s="826"/>
      <c r="M1056" s="1207">
        <f t="shared" si="230"/>
        <v>25</v>
      </c>
      <c r="N1056" s="826"/>
      <c r="O1056" s="826"/>
      <c r="P1056" s="826"/>
      <c r="Q1056" s="435"/>
      <c r="R1056" s="826">
        <f t="shared" si="231"/>
        <v>25</v>
      </c>
      <c r="S1056" s="46"/>
      <c r="T1056" s="46"/>
      <c r="U1056" s="1046">
        <v>1056</v>
      </c>
      <c r="V1056" s="46"/>
    </row>
    <row r="1057" spans="1:22" ht="15.75" customHeight="1">
      <c r="A1057" s="1223" t="str">
        <f t="shared" si="241"/>
        <v>Yam: type</v>
      </c>
      <c r="B1057" s="1197">
        <v>14</v>
      </c>
      <c r="C1057" s="870">
        <f t="shared" si="233"/>
        <v>2.5393057285180574E-2</v>
      </c>
      <c r="D1057" s="870">
        <f t="shared" si="242"/>
        <v>0</v>
      </c>
      <c r="E1057" s="870">
        <f t="shared" si="243"/>
        <v>2.082230697384807E-2</v>
      </c>
      <c r="F1057" s="870">
        <f t="shared" si="244"/>
        <v>0</v>
      </c>
      <c r="G1057" s="826"/>
      <c r="H1057" s="1224">
        <f t="shared" si="245"/>
        <v>2.0991594022415939E-2</v>
      </c>
      <c r="I1057" s="1224">
        <f t="shared" si="246"/>
        <v>0</v>
      </c>
      <c r="J1057" s="1224">
        <f t="shared" si="247"/>
        <v>2.2571606475716065E-2</v>
      </c>
      <c r="K1057" s="1224">
        <f t="shared" si="248"/>
        <v>0</v>
      </c>
      <c r="L1057" s="826"/>
      <c r="M1057" s="1207">
        <f t="shared" si="230"/>
        <v>27</v>
      </c>
      <c r="N1057" s="826"/>
      <c r="O1057" s="826"/>
      <c r="P1057" s="826"/>
      <c r="Q1057" s="435"/>
      <c r="R1057" s="826">
        <f t="shared" si="231"/>
        <v>27</v>
      </c>
      <c r="S1057" s="46"/>
      <c r="T1057" s="46"/>
      <c r="U1057" s="1046">
        <v>1057</v>
      </c>
      <c r="V1057" s="46"/>
    </row>
    <row r="1058" spans="1:22" ht="15.75" customHeight="1">
      <c r="A1058" s="1223" t="str">
        <f t="shared" si="241"/>
        <v>FISHING -- see worksheet Data 3</v>
      </c>
      <c r="B1058" s="1197">
        <v>15</v>
      </c>
      <c r="C1058" s="870">
        <f t="shared" si="233"/>
        <v>0</v>
      </c>
      <c r="D1058" s="870">
        <f t="shared" si="242"/>
        <v>0</v>
      </c>
      <c r="E1058" s="870">
        <f t="shared" si="243"/>
        <v>0</v>
      </c>
      <c r="F1058" s="870">
        <f t="shared" si="244"/>
        <v>0</v>
      </c>
      <c r="G1058" s="826"/>
      <c r="H1058" s="1224">
        <f t="shared" si="245"/>
        <v>0</v>
      </c>
      <c r="I1058" s="1224">
        <f t="shared" si="246"/>
        <v>0</v>
      </c>
      <c r="J1058" s="1224">
        <f t="shared" si="247"/>
        <v>1.1706102117061022E-2</v>
      </c>
      <c r="K1058" s="1224">
        <f t="shared" si="248"/>
        <v>-1.1706102117061022E-2</v>
      </c>
      <c r="L1058" s="826"/>
      <c r="M1058" s="1207" t="str">
        <f t="shared" si="230"/>
        <v/>
      </c>
      <c r="N1058" s="826"/>
      <c r="O1058" s="826"/>
      <c r="P1058" s="826"/>
      <c r="Q1058" s="435"/>
      <c r="R1058" s="826">
        <f t="shared" si="231"/>
        <v>28</v>
      </c>
      <c r="S1058" s="46"/>
      <c r="T1058" s="46"/>
      <c r="U1058" s="1046">
        <v>1058</v>
      </c>
      <c r="V1058" s="46"/>
    </row>
    <row r="1059" spans="1:22" ht="15.75" customHeight="1">
      <c r="A1059" s="1223" t="str">
        <f t="shared" ref="A1059:A1060" si="249">IF(OR(A1058="",LOOKUP(B1059,$T$820:$T$898,A$820:A$898)=A1058),"",LOOKUP(B1059,$T$820:$T$898,A$820:A$898))</f>
        <v>Labour: Land clearing, construction, herding, slaughtering</v>
      </c>
      <c r="B1059" s="1197">
        <v>16</v>
      </c>
      <c r="C1059" s="870">
        <f t="shared" si="233"/>
        <v>0</v>
      </c>
      <c r="D1059" s="870">
        <f t="shared" ref="D1059:D1060" si="250">IF($A1059="","",LOOKUP($B1059,$T$820:$T$898,M$820:M$898))</f>
        <v>0</v>
      </c>
      <c r="E1059" s="870">
        <f t="shared" ref="E1059:E1060" si="251">IF($A1059="","",LOOKUP($B1059,$T$820:$T$898,D$820:D$898))</f>
        <v>5.6779890410958905E-2</v>
      </c>
      <c r="F1059" s="870">
        <f t="shared" ref="F1059:F1060" si="252">IF($A1059="","",LOOKUP($B1059,$T$820:$T$898,N$820:N$898))</f>
        <v>0</v>
      </c>
      <c r="G1059" s="826"/>
      <c r="H1059" s="1224">
        <f t="shared" ref="H1059:H1060" si="253">IF($A1059="","",LOOKUP($B1059,$T$820:$T$898,E$820:E$898))</f>
        <v>0</v>
      </c>
      <c r="I1059" s="1224">
        <f t="shared" ref="I1059:I1060" si="254">IF($A1059="","",LOOKUP($B1059,$T$820:$T$898,O$820:O$898))</f>
        <v>0</v>
      </c>
      <c r="J1059" s="1224">
        <f t="shared" ref="J1059:J1060" si="255">IF($A1059="","",LOOKUP($B1059,$T$820:$T$898,F$820:F$898))</f>
        <v>0</v>
      </c>
      <c r="K1059" s="1224">
        <f t="shared" ref="K1059:K1060" si="256">IF($A1059="","",LOOKUP($B1059,$T$820:$T$898,P$820:P$898))</f>
        <v>0</v>
      </c>
      <c r="L1059" s="826"/>
      <c r="M1059" s="1207" t="str">
        <f t="shared" si="230"/>
        <v/>
      </c>
      <c r="N1059" s="826"/>
      <c r="O1059" s="826"/>
      <c r="P1059" s="826"/>
      <c r="Q1059" s="435"/>
      <c r="R1059" s="826" t="str">
        <f t="shared" si="231"/>
        <v/>
      </c>
      <c r="S1059" s="46"/>
      <c r="T1059" s="46"/>
      <c r="U1059" s="1046">
        <v>1059</v>
      </c>
      <c r="V1059" s="46"/>
    </row>
    <row r="1060" spans="1:22" ht="15.75" customHeight="1">
      <c r="A1060" s="1223" t="str">
        <f t="shared" si="249"/>
        <v>Labour: Weeding</v>
      </c>
      <c r="B1060" s="1197">
        <v>17</v>
      </c>
      <c r="C1060" s="870">
        <f t="shared" si="233"/>
        <v>0</v>
      </c>
      <c r="D1060" s="870">
        <f t="shared" si="250"/>
        <v>0</v>
      </c>
      <c r="E1060" s="870">
        <f t="shared" si="251"/>
        <v>1.8926630136986301E-2</v>
      </c>
      <c r="F1060" s="870">
        <f t="shared" si="252"/>
        <v>0</v>
      </c>
      <c r="G1060" s="826"/>
      <c r="H1060" s="1224">
        <f t="shared" si="253"/>
        <v>0</v>
      </c>
      <c r="I1060" s="1224">
        <f t="shared" si="254"/>
        <v>0</v>
      </c>
      <c r="J1060" s="1224">
        <f t="shared" si="255"/>
        <v>0</v>
      </c>
      <c r="K1060" s="1224">
        <f t="shared" si="256"/>
        <v>0</v>
      </c>
      <c r="L1060" s="826"/>
      <c r="M1060" s="1207" t="str">
        <f t="shared" si="230"/>
        <v/>
      </c>
      <c r="N1060" s="826"/>
      <c r="O1060" s="826"/>
      <c r="P1060" s="826"/>
      <c r="Q1060" s="435"/>
      <c r="R1060" s="826" t="str">
        <f t="shared" si="231"/>
        <v/>
      </c>
      <c r="S1060" s="46"/>
      <c r="T1060" s="46"/>
      <c r="U1060" s="1046">
        <v>1060</v>
      </c>
      <c r="V1060" s="46"/>
    </row>
    <row r="1061" spans="1:22" ht="15.75" customHeight="1">
      <c r="A1061" s="1223" t="str">
        <f t="shared" ref="A1061:A1062" si="257">IF(OR(A1060="",LOOKUP(B1061,$T$820:$T$898,A$820:A$898)=A1060),"",LOOKUP(B1061,$T$820:$T$898,A$820:A$898))</f>
        <v>Gifts/remittances: cereal</v>
      </c>
      <c r="B1061" s="1197">
        <v>18</v>
      </c>
      <c r="C1061" s="870">
        <f t="shared" si="233"/>
        <v>0</v>
      </c>
      <c r="D1061" s="870">
        <f t="shared" ref="D1061:D1062" si="258">IF($A1061="","",LOOKUP($B1061,$T$820:$T$898,M$820:M$898))</f>
        <v>0</v>
      </c>
      <c r="E1061" s="870">
        <f t="shared" ref="E1061:E1062" si="259">IF($A1061="","",LOOKUP($B1061,$T$820:$T$898,D$820:D$898))</f>
        <v>0</v>
      </c>
      <c r="F1061" s="870">
        <f t="shared" ref="F1061:F1062" si="260">IF($A1061="","",LOOKUP($B1061,$T$820:$T$898,N$820:N$898))</f>
        <v>0</v>
      </c>
      <c r="G1061" s="826"/>
      <c r="H1061" s="1224">
        <f t="shared" ref="H1061:H1062" si="261">IF($A1061="","",LOOKUP($B1061,$T$820:$T$898,E$820:E$898))</f>
        <v>1.7694834993773351E-2</v>
      </c>
      <c r="I1061" s="1224">
        <f t="shared" ref="I1061:I1062" si="262">IF($A1061="","",LOOKUP($B1061,$T$820:$T$898,O$820:O$898))</f>
        <v>0</v>
      </c>
      <c r="J1061" s="1224">
        <f t="shared" ref="J1061:J1062" si="263">IF($A1061="","",LOOKUP($B1061,$T$820:$T$898,F$820:F$898))</f>
        <v>5.3477723536737236E-2</v>
      </c>
      <c r="K1061" s="1224">
        <f t="shared" ref="K1061:K1062" si="264">IF($A1061="","",LOOKUP($B1061,$T$820:$T$898,P$820:P$898))</f>
        <v>0</v>
      </c>
      <c r="L1061" s="826"/>
      <c r="M1061" s="1207" t="str">
        <f t="shared" si="230"/>
        <v/>
      </c>
      <c r="N1061" s="826"/>
      <c r="O1061" s="826"/>
      <c r="P1061" s="826"/>
      <c r="Q1061" s="435"/>
      <c r="R1061" s="826" t="str">
        <f t="shared" si="231"/>
        <v/>
      </c>
      <c r="S1061" s="46"/>
      <c r="T1061" s="46"/>
      <c r="U1061" s="1046">
        <v>1061</v>
      </c>
      <c r="V1061" s="46"/>
    </row>
    <row r="1062" spans="1:22" ht="15.75" customHeight="1">
      <c r="A1062" s="1223" t="str">
        <f t="shared" si="257"/>
        <v>Gifts/remittances: Other</v>
      </c>
      <c r="B1062" s="1197">
        <v>19</v>
      </c>
      <c r="C1062" s="870">
        <f t="shared" si="233"/>
        <v>0</v>
      </c>
      <c r="D1062" s="870">
        <f t="shared" si="258"/>
        <v>0</v>
      </c>
      <c r="E1062" s="870">
        <f t="shared" si="259"/>
        <v>0</v>
      </c>
      <c r="F1062" s="870">
        <f t="shared" si="260"/>
        <v>0</v>
      </c>
      <c r="G1062" s="826"/>
      <c r="H1062" s="1224">
        <f t="shared" si="261"/>
        <v>2.3069738480697384E-2</v>
      </c>
      <c r="I1062" s="1224">
        <f t="shared" si="262"/>
        <v>0</v>
      </c>
      <c r="J1062" s="1224">
        <f t="shared" si="263"/>
        <v>2.5633042756330427E-2</v>
      </c>
      <c r="K1062" s="1224">
        <f t="shared" si="264"/>
        <v>0</v>
      </c>
      <c r="L1062" s="826"/>
      <c r="M1062" s="1207" t="str">
        <f t="shared" si="230"/>
        <v/>
      </c>
      <c r="N1062" s="826"/>
      <c r="O1062" s="826"/>
      <c r="P1062" s="826"/>
      <c r="Q1062" s="435"/>
      <c r="R1062" s="826" t="str">
        <f t="shared" si="231"/>
        <v/>
      </c>
      <c r="S1062" s="46"/>
      <c r="T1062" s="46"/>
      <c r="U1062" s="1046">
        <v>1062</v>
      </c>
      <c r="V1062" s="46"/>
    </row>
    <row r="1063" spans="1:22" ht="15.75" customHeight="1">
      <c r="A1063" s="1223" t="str">
        <f t="shared" ref="A1063" si="265">IF(OR(A1062="",LOOKUP(B1063,$T$820:$T$898,A$820:A$898)=A1062),"",LOOKUP(B1063,$T$820:$T$898,A$820:A$898))</f>
        <v/>
      </c>
      <c r="B1063" s="1197">
        <v>20</v>
      </c>
      <c r="C1063" s="870" t="str">
        <f t="shared" si="233"/>
        <v/>
      </c>
      <c r="D1063" s="870" t="str">
        <f t="shared" ref="D1063" si="266">IF($A1063="","",LOOKUP($B1063,$T$820:$T$898,M$820:M$898))</f>
        <v/>
      </c>
      <c r="E1063" s="870" t="str">
        <f t="shared" ref="E1063" si="267">IF($A1063="","",LOOKUP($B1063,$T$820:$T$898,D$820:D$898))</f>
        <v/>
      </c>
      <c r="F1063" s="870" t="str">
        <f t="shared" ref="F1063" si="268">IF($A1063="","",LOOKUP($B1063,$T$820:$T$898,N$820:N$898))</f>
        <v/>
      </c>
      <c r="G1063" s="826"/>
      <c r="H1063" s="1224" t="str">
        <f t="shared" ref="H1063" si="269">IF($A1063="","",LOOKUP($B1063,$T$820:$T$898,E$820:E$898))</f>
        <v/>
      </c>
      <c r="I1063" s="1224" t="str">
        <f t="shared" ref="I1063" si="270">IF($A1063="","",LOOKUP($B1063,$T$820:$T$898,O$820:O$898))</f>
        <v/>
      </c>
      <c r="J1063" s="1224" t="str">
        <f t="shared" ref="J1063" si="271">IF($A1063="","",LOOKUP($B1063,$T$820:$T$898,F$820:F$898))</f>
        <v/>
      </c>
      <c r="K1063" s="1224" t="str">
        <f t="shared" ref="K1063" si="272">IF($A1063="","",LOOKUP($B1063,$T$820:$T$898,P$820:P$898))</f>
        <v/>
      </c>
      <c r="L1063" s="826"/>
      <c r="M1063" s="1207" t="str">
        <f t="shared" si="230"/>
        <v/>
      </c>
      <c r="N1063" s="826"/>
      <c r="O1063" s="826"/>
      <c r="P1063" s="826"/>
      <c r="Q1063" s="435"/>
      <c r="R1063" s="826" t="str">
        <f t="shared" si="231"/>
        <v/>
      </c>
      <c r="S1063" s="46"/>
      <c r="T1063" s="46"/>
      <c r="U1063" s="1046">
        <v>1063</v>
      </c>
      <c r="V1063" s="46"/>
    </row>
    <row r="1064" spans="1:22" ht="15.75" customHeight="1">
      <c r="A1064" s="1223" t="s">
        <v>538</v>
      </c>
      <c r="B1064" s="1197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1064</v>
      </c>
      <c r="V1064" s="46"/>
    </row>
    <row r="1065" spans="1:22" ht="15.75" customHeight="1">
      <c r="A1065" s="1223" t="s">
        <v>708</v>
      </c>
      <c r="B1065" s="1197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1065</v>
      </c>
      <c r="V1065" s="46"/>
    </row>
    <row r="1066" spans="1:22" ht="15.75" customHeight="1">
      <c r="A1066" s="1223" t="s">
        <v>709</v>
      </c>
      <c r="B1066" s="1197"/>
      <c r="C1066" s="870">
        <f>SUM(C880,C883,C885:C886)</f>
        <v>6.7650971357409703E-2</v>
      </c>
      <c r="D1066" s="870">
        <f>SUM(M880,M883,M885:M886)</f>
        <v>-6.7650971357409703E-2</v>
      </c>
      <c r="E1066" s="870">
        <f>SUM(D880,D883,D885:D886)</f>
        <v>6.7650971357409703E-2</v>
      </c>
      <c r="F1066" s="870">
        <f>SUM(N880,N883,N885:N886)</f>
        <v>-6.7650971357409703E-2</v>
      </c>
      <c r="G1066" s="826"/>
      <c r="H1066" s="870">
        <f>SUM(E880,E883,E885:E886)</f>
        <v>6.7650971357409703E-2</v>
      </c>
      <c r="I1066" s="870">
        <f>SUM(O880,O883,O885:O886)</f>
        <v>-6.7650971357409703E-2</v>
      </c>
      <c r="J1066" s="870">
        <f>SUM(F880,F883,F885:F886)</f>
        <v>6.0134196762141955E-2</v>
      </c>
      <c r="K1066" s="870">
        <f>SUM(P880,P883,P885:P886)</f>
        <v>-6.0134196762141955E-2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1066</v>
      </c>
      <c r="V1066" s="46"/>
    </row>
    <row r="1067" spans="1:22" ht="15.75" customHeight="1">
      <c r="A1067" s="1223" t="s">
        <v>710</v>
      </c>
      <c r="B1067" s="1197"/>
      <c r="C1067" s="870">
        <f>SUM(C861:C879,C881:C882,C884)</f>
        <v>0.26622091064757164</v>
      </c>
      <c r="D1067" s="870">
        <f>SUM(M861:M879,M881:M882,M884)</f>
        <v>0.22052620428452788</v>
      </c>
      <c r="E1067" s="870">
        <f>SUM(D861:D879,D881:D882,D884)</f>
        <v>0.28783272384806979</v>
      </c>
      <c r="F1067" s="870">
        <f>SUM(N861:N879,N881:N882,N884)</f>
        <v>0.19891439108402972</v>
      </c>
      <c r="G1067" s="826"/>
      <c r="H1067" s="870">
        <f>SUM(E861:E879,E881:E882,E884)</f>
        <v>0.30209775887297641</v>
      </c>
      <c r="I1067" s="870">
        <f>SUM(O861:O879,O881:O882,O884)</f>
        <v>0.18464935605912314</v>
      </c>
      <c r="J1067" s="870">
        <f>SUM(F861:F879,F881:F882,F884)</f>
        <v>0.37946879601494388</v>
      </c>
      <c r="K1067" s="870">
        <f>SUM(P861:P879,P881:P882,P884)</f>
        <v>0.1072783189171555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1067</v>
      </c>
      <c r="V1067" s="46"/>
    </row>
    <row r="1068" spans="1:22" ht="15.75" customHeight="1">
      <c r="A1068" s="1225" t="s">
        <v>539</v>
      </c>
      <c r="B1068" s="1197"/>
      <c r="C1068" s="870">
        <f>SUM(C859:C860)</f>
        <v>0.42487156288916561</v>
      </c>
      <c r="D1068" s="1226">
        <f>SUM(M859:M860)</f>
        <v>0</v>
      </c>
      <c r="E1068" s="870">
        <f>SUM(D859:D860)</f>
        <v>0.41895699097135741</v>
      </c>
      <c r="F1068" s="1226">
        <f>SUM(N859:N860)</f>
        <v>0</v>
      </c>
      <c r="G1068" s="826"/>
      <c r="H1068" s="870">
        <f>SUM(E859:E860)</f>
        <v>0.41304241905354921</v>
      </c>
      <c r="I1068" s="1226">
        <f>SUM(O859:O860)</f>
        <v>0</v>
      </c>
      <c r="J1068" s="870">
        <f>SUM(F859:F860)</f>
        <v>0.37766361145703609</v>
      </c>
      <c r="K1068" s="1226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1068</v>
      </c>
      <c r="V1068" s="46"/>
    </row>
    <row r="1069" spans="1:22" ht="15.75" customHeight="1">
      <c r="A1069" s="1227" t="s">
        <v>74</v>
      </c>
      <c r="B1069" s="1197"/>
      <c r="C1069" s="870">
        <f>SUM(C1044:C1068)</f>
        <v>1.2490408771422641</v>
      </c>
      <c r="D1069" s="870">
        <f>SUM(D1044:D1068)</f>
        <v>0.13219867159461507</v>
      </c>
      <c r="E1069" s="870">
        <f>SUM(E1044:E1068)</f>
        <v>1.3865300426933227</v>
      </c>
      <c r="F1069" s="870">
        <f>SUM(F1044:F1068)</f>
        <v>0.14749176188104096</v>
      </c>
      <c r="G1069" s="1228"/>
      <c r="H1069" s="1224">
        <f>SUM(H1044:H1068)</f>
        <v>1.5219052253676688</v>
      </c>
      <c r="I1069" s="1224">
        <f>SUM(I1044:I1068)</f>
        <v>0.19890382251304589</v>
      </c>
      <c r="J1069" s="1224">
        <f>SUM(J1044:J1068)</f>
        <v>1.68800542494284</v>
      </c>
      <c r="K1069" s="1224">
        <f>SUM(K1044:K1068)</f>
        <v>0.13986217764138414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1069</v>
      </c>
      <c r="V1069" s="46"/>
    </row>
    <row r="1070" spans="1:22" ht="15.75" customHeight="1">
      <c r="A1070" s="463"/>
      <c r="B1070" s="1197"/>
      <c r="C1070" s="1229"/>
      <c r="D1070" s="1229"/>
      <c r="E1070" s="1229"/>
      <c r="F1070" s="1229"/>
      <c r="G1070" s="826"/>
      <c r="H1070" s="1230"/>
      <c r="I1070" s="1230"/>
      <c r="J1070" s="1230"/>
      <c r="K1070" s="1230"/>
      <c r="L1070" s="826"/>
      <c r="M1070" s="826"/>
      <c r="N1070" s="826"/>
      <c r="O1070" s="826"/>
      <c r="P1070" s="826"/>
      <c r="Q1070" s="435"/>
      <c r="R1070" s="826" t="s">
        <v>536</v>
      </c>
      <c r="S1070" s="46"/>
      <c r="T1070" s="46"/>
      <c r="U1070" s="1046">
        <v>1070</v>
      </c>
      <c r="V1070" s="46"/>
    </row>
    <row r="1071" spans="1:22" ht="15.75" customHeight="1">
      <c r="A1071" s="1204" t="s">
        <v>16</v>
      </c>
      <c r="B1071" s="1197"/>
      <c r="C1071" s="1205" t="str">
        <f>C1036</f>
        <v>VP</v>
      </c>
      <c r="D1071" s="1205" t="str">
        <f>C1036</f>
        <v>VP</v>
      </c>
      <c r="E1071" s="1205" t="str">
        <f>E1036</f>
        <v>P</v>
      </c>
      <c r="F1071" s="1205" t="str">
        <f>E1036</f>
        <v>P</v>
      </c>
      <c r="G1071" s="826"/>
      <c r="H1071" s="1206" t="str">
        <f>H1036</f>
        <v>M</v>
      </c>
      <c r="I1071" s="1206" t="str">
        <f>H1036</f>
        <v>M</v>
      </c>
      <c r="J1071" s="1206" t="str">
        <f>J1036</f>
        <v>BO</v>
      </c>
      <c r="K1071" s="1206" t="str">
        <f>J1036</f>
        <v>BO</v>
      </c>
      <c r="L1071" s="826"/>
      <c r="M1071" s="1206" t="s">
        <v>536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1071</v>
      </c>
      <c r="V1071" s="46"/>
    </row>
    <row r="1072" spans="1:22" ht="15.75" customHeight="1">
      <c r="A1072" s="1223" t="str">
        <f t="shared" ref="A1072:A1094" si="273">IF(OR(A1071="",LOOKUP(B1072,$T$904:$T$983,A$904:A$983)=A1071),"",LOOKUP(B1072,$T$904:$T$983,A$904:A$983))</f>
        <v>Cattle sales - local: no. sold</v>
      </c>
      <c r="B1072" s="1197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0</v>
      </c>
      <c r="F1072" s="1101">
        <f>LOOKUP($B1072,$T$904:$T$983,N$904:N$983)</f>
        <v>0</v>
      </c>
      <c r="G1072" s="826"/>
      <c r="H1072" s="1207">
        <f>LOOKUP($B1072,$T$904:$T$983,E$904:E$983)</f>
        <v>2000</v>
      </c>
      <c r="I1072" s="1207">
        <f>LOOKUP($B1072,$T$904:$T$983,O$904:O$983)</f>
        <v>0</v>
      </c>
      <c r="J1072" s="1207">
        <f>LOOKUP($B1072,$T$904:$T$983,F$904:F$983)</f>
        <v>8000</v>
      </c>
      <c r="K1072" s="1207">
        <f>LOOKUP($B1072,$T$904:$T$983,P$904:P$983)</f>
        <v>2000</v>
      </c>
      <c r="L1072" s="826"/>
      <c r="M1072" s="990" t="str">
        <f t="shared" ref="M1072:M1095" si="274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1072</v>
      </c>
      <c r="V1072" s="46"/>
    </row>
    <row r="1073" spans="1:22" ht="15.75" customHeight="1">
      <c r="A1073" s="1223" t="str">
        <f t="shared" si="273"/>
        <v>Goat sales - local: no. sold</v>
      </c>
      <c r="B1073" s="1197">
        <v>2</v>
      </c>
      <c r="C1073" s="1101">
        <f t="shared" ref="C1073:C1099" si="275">IF($A1073="","",LOOKUP($B1073,$T$904:$T$983,C$904:C$983))</f>
        <v>0</v>
      </c>
      <c r="D1073" s="1101">
        <f t="shared" ref="D1073:D1094" si="276">IF($A1073="","",LOOKUP($B1073,$T$904:$T$983,M$904:M$983))</f>
        <v>0</v>
      </c>
      <c r="E1073" s="1101">
        <f t="shared" ref="E1073:E1094" si="277">IF($A1073="","",LOOKUP($B1073,$T$904:$T$983,D$904:D$983))</f>
        <v>500</v>
      </c>
      <c r="F1073" s="1101">
        <f t="shared" ref="F1073:F1094" si="278">IF($A1073="","",LOOKUP($B1073,$T$904:$T$983,N$904:N$983))</f>
        <v>0</v>
      </c>
      <c r="G1073" s="826"/>
      <c r="H1073" s="1207">
        <f t="shared" ref="H1073:H1094" si="279">IF($A1073="","",LOOKUP($B1073,$T$904:$T$983,E$904:E$983))</f>
        <v>1500</v>
      </c>
      <c r="I1073" s="1207">
        <f t="shared" ref="I1073:I1094" si="280">IF($A1073="","",LOOKUP($B1073,$T$904:$T$983,O$904:O$983))</f>
        <v>1000</v>
      </c>
      <c r="J1073" s="1207">
        <f t="shared" ref="J1073:J1094" si="281">IF($A1073="","",LOOKUP($B1073,$T$904:$T$983,F$904:F$983))</f>
        <v>2500</v>
      </c>
      <c r="K1073" s="1207">
        <f t="shared" ref="K1073:K1094" si="282">IF($A1073="","",LOOKUP($B1073,$T$904:$T$983,P$904:P$983))</f>
        <v>500</v>
      </c>
      <c r="L1073" s="826"/>
      <c r="M1073" s="990" t="str">
        <f t="shared" si="274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1073</v>
      </c>
      <c r="V1073" s="46"/>
    </row>
    <row r="1074" spans="1:22" ht="15.75" customHeight="1">
      <c r="A1074" s="1223" t="str">
        <f t="shared" si="273"/>
        <v>Chicken sales: no. sold</v>
      </c>
      <c r="B1074" s="1197">
        <v>3</v>
      </c>
      <c r="C1074" s="1101">
        <f t="shared" si="275"/>
        <v>0</v>
      </c>
      <c r="D1074" s="1101">
        <f t="shared" si="276"/>
        <v>0</v>
      </c>
      <c r="E1074" s="1101">
        <f t="shared" si="277"/>
        <v>0</v>
      </c>
      <c r="F1074" s="1101">
        <f t="shared" si="278"/>
        <v>0</v>
      </c>
      <c r="G1074" s="826"/>
      <c r="H1074" s="1207">
        <f t="shared" si="279"/>
        <v>0</v>
      </c>
      <c r="I1074" s="1207">
        <f t="shared" si="280"/>
        <v>0</v>
      </c>
      <c r="J1074" s="1207">
        <f t="shared" si="281"/>
        <v>550</v>
      </c>
      <c r="K1074" s="1207">
        <f t="shared" si="282"/>
        <v>0</v>
      </c>
      <c r="L1074" s="826"/>
      <c r="M1074" s="990" t="str">
        <f t="shared" si="274"/>
        <v/>
      </c>
      <c r="N1074" s="826"/>
      <c r="O1074" s="826"/>
      <c r="P1074" s="826"/>
      <c r="Q1074" s="435"/>
      <c r="R1074" s="826" t="str">
        <f t="shared" ref="R1074:R1099" si="283">IF($A1074="","",IF(LOOKUP($B1074,$T$904:$T$983,R$904:R$983)=0,"",LOOKUP($B1074,$T$904:$T$983,R$904:R$983)))</f>
        <v/>
      </c>
      <c r="S1074" s="46"/>
      <c r="T1074" s="46"/>
      <c r="U1074" s="1046">
        <v>1074</v>
      </c>
      <c r="V1074" s="46"/>
    </row>
    <row r="1075" spans="1:22" ht="15.75" customHeight="1">
      <c r="A1075" s="1223" t="str">
        <f t="shared" si="273"/>
        <v>Maize: kg produced</v>
      </c>
      <c r="B1075" s="1197">
        <v>4</v>
      </c>
      <c r="C1075" s="1101">
        <f t="shared" si="275"/>
        <v>0</v>
      </c>
      <c r="D1075" s="1101">
        <f t="shared" si="276"/>
        <v>0</v>
      </c>
      <c r="E1075" s="1101">
        <f t="shared" si="277"/>
        <v>0</v>
      </c>
      <c r="F1075" s="1101">
        <f t="shared" si="278"/>
        <v>0</v>
      </c>
      <c r="G1075" s="826"/>
      <c r="H1075" s="1207">
        <f t="shared" si="279"/>
        <v>500</v>
      </c>
      <c r="I1075" s="1207">
        <f t="shared" si="280"/>
        <v>-500</v>
      </c>
      <c r="J1075" s="1207">
        <f t="shared" si="281"/>
        <v>655</v>
      </c>
      <c r="K1075" s="1207">
        <f t="shared" si="282"/>
        <v>-655</v>
      </c>
      <c r="L1075" s="826"/>
      <c r="M1075" s="990">
        <f t="shared" si="274"/>
        <v>10</v>
      </c>
      <c r="N1075" s="826"/>
      <c r="O1075" s="826"/>
      <c r="P1075" s="826"/>
      <c r="Q1075" s="435"/>
      <c r="R1075" s="826">
        <f t="shared" si="283"/>
        <v>10</v>
      </c>
      <c r="S1075" s="46"/>
      <c r="T1075" s="46"/>
      <c r="U1075" s="1046">
        <v>1075</v>
      </c>
      <c r="V1075" s="46"/>
    </row>
    <row r="1076" spans="1:22" ht="15.75" customHeight="1">
      <c r="A1076" s="1223" t="str">
        <f t="shared" si="273"/>
        <v>Beans: kg produced</v>
      </c>
      <c r="B1076" s="1197">
        <v>5</v>
      </c>
      <c r="C1076" s="1101">
        <f t="shared" si="275"/>
        <v>0</v>
      </c>
      <c r="D1076" s="1101">
        <f t="shared" si="276"/>
        <v>0</v>
      </c>
      <c r="E1076" s="1101">
        <f t="shared" si="277"/>
        <v>0</v>
      </c>
      <c r="F1076" s="1101">
        <f t="shared" si="278"/>
        <v>0</v>
      </c>
      <c r="G1076" s="826"/>
      <c r="H1076" s="1207">
        <f t="shared" si="279"/>
        <v>1250</v>
      </c>
      <c r="I1076" s="1207">
        <f t="shared" si="280"/>
        <v>1812.5</v>
      </c>
      <c r="J1076" s="1207">
        <f t="shared" si="281"/>
        <v>1250</v>
      </c>
      <c r="K1076" s="1207">
        <f t="shared" si="282"/>
        <v>1075</v>
      </c>
      <c r="L1076" s="826"/>
      <c r="M1076" s="990">
        <f t="shared" si="274"/>
        <v>15</v>
      </c>
      <c r="N1076" s="826"/>
      <c r="O1076" s="826"/>
      <c r="P1076" s="826"/>
      <c r="Q1076" s="435"/>
      <c r="R1076" s="826">
        <f t="shared" si="283"/>
        <v>15</v>
      </c>
      <c r="S1076" s="46"/>
      <c r="T1076" s="46"/>
      <c r="U1076" s="1046">
        <v>1076</v>
      </c>
      <c r="V1076" s="46"/>
    </row>
    <row r="1077" spans="1:22" ht="15.75" customHeight="1">
      <c r="A1077" s="1223" t="str">
        <f t="shared" si="273"/>
        <v>Water melon: no. local meas (Bhece)</v>
      </c>
      <c r="B1077" s="1197">
        <v>6</v>
      </c>
      <c r="C1077" s="1101">
        <f t="shared" si="275"/>
        <v>0</v>
      </c>
      <c r="D1077" s="1101">
        <f t="shared" si="276"/>
        <v>0</v>
      </c>
      <c r="E1077" s="1101">
        <f t="shared" si="277"/>
        <v>0</v>
      </c>
      <c r="F1077" s="1101">
        <f t="shared" si="278"/>
        <v>0</v>
      </c>
      <c r="G1077" s="826"/>
      <c r="H1077" s="1207">
        <f t="shared" si="279"/>
        <v>99</v>
      </c>
      <c r="I1077" s="1207">
        <f t="shared" si="280"/>
        <v>-99</v>
      </c>
      <c r="J1077" s="1207">
        <f t="shared" si="281"/>
        <v>99</v>
      </c>
      <c r="K1077" s="1207">
        <f t="shared" si="282"/>
        <v>-99</v>
      </c>
      <c r="L1077" s="826"/>
      <c r="M1077" s="990">
        <f t="shared" si="274"/>
        <v>20</v>
      </c>
      <c r="N1077" s="826"/>
      <c r="O1077" s="826"/>
      <c r="P1077" s="826"/>
      <c r="Q1077" s="435"/>
      <c r="R1077" s="826">
        <f t="shared" si="283"/>
        <v>20</v>
      </c>
      <c r="S1077" s="46"/>
      <c r="T1077" s="46"/>
      <c r="U1077" s="1046">
        <v>1077</v>
      </c>
      <c r="V1077" s="46"/>
    </row>
    <row r="1078" spans="1:22" ht="15.75" customHeight="1">
      <c r="A1078" s="1223" t="str">
        <f t="shared" si="273"/>
        <v>Sweet poatato: no. local meas</v>
      </c>
      <c r="B1078" s="1197">
        <v>7</v>
      </c>
      <c r="C1078" s="1101">
        <f t="shared" si="275"/>
        <v>0</v>
      </c>
      <c r="D1078" s="1101">
        <f t="shared" si="276"/>
        <v>0</v>
      </c>
      <c r="E1078" s="1101">
        <f t="shared" si="277"/>
        <v>0</v>
      </c>
      <c r="F1078" s="1101">
        <f t="shared" si="278"/>
        <v>0</v>
      </c>
      <c r="G1078" s="826"/>
      <c r="H1078" s="1207">
        <f t="shared" si="279"/>
        <v>250</v>
      </c>
      <c r="I1078" s="1207">
        <f t="shared" si="280"/>
        <v>-250</v>
      </c>
      <c r="J1078" s="1207">
        <f t="shared" si="281"/>
        <v>750</v>
      </c>
      <c r="K1078" s="1207">
        <f t="shared" si="282"/>
        <v>-750</v>
      </c>
      <c r="L1078" s="826"/>
      <c r="M1078" s="990">
        <f t="shared" si="274"/>
        <v>22</v>
      </c>
      <c r="N1078" s="826"/>
      <c r="O1078" s="826"/>
      <c r="P1078" s="826"/>
      <c r="Q1078" s="435"/>
      <c r="R1078" s="826">
        <f t="shared" si="283"/>
        <v>22</v>
      </c>
      <c r="S1078" s="46"/>
      <c r="T1078" s="46"/>
      <c r="U1078" s="1046">
        <v>1078</v>
      </c>
      <c r="V1078" s="46"/>
    </row>
    <row r="1079" spans="1:22" ht="15.75" customHeight="1">
      <c r="A1079" s="1223" t="str">
        <f t="shared" si="273"/>
        <v>Groundnuts (dry): no. local meas</v>
      </c>
      <c r="B1079" s="1197">
        <v>8</v>
      </c>
      <c r="C1079" s="1101">
        <f t="shared" si="275"/>
        <v>0</v>
      </c>
      <c r="D1079" s="1101">
        <f t="shared" si="276"/>
        <v>0</v>
      </c>
      <c r="E1079" s="1101">
        <f t="shared" si="277"/>
        <v>650</v>
      </c>
      <c r="F1079" s="1101">
        <f t="shared" si="278"/>
        <v>-650</v>
      </c>
      <c r="G1079" s="826"/>
      <c r="H1079" s="1207">
        <f t="shared" si="279"/>
        <v>250</v>
      </c>
      <c r="I1079" s="1207">
        <f t="shared" si="280"/>
        <v>-250</v>
      </c>
      <c r="J1079" s="1207">
        <f t="shared" si="281"/>
        <v>1140</v>
      </c>
      <c r="K1079" s="1207">
        <f t="shared" si="282"/>
        <v>-1140</v>
      </c>
      <c r="L1079" s="826"/>
      <c r="M1079" s="990">
        <f t="shared" si="274"/>
        <v>23</v>
      </c>
      <c r="N1079" s="826"/>
      <c r="O1079" s="826"/>
      <c r="P1079" s="826"/>
      <c r="Q1079" s="435"/>
      <c r="R1079" s="826">
        <f t="shared" si="283"/>
        <v>23</v>
      </c>
      <c r="S1079" s="46"/>
      <c r="T1079" s="46"/>
      <c r="U1079" s="1046">
        <v>1079</v>
      </c>
      <c r="V1079" s="46"/>
    </row>
    <row r="1080" spans="1:22" ht="15.75" customHeight="1">
      <c r="A1080" s="1223" t="str">
        <f t="shared" si="273"/>
        <v>Irish potato: type</v>
      </c>
      <c r="B1080" s="1197">
        <v>9</v>
      </c>
      <c r="C1080" s="1101">
        <f t="shared" si="275"/>
        <v>0</v>
      </c>
      <c r="D1080" s="1101">
        <f t="shared" si="276"/>
        <v>0</v>
      </c>
      <c r="E1080" s="1101">
        <f t="shared" si="277"/>
        <v>36</v>
      </c>
      <c r="F1080" s="1101">
        <f t="shared" si="278"/>
        <v>-36</v>
      </c>
      <c r="G1080" s="826"/>
      <c r="H1080" s="1207">
        <f t="shared" si="279"/>
        <v>772</v>
      </c>
      <c r="I1080" s="1207">
        <f t="shared" si="280"/>
        <v>-772</v>
      </c>
      <c r="J1080" s="1207">
        <f t="shared" si="281"/>
        <v>280</v>
      </c>
      <c r="K1080" s="1207">
        <f t="shared" si="282"/>
        <v>-280</v>
      </c>
      <c r="L1080" s="826"/>
      <c r="M1080" s="990">
        <f t="shared" si="274"/>
        <v>25</v>
      </c>
      <c r="N1080" s="826"/>
      <c r="O1080" s="826"/>
      <c r="P1080" s="826"/>
      <c r="Q1080" s="435"/>
      <c r="R1080" s="826">
        <f t="shared" si="283"/>
        <v>25</v>
      </c>
      <c r="S1080" s="46"/>
      <c r="T1080" s="46"/>
      <c r="U1080" s="1046">
        <v>1080</v>
      </c>
      <c r="V1080" s="46"/>
    </row>
    <row r="1081" spans="1:22" ht="15.75" customHeight="1">
      <c r="A1081" s="1223" t="str">
        <f t="shared" si="273"/>
        <v>Yam: type</v>
      </c>
      <c r="B1081" s="1197">
        <v>10</v>
      </c>
      <c r="C1081" s="1101">
        <f t="shared" si="275"/>
        <v>0</v>
      </c>
      <c r="D1081" s="1101">
        <f t="shared" si="276"/>
        <v>0</v>
      </c>
      <c r="E1081" s="1101">
        <f t="shared" si="277"/>
        <v>0</v>
      </c>
      <c r="F1081" s="1101">
        <f t="shared" si="278"/>
        <v>0</v>
      </c>
      <c r="G1081" s="826"/>
      <c r="H1081" s="1207">
        <f t="shared" si="279"/>
        <v>400</v>
      </c>
      <c r="I1081" s="1207">
        <f t="shared" si="280"/>
        <v>0</v>
      </c>
      <c r="J1081" s="1207">
        <f t="shared" si="281"/>
        <v>500</v>
      </c>
      <c r="K1081" s="1207">
        <f t="shared" si="282"/>
        <v>0</v>
      </c>
      <c r="L1081" s="826"/>
      <c r="M1081" s="990">
        <f t="shared" si="274"/>
        <v>27</v>
      </c>
      <c r="N1081" s="826"/>
      <c r="O1081" s="826"/>
      <c r="P1081" s="826"/>
      <c r="Q1081" s="435"/>
      <c r="R1081" s="826">
        <f t="shared" si="283"/>
        <v>27</v>
      </c>
      <c r="S1081" s="46"/>
      <c r="T1081" s="46"/>
      <c r="U1081" s="1046">
        <v>1081</v>
      </c>
      <c r="V1081" s="46"/>
    </row>
    <row r="1082" spans="1:22" ht="15.75" customHeight="1">
      <c r="A1082" s="1223" t="str">
        <f t="shared" si="273"/>
        <v>Spinach (cash): kg produced</v>
      </c>
      <c r="B1082" s="1197">
        <v>11</v>
      </c>
      <c r="C1082" s="1101">
        <f t="shared" si="275"/>
        <v>0</v>
      </c>
      <c r="D1082" s="1101">
        <f t="shared" si="276"/>
        <v>0</v>
      </c>
      <c r="E1082" s="1101">
        <f t="shared" si="277"/>
        <v>150</v>
      </c>
      <c r="F1082" s="1101">
        <f t="shared" si="278"/>
        <v>0</v>
      </c>
      <c r="G1082" s="826"/>
      <c r="H1082" s="1207">
        <f t="shared" si="279"/>
        <v>100</v>
      </c>
      <c r="I1082" s="1207">
        <f t="shared" si="280"/>
        <v>0</v>
      </c>
      <c r="J1082" s="1207">
        <f t="shared" si="281"/>
        <v>300</v>
      </c>
      <c r="K1082" s="1207">
        <f t="shared" si="282"/>
        <v>0</v>
      </c>
      <c r="L1082" s="826"/>
      <c r="M1082" s="990" t="str">
        <f t="shared" si="274"/>
        <v/>
      </c>
      <c r="N1082" s="826"/>
      <c r="O1082" s="826"/>
      <c r="P1082" s="826"/>
      <c r="Q1082" s="435"/>
      <c r="R1082" s="826" t="str">
        <f t="shared" si="283"/>
        <v/>
      </c>
      <c r="S1082" s="46"/>
      <c r="T1082" s="46"/>
      <c r="U1082" s="1046">
        <v>1082</v>
      </c>
      <c r="V1082" s="46"/>
    </row>
    <row r="1083" spans="1:22" ht="15.75" customHeight="1">
      <c r="A1083" s="1223" t="str">
        <f t="shared" si="273"/>
        <v>Tomatoes (cash): kg produced</v>
      </c>
      <c r="B1083" s="1197">
        <v>12</v>
      </c>
      <c r="C1083" s="1101">
        <f t="shared" si="275"/>
        <v>0</v>
      </c>
      <c r="D1083" s="1101">
        <f t="shared" si="276"/>
        <v>0</v>
      </c>
      <c r="E1083" s="1101">
        <f t="shared" si="277"/>
        <v>0</v>
      </c>
      <c r="F1083" s="1101">
        <f t="shared" si="278"/>
        <v>0</v>
      </c>
      <c r="G1083" s="826"/>
      <c r="H1083" s="1207">
        <f t="shared" si="279"/>
        <v>0</v>
      </c>
      <c r="I1083" s="1207">
        <f t="shared" si="280"/>
        <v>0</v>
      </c>
      <c r="J1083" s="1207">
        <f t="shared" si="281"/>
        <v>500</v>
      </c>
      <c r="K1083" s="1207">
        <f t="shared" si="282"/>
        <v>0</v>
      </c>
      <c r="L1083" s="826"/>
      <c r="M1083" s="990" t="str">
        <f t="shared" si="274"/>
        <v/>
      </c>
      <c r="N1083" s="826"/>
      <c r="O1083" s="826"/>
      <c r="P1083" s="826"/>
      <c r="Q1083" s="435"/>
      <c r="R1083" s="826" t="str">
        <f t="shared" si="283"/>
        <v/>
      </c>
      <c r="S1083" s="46"/>
      <c r="T1083" s="46"/>
      <c r="U1083" s="1046">
        <v>1083</v>
      </c>
      <c r="V1083" s="46"/>
    </row>
    <row r="1084" spans="1:22" ht="15.75" customHeight="1">
      <c r="A1084" s="1223" t="str">
        <f t="shared" si="273"/>
        <v>Cabbage (cash): kg produced</v>
      </c>
      <c r="B1084" s="1197">
        <v>13</v>
      </c>
      <c r="C1084" s="1101">
        <f t="shared" si="275"/>
        <v>0</v>
      </c>
      <c r="D1084" s="1101">
        <f t="shared" si="276"/>
        <v>0</v>
      </c>
      <c r="E1084" s="1101">
        <f t="shared" si="277"/>
        <v>0</v>
      </c>
      <c r="F1084" s="1101">
        <f t="shared" si="278"/>
        <v>0</v>
      </c>
      <c r="G1084" s="826"/>
      <c r="H1084" s="1207">
        <f t="shared" si="279"/>
        <v>0</v>
      </c>
      <c r="I1084" s="1207">
        <f t="shared" si="280"/>
        <v>0</v>
      </c>
      <c r="J1084" s="1207">
        <f t="shared" si="281"/>
        <v>300</v>
      </c>
      <c r="K1084" s="1207">
        <f t="shared" si="282"/>
        <v>0</v>
      </c>
      <c r="L1084" s="826"/>
      <c r="M1084" s="990" t="str">
        <f t="shared" si="274"/>
        <v/>
      </c>
      <c r="N1084" s="826"/>
      <c r="O1084" s="826"/>
      <c r="P1084" s="826"/>
      <c r="Q1084" s="435"/>
      <c r="R1084" s="826" t="str">
        <f t="shared" si="283"/>
        <v/>
      </c>
      <c r="S1084" s="46"/>
      <c r="T1084" s="46"/>
      <c r="U1084" s="1046">
        <v>1084</v>
      </c>
      <c r="V1084" s="46"/>
    </row>
    <row r="1085" spans="1:22" ht="15.75" customHeight="1">
      <c r="A1085" s="1223" t="str">
        <f t="shared" si="273"/>
        <v>Agricultural cash income -- see Data2</v>
      </c>
      <c r="B1085" s="1197">
        <v>14</v>
      </c>
      <c r="C1085" s="1101">
        <f t="shared" si="275"/>
        <v>0</v>
      </c>
      <c r="D1085" s="1101">
        <f t="shared" si="276"/>
        <v>0</v>
      </c>
      <c r="E1085" s="1101">
        <f t="shared" si="277"/>
        <v>1109</v>
      </c>
      <c r="F1085" s="1101">
        <f t="shared" si="278"/>
        <v>0</v>
      </c>
      <c r="G1085" s="826"/>
      <c r="H1085" s="1207">
        <f t="shared" si="279"/>
        <v>752</v>
      </c>
      <c r="I1085" s="1207">
        <f t="shared" si="280"/>
        <v>0</v>
      </c>
      <c r="J1085" s="1207">
        <f t="shared" si="281"/>
        <v>0</v>
      </c>
      <c r="K1085" s="1207">
        <f t="shared" si="282"/>
        <v>0</v>
      </c>
      <c r="L1085" s="826"/>
      <c r="M1085" s="990" t="str">
        <f t="shared" si="274"/>
        <v/>
      </c>
      <c r="N1085" s="826"/>
      <c r="O1085" s="826"/>
      <c r="P1085" s="826"/>
      <c r="Q1085" s="435"/>
      <c r="R1085" s="826" t="str">
        <f t="shared" si="283"/>
        <v/>
      </c>
      <c r="S1085" s="46"/>
      <c r="T1085" s="46"/>
      <c r="U1085" s="1046">
        <v>1085</v>
      </c>
      <c r="V1085" s="46"/>
    </row>
    <row r="1086" spans="1:22" ht="15.75" customHeight="1">
      <c r="A1086" s="1223" t="str">
        <f t="shared" si="273"/>
        <v>Labour migration(formal employment): no. people per HH</v>
      </c>
      <c r="B1086" s="1197">
        <v>15</v>
      </c>
      <c r="C1086" s="1101">
        <f t="shared" si="275"/>
        <v>0</v>
      </c>
      <c r="D1086" s="1101">
        <f t="shared" si="276"/>
        <v>0</v>
      </c>
      <c r="E1086" s="1101">
        <f t="shared" si="277"/>
        <v>0</v>
      </c>
      <c r="F1086" s="1101">
        <f t="shared" si="278"/>
        <v>0</v>
      </c>
      <c r="G1086" s="826"/>
      <c r="H1086" s="1207">
        <f t="shared" si="279"/>
        <v>0</v>
      </c>
      <c r="I1086" s="1207">
        <f t="shared" si="280"/>
        <v>0</v>
      </c>
      <c r="J1086" s="1207">
        <f t="shared" si="281"/>
        <v>11000</v>
      </c>
      <c r="K1086" s="1207">
        <f t="shared" si="282"/>
        <v>0</v>
      </c>
      <c r="L1086" s="826"/>
      <c r="M1086" s="990" t="str">
        <f t="shared" si="274"/>
        <v/>
      </c>
      <c r="N1086" s="826"/>
      <c r="O1086" s="826"/>
      <c r="P1086" s="826"/>
      <c r="Q1086" s="435"/>
      <c r="R1086" s="826">
        <f t="shared" si="283"/>
        <v>30</v>
      </c>
      <c r="S1086" s="46"/>
      <c r="T1086" s="46"/>
      <c r="U1086" s="1046">
        <v>1086</v>
      </c>
      <c r="V1086" s="46"/>
    </row>
    <row r="1087" spans="1:22" ht="15.75" customHeight="1">
      <c r="A1087" s="1223" t="str">
        <f t="shared" si="273"/>
        <v>Formal Employment (conservancies, etc.)</v>
      </c>
      <c r="B1087" s="1197">
        <v>16</v>
      </c>
      <c r="C1087" s="1101">
        <f t="shared" si="275"/>
        <v>0</v>
      </c>
      <c r="D1087" s="1101">
        <f t="shared" si="276"/>
        <v>0</v>
      </c>
      <c r="E1087" s="1101">
        <f t="shared" si="277"/>
        <v>0</v>
      </c>
      <c r="F1087" s="1101">
        <f t="shared" si="278"/>
        <v>0</v>
      </c>
      <c r="G1087" s="826"/>
      <c r="H1087" s="1207">
        <f t="shared" si="279"/>
        <v>0</v>
      </c>
      <c r="I1087" s="1207">
        <f t="shared" si="280"/>
        <v>0</v>
      </c>
      <c r="J1087" s="1207">
        <f t="shared" si="281"/>
        <v>23760</v>
      </c>
      <c r="K1087" s="1207">
        <f t="shared" si="282"/>
        <v>0</v>
      </c>
      <c r="L1087" s="826"/>
      <c r="M1087" s="990" t="str">
        <f t="shared" si="274"/>
        <v/>
      </c>
      <c r="N1087" s="826"/>
      <c r="O1087" s="826"/>
      <c r="P1087" s="826"/>
      <c r="Q1087" s="435"/>
      <c r="R1087" s="826" t="str">
        <f t="shared" si="283"/>
        <v/>
      </c>
      <c r="S1087" s="46"/>
      <c r="T1087" s="46"/>
      <c r="U1087" s="1046">
        <v>1087</v>
      </c>
      <c r="V1087" s="46"/>
    </row>
    <row r="1088" spans="1:22" ht="15.75" customHeight="1">
      <c r="A1088" s="1223" t="str">
        <f t="shared" si="273"/>
        <v>Self-employment -- see Data2</v>
      </c>
      <c r="B1088" s="1197">
        <v>17</v>
      </c>
      <c r="C1088" s="1101">
        <f t="shared" si="275"/>
        <v>0</v>
      </c>
      <c r="D1088" s="1101">
        <f t="shared" si="276"/>
        <v>0</v>
      </c>
      <c r="E1088" s="1101">
        <f t="shared" si="277"/>
        <v>0</v>
      </c>
      <c r="F1088" s="1101">
        <f t="shared" si="278"/>
        <v>0</v>
      </c>
      <c r="G1088" s="826"/>
      <c r="H1088" s="1207">
        <f t="shared" si="279"/>
        <v>429</v>
      </c>
      <c r="I1088" s="1207">
        <f t="shared" si="280"/>
        <v>85.799999999999955</v>
      </c>
      <c r="J1088" s="1207">
        <f t="shared" si="281"/>
        <v>0</v>
      </c>
      <c r="K1088" s="1207">
        <f t="shared" si="282"/>
        <v>0</v>
      </c>
      <c r="L1088" s="826"/>
      <c r="M1088" s="990" t="str">
        <f t="shared" si="274"/>
        <v/>
      </c>
      <c r="N1088" s="826"/>
      <c r="O1088" s="826"/>
      <c r="P1088" s="826"/>
      <c r="Q1088" s="435"/>
      <c r="R1088" s="826" t="str">
        <f t="shared" si="283"/>
        <v/>
      </c>
      <c r="S1088" s="46"/>
      <c r="T1088" s="46"/>
      <c r="U1088" s="1046">
        <v>1088</v>
      </c>
      <c r="V1088" s="46"/>
    </row>
    <row r="1089" spans="1:22" ht="15.75" customHeight="1">
      <c r="A1089" s="1223" t="str">
        <f t="shared" si="273"/>
        <v>Small business -- see Data2</v>
      </c>
      <c r="B1089" s="1197">
        <v>18</v>
      </c>
      <c r="C1089" s="1101">
        <f t="shared" si="275"/>
        <v>0</v>
      </c>
      <c r="D1089" s="1101">
        <f t="shared" si="276"/>
        <v>0</v>
      </c>
      <c r="E1089" s="1101">
        <f t="shared" si="277"/>
        <v>0</v>
      </c>
      <c r="F1089" s="1101">
        <f t="shared" si="278"/>
        <v>0</v>
      </c>
      <c r="G1089" s="826"/>
      <c r="H1089" s="1207">
        <f t="shared" si="279"/>
        <v>2160</v>
      </c>
      <c r="I1089" s="1207">
        <f t="shared" si="280"/>
        <v>0</v>
      </c>
      <c r="J1089" s="1207">
        <f t="shared" si="281"/>
        <v>0</v>
      </c>
      <c r="K1089" s="1207">
        <f t="shared" si="282"/>
        <v>0</v>
      </c>
      <c r="L1089" s="826"/>
      <c r="M1089" s="990" t="str">
        <f t="shared" si="274"/>
        <v/>
      </c>
      <c r="N1089" s="826"/>
      <c r="O1089" s="826"/>
      <c r="P1089" s="826"/>
      <c r="Q1089" s="435"/>
      <c r="R1089" s="826" t="str">
        <f t="shared" si="283"/>
        <v/>
      </c>
      <c r="S1089" s="46"/>
      <c r="T1089" s="46"/>
      <c r="U1089" s="1046">
        <v>1089</v>
      </c>
      <c r="V1089" s="46"/>
    </row>
    <row r="1090" spans="1:22" ht="15.75" customHeight="1">
      <c r="A1090" s="1223" t="str">
        <f t="shared" si="273"/>
        <v>Social development -- see Data2</v>
      </c>
      <c r="B1090" s="1197">
        <v>19</v>
      </c>
      <c r="C1090" s="1101">
        <f t="shared" si="275"/>
        <v>22020</v>
      </c>
      <c r="D1090" s="1101">
        <f t="shared" si="276"/>
        <v>0</v>
      </c>
      <c r="E1090" s="1101">
        <f t="shared" si="277"/>
        <v>22020</v>
      </c>
      <c r="F1090" s="1101">
        <f t="shared" si="278"/>
        <v>0</v>
      </c>
      <c r="G1090" s="826"/>
      <c r="H1090" s="1207">
        <f t="shared" si="279"/>
        <v>22020</v>
      </c>
      <c r="I1090" s="1207">
        <f t="shared" si="280"/>
        <v>0</v>
      </c>
      <c r="J1090" s="1207">
        <f t="shared" si="281"/>
        <v>6162</v>
      </c>
      <c r="K1090" s="1207">
        <f t="shared" si="282"/>
        <v>0</v>
      </c>
      <c r="L1090" s="826"/>
      <c r="M1090" s="990" t="str">
        <f t="shared" si="274"/>
        <v/>
      </c>
      <c r="N1090" s="826"/>
      <c r="O1090" s="826"/>
      <c r="P1090" s="826"/>
      <c r="Q1090" s="435"/>
      <c r="R1090" s="826" t="str">
        <f t="shared" si="283"/>
        <v/>
      </c>
      <c r="S1090" s="46"/>
      <c r="T1090" s="46"/>
      <c r="U1090" s="1046">
        <v>1090</v>
      </c>
      <c r="V1090" s="46"/>
    </row>
    <row r="1091" spans="1:22" ht="15.75" customHeight="1">
      <c r="A1091" s="1223" t="str">
        <f t="shared" si="273"/>
        <v>Public works -- see Data2</v>
      </c>
      <c r="B1091" s="1197">
        <v>20</v>
      </c>
      <c r="C1091" s="1101">
        <f t="shared" si="275"/>
        <v>0</v>
      </c>
      <c r="D1091" s="1101">
        <f t="shared" si="276"/>
        <v>0</v>
      </c>
      <c r="E1091" s="1101">
        <f t="shared" si="277"/>
        <v>0</v>
      </c>
      <c r="F1091" s="1101">
        <f t="shared" si="278"/>
        <v>0</v>
      </c>
      <c r="G1091" s="826"/>
      <c r="H1091" s="1207">
        <f t="shared" si="279"/>
        <v>371</v>
      </c>
      <c r="I1091" s="1207">
        <f t="shared" si="280"/>
        <v>0</v>
      </c>
      <c r="J1091" s="1207">
        <f t="shared" si="281"/>
        <v>0</v>
      </c>
      <c r="K1091" s="1207">
        <f t="shared" si="282"/>
        <v>0</v>
      </c>
      <c r="L1091" s="826"/>
      <c r="M1091" s="990" t="str">
        <f t="shared" si="274"/>
        <v/>
      </c>
      <c r="N1091" s="826"/>
      <c r="O1091" s="826"/>
      <c r="P1091" s="826"/>
      <c r="Q1091" s="435"/>
      <c r="R1091" s="826" t="str">
        <f t="shared" si="283"/>
        <v/>
      </c>
      <c r="S1091" s="46"/>
      <c r="T1091" s="46"/>
      <c r="U1091" s="1046">
        <v>1091</v>
      </c>
      <c r="V1091" s="46"/>
    </row>
    <row r="1092" spans="1:22" ht="15.75" customHeight="1">
      <c r="A1092" s="1223" t="str">
        <f t="shared" si="273"/>
        <v>Other income: e.g. Credit (cotton loans)</v>
      </c>
      <c r="B1092" s="1197">
        <v>21</v>
      </c>
      <c r="C1092" s="1101">
        <f t="shared" si="275"/>
        <v>0</v>
      </c>
      <c r="D1092" s="1101">
        <f t="shared" si="276"/>
        <v>0</v>
      </c>
      <c r="E1092" s="1101">
        <f t="shared" si="277"/>
        <v>0</v>
      </c>
      <c r="F1092" s="1101">
        <f t="shared" si="278"/>
        <v>0</v>
      </c>
      <c r="G1092" s="826"/>
      <c r="H1092" s="1207">
        <f t="shared" si="279"/>
        <v>1600</v>
      </c>
      <c r="I1092" s="1207">
        <f t="shared" si="280"/>
        <v>0</v>
      </c>
      <c r="J1092" s="1207">
        <f t="shared" si="281"/>
        <v>0</v>
      </c>
      <c r="K1092" s="1207">
        <f t="shared" si="282"/>
        <v>0</v>
      </c>
      <c r="L1092" s="826"/>
      <c r="M1092" s="990" t="str">
        <f t="shared" si="274"/>
        <v/>
      </c>
      <c r="N1092" s="826"/>
      <c r="O1092" s="826"/>
      <c r="P1092" s="826"/>
      <c r="Q1092" s="435"/>
      <c r="R1092" s="826" t="str">
        <f t="shared" si="283"/>
        <v/>
      </c>
      <c r="S1092" s="46"/>
      <c r="T1092" s="46"/>
      <c r="U1092" s="1046">
        <v>1092</v>
      </c>
      <c r="V1092" s="46"/>
    </row>
    <row r="1093" spans="1:22" ht="15.75" customHeight="1">
      <c r="A1093" s="1223" t="str">
        <f t="shared" si="273"/>
        <v/>
      </c>
      <c r="B1093" s="1197">
        <v>22</v>
      </c>
      <c r="C1093" s="1101" t="str">
        <f t="shared" si="275"/>
        <v/>
      </c>
      <c r="D1093" s="1101" t="str">
        <f t="shared" si="276"/>
        <v/>
      </c>
      <c r="E1093" s="1101" t="str">
        <f t="shared" si="277"/>
        <v/>
      </c>
      <c r="F1093" s="1101" t="str">
        <f t="shared" si="278"/>
        <v/>
      </c>
      <c r="G1093" s="826"/>
      <c r="H1093" s="1207" t="str">
        <f t="shared" si="279"/>
        <v/>
      </c>
      <c r="I1093" s="1207" t="str">
        <f t="shared" si="280"/>
        <v/>
      </c>
      <c r="J1093" s="1207" t="str">
        <f t="shared" si="281"/>
        <v/>
      </c>
      <c r="K1093" s="1207" t="str">
        <f t="shared" si="282"/>
        <v/>
      </c>
      <c r="L1093" s="826"/>
      <c r="M1093" s="990" t="str">
        <f t="shared" si="274"/>
        <v/>
      </c>
      <c r="N1093" s="826"/>
      <c r="O1093" s="826"/>
      <c r="P1093" s="826"/>
      <c r="Q1093" s="435"/>
      <c r="R1093" s="826" t="str">
        <f t="shared" si="283"/>
        <v/>
      </c>
      <c r="S1093" s="46"/>
      <c r="T1093" s="46"/>
      <c r="U1093" s="1046">
        <v>1093</v>
      </c>
      <c r="V1093" s="46"/>
    </row>
    <row r="1094" spans="1:22" ht="15.75" customHeight="1">
      <c r="A1094" s="1223" t="str">
        <f t="shared" si="273"/>
        <v/>
      </c>
      <c r="B1094" s="1197">
        <v>23</v>
      </c>
      <c r="C1094" s="1101" t="str">
        <f t="shared" si="275"/>
        <v/>
      </c>
      <c r="D1094" s="1101" t="str">
        <f t="shared" si="276"/>
        <v/>
      </c>
      <c r="E1094" s="1101" t="str">
        <f t="shared" si="277"/>
        <v/>
      </c>
      <c r="F1094" s="1101" t="str">
        <f t="shared" si="278"/>
        <v/>
      </c>
      <c r="G1094" s="826"/>
      <c r="H1094" s="1207" t="str">
        <f t="shared" si="279"/>
        <v/>
      </c>
      <c r="I1094" s="1207" t="str">
        <f t="shared" si="280"/>
        <v/>
      </c>
      <c r="J1094" s="1207" t="str">
        <f t="shared" si="281"/>
        <v/>
      </c>
      <c r="K1094" s="1207" t="str">
        <f t="shared" si="282"/>
        <v/>
      </c>
      <c r="L1094" s="826"/>
      <c r="M1094" s="990" t="str">
        <f t="shared" si="274"/>
        <v/>
      </c>
      <c r="N1094" s="826"/>
      <c r="O1094" s="826"/>
      <c r="P1094" s="826"/>
      <c r="Q1094" s="435"/>
      <c r="R1094" s="826" t="str">
        <f t="shared" si="283"/>
        <v/>
      </c>
      <c r="S1094" s="46"/>
      <c r="T1094" s="46"/>
      <c r="U1094" s="1046">
        <v>1094</v>
      </c>
      <c r="V1094" s="46"/>
    </row>
    <row r="1095" spans="1:22" ht="15.75" customHeight="1">
      <c r="A1095" s="1223" t="str">
        <f t="shared" ref="A1095" si="284">IF(OR(A1094="",LOOKUP(B1095,$T$904:$T$983,A$904:A$983)=A1094),"",LOOKUP(B1095,$T$904:$T$983,A$904:A$983))</f>
        <v/>
      </c>
      <c r="B1095" s="1197">
        <v>24</v>
      </c>
      <c r="C1095" s="1101" t="str">
        <f t="shared" si="275"/>
        <v/>
      </c>
      <c r="D1095" s="1101" t="str">
        <f t="shared" ref="D1095" si="285">IF($A1095="","",LOOKUP($B1095,$T$904:$T$983,M$904:M$983))</f>
        <v/>
      </c>
      <c r="E1095" s="1101" t="str">
        <f t="shared" ref="E1095" si="286">IF($A1095="","",LOOKUP($B1095,$T$904:$T$983,D$904:D$983))</f>
        <v/>
      </c>
      <c r="F1095" s="1101" t="str">
        <f t="shared" ref="F1095" si="287">IF($A1095="","",LOOKUP($B1095,$T$904:$T$983,N$904:N$983))</f>
        <v/>
      </c>
      <c r="G1095" s="826"/>
      <c r="H1095" s="1207" t="str">
        <f t="shared" ref="H1095" si="288">IF($A1095="","",LOOKUP($B1095,$T$904:$T$983,E$904:E$983))</f>
        <v/>
      </c>
      <c r="I1095" s="1207" t="str">
        <f t="shared" ref="I1095" si="289">IF($A1095="","",LOOKUP($B1095,$T$904:$T$983,O$904:O$983))</f>
        <v/>
      </c>
      <c r="J1095" s="1207" t="str">
        <f t="shared" ref="J1095" si="290">IF($A1095="","",LOOKUP($B1095,$T$904:$T$983,F$904:F$983))</f>
        <v/>
      </c>
      <c r="K1095" s="1207" t="str">
        <f t="shared" ref="K1095" si="291">IF($A1095="","",LOOKUP($B1095,$T$904:$T$983,P$904:P$983))</f>
        <v/>
      </c>
      <c r="L1095" s="826"/>
      <c r="M1095" s="990" t="str">
        <f t="shared" si="274"/>
        <v/>
      </c>
      <c r="N1095" s="826"/>
      <c r="O1095" s="826"/>
      <c r="P1095" s="826"/>
      <c r="Q1095" s="435"/>
      <c r="R1095" s="826" t="str">
        <f t="shared" si="283"/>
        <v/>
      </c>
      <c r="S1095" s="46"/>
      <c r="T1095" s="46"/>
      <c r="U1095" s="1046">
        <v>1095</v>
      </c>
      <c r="V1095" s="46"/>
    </row>
    <row r="1096" spans="1:22" ht="15.75" customHeight="1">
      <c r="A1096" s="1223" t="str">
        <f t="shared" ref="A1096:A1099" si="292">IF(OR(A1095="",LOOKUP(B1096,$T$904:$T$983,A$904:A$983)=A1095),"",LOOKUP(B1096,$T$904:$T$983,A$904:A$983))</f>
        <v/>
      </c>
      <c r="B1096" s="1197">
        <v>25</v>
      </c>
      <c r="C1096" s="1101" t="str">
        <f t="shared" si="275"/>
        <v/>
      </c>
      <c r="D1096" s="1101" t="str">
        <f t="shared" ref="D1096:D1099" si="293">IF($A1096="","",LOOKUP($B1096,$T$904:$T$983,M$904:M$983))</f>
        <v/>
      </c>
      <c r="E1096" s="1101" t="str">
        <f t="shared" ref="E1096:E1099" si="294">IF($A1096="","",LOOKUP($B1096,$T$904:$T$983,D$904:D$983))</f>
        <v/>
      </c>
      <c r="F1096" s="1101" t="str">
        <f t="shared" ref="F1096:F1099" si="295">IF($A1096="","",LOOKUP($B1096,$T$904:$T$983,N$904:N$983))</f>
        <v/>
      </c>
      <c r="G1096" s="826"/>
      <c r="H1096" s="1207" t="str">
        <f t="shared" ref="H1096:H1099" si="296">IF($A1096="","",LOOKUP($B1096,$T$904:$T$983,E$904:E$983))</f>
        <v/>
      </c>
      <c r="I1096" s="1207" t="str">
        <f t="shared" ref="I1096:I1099" si="297">IF($A1096="","",LOOKUP($B1096,$T$904:$T$983,O$904:O$983))</f>
        <v/>
      </c>
      <c r="J1096" s="1207" t="str">
        <f t="shared" ref="J1096:J1099" si="298">IF($A1096="","",LOOKUP($B1096,$T$904:$T$983,F$904:F$983))</f>
        <v/>
      </c>
      <c r="K1096" s="1207" t="str">
        <f t="shared" ref="K1096:K1099" si="299">IF($A1096="","",LOOKUP($B1096,$T$904:$T$983,P$904:P$983))</f>
        <v/>
      </c>
      <c r="L1096" s="826"/>
      <c r="M1096" s="990" t="str">
        <f t="shared" ref="M1096:M1099" si="300">IF(LOOKUP(R1096,R$1044:R$1065,R$1044:R$1065)=R1096,R1096,"")</f>
        <v/>
      </c>
      <c r="N1096" s="826"/>
      <c r="O1096" s="826"/>
      <c r="P1096" s="826"/>
      <c r="Q1096" s="435"/>
      <c r="R1096" s="826" t="str">
        <f t="shared" si="283"/>
        <v/>
      </c>
      <c r="S1096" s="46"/>
      <c r="T1096" s="46"/>
      <c r="U1096" s="1046">
        <v>1096</v>
      </c>
      <c r="V1096" s="46"/>
    </row>
    <row r="1097" spans="1:22" ht="15.75" customHeight="1">
      <c r="A1097" s="1223" t="str">
        <f t="shared" si="292"/>
        <v/>
      </c>
      <c r="B1097" s="1197">
        <v>26</v>
      </c>
      <c r="C1097" s="1101" t="str">
        <f t="shared" si="275"/>
        <v/>
      </c>
      <c r="D1097" s="1101" t="str">
        <f t="shared" si="293"/>
        <v/>
      </c>
      <c r="E1097" s="1101" t="str">
        <f t="shared" si="294"/>
        <v/>
      </c>
      <c r="F1097" s="1101" t="str">
        <f t="shared" si="295"/>
        <v/>
      </c>
      <c r="G1097" s="826"/>
      <c r="H1097" s="1207" t="str">
        <f t="shared" si="296"/>
        <v/>
      </c>
      <c r="I1097" s="1207" t="str">
        <f t="shared" si="297"/>
        <v/>
      </c>
      <c r="J1097" s="1207" t="str">
        <f t="shared" si="298"/>
        <v/>
      </c>
      <c r="K1097" s="1207" t="str">
        <f t="shared" si="299"/>
        <v/>
      </c>
      <c r="L1097" s="826"/>
      <c r="M1097" s="990" t="str">
        <f t="shared" si="300"/>
        <v/>
      </c>
      <c r="N1097" s="826"/>
      <c r="O1097" s="826"/>
      <c r="P1097" s="826"/>
      <c r="Q1097" s="435"/>
      <c r="R1097" s="826" t="str">
        <f t="shared" si="283"/>
        <v/>
      </c>
      <c r="S1097" s="46"/>
      <c r="T1097" s="46"/>
      <c r="U1097" s="1046">
        <v>1097</v>
      </c>
      <c r="V1097" s="46"/>
    </row>
    <row r="1098" spans="1:22" ht="15.75" customHeight="1">
      <c r="A1098" s="1223" t="str">
        <f t="shared" si="292"/>
        <v/>
      </c>
      <c r="B1098" s="1197">
        <v>27</v>
      </c>
      <c r="C1098" s="1101" t="str">
        <f t="shared" si="275"/>
        <v/>
      </c>
      <c r="D1098" s="1101" t="str">
        <f t="shared" si="293"/>
        <v/>
      </c>
      <c r="E1098" s="1101" t="str">
        <f t="shared" si="294"/>
        <v/>
      </c>
      <c r="F1098" s="1101" t="str">
        <f t="shared" si="295"/>
        <v/>
      </c>
      <c r="G1098" s="826"/>
      <c r="H1098" s="1207" t="str">
        <f t="shared" si="296"/>
        <v/>
      </c>
      <c r="I1098" s="1207" t="str">
        <f t="shared" si="297"/>
        <v/>
      </c>
      <c r="J1098" s="1207" t="str">
        <f t="shared" si="298"/>
        <v/>
      </c>
      <c r="K1098" s="1207" t="str">
        <f t="shared" si="299"/>
        <v/>
      </c>
      <c r="L1098" s="826"/>
      <c r="M1098" s="990" t="str">
        <f t="shared" si="300"/>
        <v/>
      </c>
      <c r="N1098" s="826"/>
      <c r="O1098" s="826"/>
      <c r="P1098" s="826"/>
      <c r="Q1098" s="435"/>
      <c r="R1098" s="826" t="str">
        <f t="shared" si="283"/>
        <v/>
      </c>
      <c r="S1098" s="46"/>
      <c r="T1098" s="46"/>
      <c r="U1098" s="1046">
        <v>1098</v>
      </c>
      <c r="V1098" s="46"/>
    </row>
    <row r="1099" spans="1:22" ht="15.75" customHeight="1">
      <c r="A1099" s="1223" t="str">
        <f t="shared" si="292"/>
        <v/>
      </c>
      <c r="B1099" s="1197">
        <v>28</v>
      </c>
      <c r="C1099" s="1101" t="str">
        <f t="shared" si="275"/>
        <v/>
      </c>
      <c r="D1099" s="1101" t="str">
        <f t="shared" si="293"/>
        <v/>
      </c>
      <c r="E1099" s="1101" t="str">
        <f t="shared" si="294"/>
        <v/>
      </c>
      <c r="F1099" s="1101" t="str">
        <f t="shared" si="295"/>
        <v/>
      </c>
      <c r="G1099" s="826"/>
      <c r="H1099" s="1207" t="str">
        <f t="shared" si="296"/>
        <v/>
      </c>
      <c r="I1099" s="1207" t="str">
        <f t="shared" si="297"/>
        <v/>
      </c>
      <c r="J1099" s="1207" t="str">
        <f t="shared" si="298"/>
        <v/>
      </c>
      <c r="K1099" s="1207" t="str">
        <f t="shared" si="299"/>
        <v/>
      </c>
      <c r="L1099" s="826"/>
      <c r="M1099" s="990" t="str">
        <f t="shared" si="300"/>
        <v/>
      </c>
      <c r="N1099" s="826"/>
      <c r="O1099" s="826"/>
      <c r="P1099" s="826"/>
      <c r="Q1099" s="435"/>
      <c r="R1099" s="826" t="str">
        <f t="shared" si="283"/>
        <v/>
      </c>
      <c r="S1099" s="46"/>
      <c r="T1099" s="46"/>
      <c r="U1099" s="1046">
        <v>1099</v>
      </c>
      <c r="V1099" s="46"/>
    </row>
    <row r="1100" spans="1:22" ht="15.75" customHeight="1">
      <c r="A1100" s="1227" t="s">
        <v>74</v>
      </c>
      <c r="B1100" s="1197"/>
      <c r="C1100" s="1101">
        <f>SUM(C1072:C1099)</f>
        <v>22020</v>
      </c>
      <c r="D1100" s="1101">
        <f t="shared" ref="D1100:F1100" si="301">SUM(D1072:D1099)</f>
        <v>0</v>
      </c>
      <c r="E1100" s="1101">
        <f t="shared" si="301"/>
        <v>24465</v>
      </c>
      <c r="F1100" s="1101">
        <f t="shared" si="301"/>
        <v>-686</v>
      </c>
      <c r="G1100" s="826"/>
      <c r="H1100" s="1101">
        <f t="shared" ref="H1100:K1100" si="302">SUM(H1072:H1099)</f>
        <v>34453</v>
      </c>
      <c r="I1100" s="1101">
        <f t="shared" si="302"/>
        <v>1027.3</v>
      </c>
      <c r="J1100" s="1101">
        <f t="shared" si="302"/>
        <v>57746</v>
      </c>
      <c r="K1100" s="1101">
        <f t="shared" si="302"/>
        <v>651</v>
      </c>
      <c r="L1100" s="826"/>
      <c r="M1100" s="826"/>
      <c r="N1100" s="826"/>
      <c r="O1100" s="826"/>
      <c r="P1100" s="826"/>
      <c r="Q1100" s="435"/>
      <c r="R1100" s="435"/>
      <c r="S1100" s="46"/>
      <c r="T1100" s="46"/>
      <c r="U1100" s="1046">
        <v>1100</v>
      </c>
      <c r="V1100" s="46"/>
    </row>
    <row r="1101" spans="1:22" ht="15.75" customHeight="1">
      <c r="A1101" s="44"/>
      <c r="B1101" s="1197"/>
      <c r="C1101" s="826"/>
      <c r="D1101" s="826"/>
      <c r="E1101" s="826"/>
      <c r="F1101" s="826"/>
      <c r="G1101" s="826"/>
      <c r="H1101" s="825"/>
      <c r="I1101" s="825"/>
      <c r="J1101" s="825"/>
      <c r="K1101" s="825"/>
      <c r="L1101" s="826"/>
      <c r="M1101" s="825"/>
      <c r="N1101" s="825"/>
      <c r="O1101" s="825"/>
      <c r="P1101" s="825"/>
      <c r="Q1101" s="15"/>
      <c r="R1101" s="435"/>
      <c r="S1101" s="46"/>
      <c r="T1101" s="46"/>
      <c r="U1101" s="1046">
        <v>1101</v>
      </c>
      <c r="V1101" s="46"/>
    </row>
    <row r="1102" spans="1:22" ht="15.75" customHeight="1">
      <c r="A1102" s="1134" t="s">
        <v>414</v>
      </c>
      <c r="B1102" s="1197"/>
      <c r="C1102" s="826"/>
      <c r="D1102" s="826"/>
      <c r="E1102" s="826"/>
      <c r="F1102" s="826"/>
      <c r="G1102" s="826"/>
      <c r="H1102" s="825"/>
      <c r="I1102" s="825"/>
      <c r="J1102" s="825"/>
      <c r="K1102" s="825"/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1102</v>
      </c>
      <c r="V1102" s="46"/>
    </row>
    <row r="1103" spans="1:22" ht="15.75" customHeight="1">
      <c r="A1103" s="44" t="s">
        <v>540</v>
      </c>
      <c r="B1103" s="1197"/>
      <c r="C1103" s="1231">
        <f>C900</f>
        <v>1.2490408771422641</v>
      </c>
      <c r="D1103" s="1231">
        <f>M900</f>
        <v>0.13219867159461507</v>
      </c>
      <c r="E1103" s="1231">
        <f>D900</f>
        <v>1.3865300426933227</v>
      </c>
      <c r="F1103" s="1231">
        <f>N900</f>
        <v>0.14749176188104096</v>
      </c>
      <c r="G1103" s="826"/>
      <c r="H1103" s="1232">
        <f>E900</f>
        <v>1.5219052253676688</v>
      </c>
      <c r="I1103" s="1232">
        <f>O900</f>
        <v>0.19890382251304578</v>
      </c>
      <c r="J1103" s="1232">
        <f>F900</f>
        <v>1.6880054249428402</v>
      </c>
      <c r="K1103" s="1232">
        <f>P900</f>
        <v>0.13986217764138414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1103</v>
      </c>
      <c r="V1103" s="46"/>
    </row>
    <row r="1104" spans="1:22" ht="15.75" customHeight="1">
      <c r="A1104" s="44" t="s">
        <v>541</v>
      </c>
      <c r="B1104" s="1197"/>
      <c r="C1104" s="1229" t="str">
        <f>IF(SUM(C1043:C1068)=C1103,"OK",SUM(C1043:C1068))</f>
        <v>OK</v>
      </c>
      <c r="D1104" s="1229" t="str">
        <f>IF(SUM(D1043:D1068)=D1103,"OK",SUM(D1043:D1068))</f>
        <v>OK</v>
      </c>
      <c r="E1104" s="1229" t="str">
        <f>IF(SUM(E1043:E1068)=E1103,"OK",SUM(E1043:E1068))</f>
        <v>OK</v>
      </c>
      <c r="F1104" s="1229" t="str">
        <f>IF(SUM(F1043:F1068)=F1103,"OK",SUM(F1043:F1068))</f>
        <v>OK</v>
      </c>
      <c r="G1104" s="826"/>
      <c r="H1104" s="1229" t="str">
        <f>IF(SUM(H1043:H1068)=H1103,"OK",SUM(H1043:H1068))</f>
        <v>OK</v>
      </c>
      <c r="I1104" s="1229" t="str">
        <f>IF(SUM(I1043:I1068)=I1103,"OK",SUM(I1043:I1068))</f>
        <v>OK</v>
      </c>
      <c r="J1104" s="1229" t="str">
        <f>IF(SUM(J1043:J1068)=J1103,"OK",SUM(J1043:J1068))</f>
        <v>OK</v>
      </c>
      <c r="K1104" s="1229" t="str">
        <f>IF(SUM(K1043:K1068)=K1103,"OK",SUM(K1043:K1068))</f>
        <v>OK</v>
      </c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1104</v>
      </c>
      <c r="V1104" s="46"/>
    </row>
    <row r="1105" spans="1:22" ht="15.75" customHeight="1">
      <c r="A1105" s="44" t="s">
        <v>542</v>
      </c>
      <c r="B1105" s="1197"/>
      <c r="C1105" s="1198">
        <f>C985</f>
        <v>22020</v>
      </c>
      <c r="D1105" s="1198">
        <f>M985</f>
        <v>0</v>
      </c>
      <c r="E1105" s="1198">
        <f>D985</f>
        <v>24465</v>
      </c>
      <c r="F1105" s="1198">
        <f>N985</f>
        <v>-686</v>
      </c>
      <c r="G1105" s="826"/>
      <c r="H1105" s="1233">
        <f>E985</f>
        <v>34453</v>
      </c>
      <c r="I1105" s="1233">
        <f>O985</f>
        <v>1027.3</v>
      </c>
      <c r="J1105" s="1233">
        <f>F985</f>
        <v>57746</v>
      </c>
      <c r="K1105" s="1233">
        <f>P985</f>
        <v>651</v>
      </c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1105</v>
      </c>
      <c r="V1105" s="46"/>
    </row>
    <row r="1106" spans="1:22" ht="15.75" customHeight="1">
      <c r="A1106" s="44" t="s">
        <v>541</v>
      </c>
      <c r="B1106" s="1197"/>
      <c r="C1106" s="1198" t="str">
        <f>IF(SUM(C1071:C1094)=C1105,"OK",SUM(C1071:C1094))</f>
        <v>OK</v>
      </c>
      <c r="D1106" s="1198" t="str">
        <f>IF(SUM(D1071:D1094)=D1105,"OK",SUM(D1071:D1094))</f>
        <v>OK</v>
      </c>
      <c r="E1106" s="1198" t="str">
        <f>IF(SUM(E1071:E1094)=E1105,"OK",SUM(E1071:E1094))</f>
        <v>OK</v>
      </c>
      <c r="F1106" s="1198" t="str">
        <f>IF(SUM(F1071:F1094)=F1105,"OK",SUM(F1071:F1094))</f>
        <v>OK</v>
      </c>
      <c r="G1106" s="826"/>
      <c r="H1106" s="1198" t="str">
        <f>IF(SUM(H1071:H1094)=H1105,"OK",SUM(H1071:H1094))</f>
        <v>OK</v>
      </c>
      <c r="I1106" s="1198" t="str">
        <f>IF(SUM(I1071:I1094)=I1105,"OK",SUM(I1071:I1094))</f>
        <v>OK</v>
      </c>
      <c r="J1106" s="1198" t="str">
        <f>IF(SUM(J1071:J1094)=J1105,"OK",SUM(J1071:J1094))</f>
        <v>OK</v>
      </c>
      <c r="K1106" s="1198" t="str">
        <f>IF(SUM(K1071:K1094)=K1105,"OK",SUM(K1071:K1094))</f>
        <v>OK</v>
      </c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1106</v>
      </c>
      <c r="V1106" s="46"/>
    </row>
    <row r="1107" spans="1:22" ht="15.75" customHeight="1">
      <c r="A1107" s="44"/>
      <c r="B1107" s="1197"/>
      <c r="C1107" s="826"/>
      <c r="D1107" s="826"/>
      <c r="E1107" s="826"/>
      <c r="F1107" s="826"/>
      <c r="G1107" s="826"/>
      <c r="H1107" s="825"/>
      <c r="I1107" s="825"/>
      <c r="J1107" s="825"/>
      <c r="K1107" s="825"/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1107</v>
      </c>
      <c r="V1107" s="46"/>
    </row>
    <row r="1108" spans="1:22" ht="15.75" customHeight="1">
      <c r="A1108" s="1134" t="s">
        <v>543</v>
      </c>
      <c r="B1108" s="1197"/>
      <c r="C1108" s="826"/>
      <c r="D1108" s="826"/>
      <c r="E1108" s="826"/>
      <c r="F1108" s="826"/>
      <c r="G1108" s="826"/>
      <c r="H1108" s="825"/>
      <c r="I1108" s="825"/>
      <c r="J1108" s="825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1108</v>
      </c>
      <c r="V1108" s="46"/>
    </row>
    <row r="1109" spans="1:22" ht="15.75" customHeight="1">
      <c r="A1109" s="1134" t="s">
        <v>544</v>
      </c>
      <c r="B1109" s="1197"/>
      <c r="C1109" s="678">
        <v>0.05</v>
      </c>
      <c r="D1109" s="826"/>
      <c r="E1109" s="826"/>
      <c r="F1109" s="826"/>
      <c r="G1109" s="826"/>
      <c r="H1109" s="825"/>
      <c r="I1109" s="825"/>
      <c r="J1109" s="825"/>
      <c r="K1109" s="825"/>
      <c r="L1109" s="826"/>
      <c r="M1109" s="826"/>
      <c r="N1109" s="826"/>
      <c r="O1109" s="826"/>
      <c r="P1109" s="826"/>
      <c r="Q1109" s="15"/>
      <c r="R1109" s="435"/>
      <c r="S1109" s="46"/>
      <c r="T1109" s="46"/>
      <c r="U1109" s="1046">
        <v>1109</v>
      </c>
      <c r="V1109" s="46"/>
    </row>
    <row r="1110" spans="1:22" ht="15.75" customHeight="1">
      <c r="A1110" s="44"/>
      <c r="B1110" s="1197"/>
      <c r="C1110" s="1205" t="str">
        <f>WB!B9</f>
        <v>VP</v>
      </c>
      <c r="D1110" s="1205" t="str">
        <f>WB!B10</f>
        <v>P</v>
      </c>
      <c r="E1110" s="1205" t="str">
        <f>WB!B11</f>
        <v>M</v>
      </c>
      <c r="F1110" s="1205" t="str">
        <f>WB!B12</f>
        <v>BO</v>
      </c>
      <c r="G1110" s="826"/>
      <c r="H1110" s="1206" t="str">
        <f>C1110</f>
        <v>VP</v>
      </c>
      <c r="I1110" s="1206" t="str">
        <f>D1110</f>
        <v>P</v>
      </c>
      <c r="J1110" s="1206" t="str">
        <f>E1110</f>
        <v>M</v>
      </c>
      <c r="K1110" s="1206" t="str">
        <f>F1110</f>
        <v>BO</v>
      </c>
      <c r="L1110" s="826"/>
      <c r="M1110" s="826"/>
      <c r="N1110" s="826"/>
      <c r="O1110" s="826"/>
      <c r="P1110" s="826"/>
      <c r="Q1110" s="15"/>
      <c r="R1110" s="435"/>
      <c r="S1110" s="46"/>
      <c r="T1110" s="46"/>
      <c r="U1110" s="1046">
        <v>1110</v>
      </c>
      <c r="V1110" s="46"/>
    </row>
    <row r="1111" spans="1:22" ht="15.75" customHeight="1">
      <c r="A1111" s="44" t="s">
        <v>426</v>
      </c>
      <c r="B1111" s="1197"/>
      <c r="C1111" s="1198">
        <f>C1038*365*C1039*C1040</f>
        <v>6781.6399555139624</v>
      </c>
      <c r="D1111" s="1198">
        <f>E1038*365*E1039*E1040</f>
        <v>6781.6399555139624</v>
      </c>
      <c r="E1111" s="1198">
        <f>H1038*365*H1039*H1040</f>
        <v>6781.6399555139624</v>
      </c>
      <c r="F1111" s="1198">
        <f>J1038*365*J1039*J1040</f>
        <v>7629.344949953208</v>
      </c>
      <c r="G1111" s="826"/>
      <c r="H1111" s="46"/>
      <c r="I1111" s="46"/>
      <c r="J1111" s="46"/>
      <c r="K1111" s="825"/>
      <c r="L1111" s="826"/>
      <c r="M1111" s="826"/>
      <c r="N1111" s="826"/>
      <c r="O1111" s="826"/>
      <c r="P1111" s="826"/>
      <c r="Q1111" s="15"/>
      <c r="R1111" s="435"/>
      <c r="S1111" s="46"/>
      <c r="T1111" s="46"/>
      <c r="U1111" s="1046">
        <v>1111</v>
      </c>
      <c r="V1111" s="46"/>
    </row>
    <row r="1112" spans="1:22" ht="15.75" customHeight="1">
      <c r="A1112" s="44"/>
      <c r="B1112" s="1197"/>
      <c r="C1112" s="1198"/>
      <c r="D1112" s="1198"/>
      <c r="E1112" s="1198"/>
      <c r="F1112" s="1198"/>
      <c r="G1112" s="826"/>
      <c r="H1112" s="46"/>
      <c r="I1112" s="46"/>
      <c r="J1112" s="46"/>
      <c r="K1112" s="825"/>
      <c r="L1112" s="826"/>
      <c r="M1112" s="1234" t="s">
        <v>545</v>
      </c>
      <c r="N1112" s="826"/>
      <c r="O1112" s="826"/>
      <c r="P1112" s="826"/>
      <c r="Q1112" s="15"/>
      <c r="R1112" s="435"/>
      <c r="S1112" s="46"/>
      <c r="T1112" s="46"/>
      <c r="U1112" s="1046">
        <v>1112</v>
      </c>
      <c r="V1112" s="46"/>
    </row>
    <row r="1113" spans="1:22" ht="15.75" customHeight="1">
      <c r="A1113" s="1134" t="s">
        <v>546</v>
      </c>
      <c r="B1113" s="1197"/>
      <c r="C1113" s="826"/>
      <c r="D1113" s="1198"/>
      <c r="E1113" s="1198"/>
      <c r="F1113" s="1198"/>
      <c r="G1113" s="826"/>
      <c r="H1113" s="825"/>
      <c r="I1113" s="46"/>
      <c r="J1113" s="46"/>
      <c r="K1113" s="825"/>
      <c r="L1113" s="826"/>
      <c r="M1113" s="1235" t="s">
        <v>547</v>
      </c>
      <c r="N1113" s="1236" t="s">
        <v>352</v>
      </c>
      <c r="O1113" s="826"/>
      <c r="P1113" s="826"/>
      <c r="Q1113" s="15"/>
      <c r="R1113" s="435"/>
      <c r="S1113" s="46"/>
      <c r="T1113" s="46"/>
      <c r="U1113" s="1046">
        <v>1113</v>
      </c>
      <c r="V1113" s="46"/>
    </row>
    <row r="1114" spans="1:22" ht="15.75" customHeight="1">
      <c r="A1114" s="1231" t="str">
        <f t="shared" ref="A1114:A1133" si="303">A830</f>
        <v>Green cons - Season 1: no of months</v>
      </c>
      <c r="B1114" s="826"/>
      <c r="C1114" s="1229">
        <f t="shared" ref="C1114:F1115" si="304">MAX(SUM(C830,M830),SUM(C830))</f>
        <v>4.2500000000000003E-2</v>
      </c>
      <c r="D1114" s="1229">
        <f t="shared" si="304"/>
        <v>4.2500000000000003E-2</v>
      </c>
      <c r="E1114" s="1229">
        <f t="shared" si="304"/>
        <v>4.2500000000000003E-2</v>
      </c>
      <c r="F1114" s="1229">
        <f t="shared" si="304"/>
        <v>0.05</v>
      </c>
      <c r="G1114" s="826"/>
      <c r="H1114" s="46"/>
      <c r="I1114" s="46"/>
      <c r="J1114" s="46"/>
      <c r="K1114" s="46"/>
      <c r="L1114" s="44"/>
      <c r="M1114" s="1220" t="str">
        <f t="shared" ref="M1114:M1147" si="305">IF(OR(SUM((C1114&gt;C$1109),(D1114&gt;C$1109),(E1114&gt;C$1109),(F1114&gt;C$1109))&gt;1,C1114&gt;C$1109*2,D1114&gt;C$1109*2,E1114&gt;C$1109*2,F1114&gt;C$1109*2),"yes","")</f>
        <v/>
      </c>
      <c r="N1114" s="1237"/>
      <c r="O1114" s="826"/>
      <c r="P1114" s="826"/>
      <c r="Q1114" s="15"/>
      <c r="R1114" s="435"/>
      <c r="S1114" s="46"/>
      <c r="T1114" s="46"/>
      <c r="U1114" s="1046">
        <v>1114</v>
      </c>
      <c r="V1114" s="46"/>
    </row>
    <row r="1115" spans="1:22" ht="15.75" customHeight="1">
      <c r="A1115" s="1231" t="str">
        <f t="shared" si="303"/>
        <v xml:space="preserve">Green beans </v>
      </c>
      <c r="B1115" s="826"/>
      <c r="C1115" s="1229">
        <f t="shared" si="304"/>
        <v>0</v>
      </c>
      <c r="D1115" s="1229">
        <f t="shared" si="304"/>
        <v>0</v>
      </c>
      <c r="E1115" s="1229">
        <f t="shared" si="304"/>
        <v>0</v>
      </c>
      <c r="F1115" s="1229">
        <f t="shared" si="304"/>
        <v>0</v>
      </c>
      <c r="G1115" s="826"/>
      <c r="H1115" s="46"/>
      <c r="I1115" s="46"/>
      <c r="J1115" s="46"/>
      <c r="K1115" s="46"/>
      <c r="L1115" s="44"/>
      <c r="M1115" s="1220" t="str">
        <f t="shared" si="305"/>
        <v/>
      </c>
      <c r="N1115" s="1237"/>
      <c r="O1115" s="826"/>
      <c r="P1115" s="826"/>
      <c r="Q1115" s="15"/>
      <c r="R1115" s="435"/>
      <c r="S1115" s="46"/>
      <c r="T1115" s="46"/>
      <c r="U1115" s="1046">
        <v>1115</v>
      </c>
      <c r="V1115" s="46"/>
    </row>
    <row r="1116" spans="1:22" ht="15.75" customHeight="1">
      <c r="A1116" s="1238" t="str">
        <f t="shared" si="303"/>
        <v>Maize: kg produced</v>
      </c>
      <c r="B1116" s="826"/>
      <c r="C1116" s="1229">
        <f t="shared" ref="C1116:C1133" si="306">IF(C$1111=0,0,MAX((SUM(C832,M832)+SUM(C932,M932)/C$1111),(SUM(C832)+SUM(C932)/C$1111)))</f>
        <v>8.8718578767123274E-2</v>
      </c>
      <c r="D1116" s="1229">
        <f t="shared" ref="D1116:D1133" si="307">IF(D$1111=0,0,MAX((SUM(D832,N832)+SUM(D932,N932)/D$1111),(SUM(D832)+SUM(D932)/D$1111)))</f>
        <v>8.8718578767123274E-2</v>
      </c>
      <c r="E1116" s="1229">
        <f t="shared" ref="E1116:E1133" si="308">IF(E$1111=0,0,MAX((SUM(E832,O832)+SUM(E932,O932)/E$1111),(SUM(E832)+SUM(E932)/E$1111)))</f>
        <v>0.20701001712328765</v>
      </c>
      <c r="F1116" s="1229">
        <f t="shared" ref="F1116:F1133" si="309">IF(F$1111=0,0,MAX((SUM(F832,P832)+SUM(F932,P932)/F$1111),(SUM(F832)+SUM(F932)/F$1111)))</f>
        <v>0.24830629327521789</v>
      </c>
      <c r="G1116" s="826"/>
      <c r="H1116" s="1230">
        <f t="shared" ref="H1116:H1133" si="310">IF(C$1111=0,0,MAX(SUM(C932,M932)/C$1111,SUM(C932)/C$1111))</f>
        <v>0</v>
      </c>
      <c r="I1116" s="1230">
        <f t="shared" ref="I1116:I1133" si="311">IF(D$1111=0,0,MAX(SUM(D932,N932)/D$1111,SUM(D932)/D$1111))</f>
        <v>0</v>
      </c>
      <c r="J1116" s="1230">
        <f t="shared" ref="J1116:J1133" si="312">IF(E$1111=0,0,MAX(SUM(E932,O932)/E$1111,SUM(E932)/E$1111))</f>
        <v>7.3728479140722294E-2</v>
      </c>
      <c r="K1116" s="1230">
        <f t="shared" ref="K1116:K1133" si="313">IF(F$1111=0,0,MAX(SUM(F932,P932)/F$1111,SUM(F932)/F$1111))</f>
        <v>8.5852717932752176E-2</v>
      </c>
      <c r="L1116" s="44"/>
      <c r="M1116" s="1220" t="str">
        <f t="shared" si="305"/>
        <v>yes</v>
      </c>
      <c r="N1116" s="1234" t="str">
        <f t="shared" ref="N1116:N1135" si="314">IF(OR(SUM((H1116&gt;C$1109),(I1116&gt;C$1109),(J1116&gt;C$1109),(K1116&gt;C$1109))&gt;1,H1116&gt;C$1109*2,I1116&gt;C$1109*2,J1116&gt;C$1109*2,K1116&gt;C$1109*2),"yes","")</f>
        <v>yes</v>
      </c>
      <c r="O1116" s="826"/>
      <c r="P1116" s="826"/>
      <c r="Q1116" s="15"/>
      <c r="R1116" s="435"/>
      <c r="S1116" s="46"/>
      <c r="T1116" s="46"/>
      <c r="U1116" s="1046">
        <v>1116</v>
      </c>
      <c r="V1116" s="46"/>
    </row>
    <row r="1117" spans="1:22" ht="15.75" customHeight="1">
      <c r="A1117" s="1238" t="str">
        <f t="shared" si="303"/>
        <v>Sorghum: kg produced</v>
      </c>
      <c r="B1117" s="826"/>
      <c r="C1117" s="1229">
        <f t="shared" si="306"/>
        <v>0</v>
      </c>
      <c r="D1117" s="1229">
        <f t="shared" si="307"/>
        <v>0</v>
      </c>
      <c r="E1117" s="1229">
        <f t="shared" si="308"/>
        <v>0</v>
      </c>
      <c r="F1117" s="1229">
        <f t="shared" si="309"/>
        <v>3.8561488169364881E-2</v>
      </c>
      <c r="G1117" s="826"/>
      <c r="H1117" s="1230">
        <f t="shared" si="310"/>
        <v>0</v>
      </c>
      <c r="I1117" s="1230">
        <f t="shared" si="311"/>
        <v>0</v>
      </c>
      <c r="J1117" s="1230">
        <f t="shared" si="312"/>
        <v>0</v>
      </c>
      <c r="K1117" s="1230">
        <f t="shared" si="313"/>
        <v>0</v>
      </c>
      <c r="L1117" s="44"/>
      <c r="M1117" s="1220" t="str">
        <f t="shared" si="305"/>
        <v/>
      </c>
      <c r="N1117" s="1234" t="str">
        <f t="shared" si="314"/>
        <v/>
      </c>
      <c r="O1117" s="826"/>
      <c r="P1117" s="826"/>
      <c r="Q1117" s="15"/>
      <c r="R1117" s="435"/>
      <c r="S1117" s="46"/>
      <c r="T1117" s="46"/>
      <c r="U1117" s="1046">
        <v>1117</v>
      </c>
      <c r="V1117" s="46"/>
    </row>
    <row r="1118" spans="1:22" ht="15.75" customHeight="1">
      <c r="A1118" s="1238" t="str">
        <f t="shared" si="303"/>
        <v>High value cereal: kg produced</v>
      </c>
      <c r="B1118" s="826"/>
      <c r="C1118" s="1229">
        <f t="shared" si="306"/>
        <v>0</v>
      </c>
      <c r="D1118" s="1229">
        <f t="shared" si="307"/>
        <v>0</v>
      </c>
      <c r="E1118" s="1229">
        <f t="shared" si="308"/>
        <v>0</v>
      </c>
      <c r="F1118" s="1229">
        <f t="shared" si="309"/>
        <v>0</v>
      </c>
      <c r="G1118" s="826"/>
      <c r="H1118" s="1230">
        <f t="shared" si="310"/>
        <v>0</v>
      </c>
      <c r="I1118" s="1230">
        <f t="shared" si="311"/>
        <v>0</v>
      </c>
      <c r="J1118" s="1230">
        <f t="shared" si="312"/>
        <v>0</v>
      </c>
      <c r="K1118" s="1230">
        <f t="shared" si="313"/>
        <v>0</v>
      </c>
      <c r="L1118" s="44"/>
      <c r="M1118" s="1220" t="str">
        <f t="shared" si="305"/>
        <v/>
      </c>
      <c r="N1118" s="1234" t="str">
        <f t="shared" si="314"/>
        <v/>
      </c>
      <c r="O1118" s="826"/>
      <c r="P1118" s="826"/>
      <c r="Q1118" s="15"/>
      <c r="R1118" s="435"/>
      <c r="S1118" s="46"/>
      <c r="T1118" s="46"/>
      <c r="U1118" s="1046">
        <v>1118</v>
      </c>
      <c r="V1118" s="46"/>
    </row>
    <row r="1119" spans="1:22" ht="15.75" customHeight="1">
      <c r="A1119" s="1238" t="str">
        <f t="shared" si="303"/>
        <v>High value cereal: kg produced</v>
      </c>
      <c r="B1119" s="826"/>
      <c r="C1119" s="1229">
        <f t="shared" si="306"/>
        <v>0</v>
      </c>
      <c r="D1119" s="1229">
        <f t="shared" si="307"/>
        <v>0</v>
      </c>
      <c r="E1119" s="1229">
        <f t="shared" si="308"/>
        <v>0</v>
      </c>
      <c r="F1119" s="1229">
        <f t="shared" si="309"/>
        <v>0</v>
      </c>
      <c r="G1119" s="826"/>
      <c r="H1119" s="1230">
        <f t="shared" si="310"/>
        <v>0</v>
      </c>
      <c r="I1119" s="1230">
        <f t="shared" si="311"/>
        <v>0</v>
      </c>
      <c r="J1119" s="1230">
        <f t="shared" si="312"/>
        <v>0</v>
      </c>
      <c r="K1119" s="1230">
        <f t="shared" si="313"/>
        <v>0</v>
      </c>
      <c r="L1119" s="44"/>
      <c r="M1119" s="1220" t="str">
        <f t="shared" si="305"/>
        <v/>
      </c>
      <c r="N1119" s="1234" t="str">
        <f t="shared" si="314"/>
        <v/>
      </c>
      <c r="O1119" s="826"/>
      <c r="P1119" s="826"/>
      <c r="Q1119" s="15"/>
      <c r="R1119" s="435"/>
      <c r="S1119" s="46"/>
      <c r="T1119" s="46"/>
      <c r="U1119" s="1046">
        <v>1119</v>
      </c>
      <c r="V1119" s="46"/>
    </row>
    <row r="1120" spans="1:22" ht="15.75" customHeight="1">
      <c r="A1120" s="1238" t="str">
        <f t="shared" si="303"/>
        <v>Cowpeas: kg produced (Mbumba)</v>
      </c>
      <c r="B1120" s="826"/>
      <c r="C1120" s="1229">
        <f t="shared" si="306"/>
        <v>0</v>
      </c>
      <c r="D1120" s="1229">
        <f t="shared" si="307"/>
        <v>0</v>
      </c>
      <c r="E1120" s="1229">
        <f t="shared" si="308"/>
        <v>0</v>
      </c>
      <c r="F1120" s="1229">
        <f t="shared" si="309"/>
        <v>0</v>
      </c>
      <c r="G1120" s="826"/>
      <c r="H1120" s="1230">
        <f t="shared" si="310"/>
        <v>0</v>
      </c>
      <c r="I1120" s="1230">
        <f t="shared" si="311"/>
        <v>0</v>
      </c>
      <c r="J1120" s="1230">
        <f t="shared" si="312"/>
        <v>0</v>
      </c>
      <c r="K1120" s="1230">
        <f t="shared" si="313"/>
        <v>0</v>
      </c>
      <c r="L1120" s="44"/>
      <c r="M1120" s="1220" t="str">
        <f t="shared" si="305"/>
        <v/>
      </c>
      <c r="N1120" s="1234" t="str">
        <f t="shared" si="314"/>
        <v/>
      </c>
      <c r="O1120" s="826"/>
      <c r="P1120" s="826"/>
      <c r="Q1120" s="15"/>
      <c r="R1120" s="435"/>
      <c r="S1120" s="46"/>
      <c r="T1120" s="46"/>
      <c r="U1120" s="1046">
        <v>1120</v>
      </c>
      <c r="V1120" s="46"/>
    </row>
    <row r="1121" spans="1:22" ht="15.75" customHeight="1">
      <c r="A1121" s="1238" t="str">
        <f t="shared" si="303"/>
        <v>Beans: kg produced</v>
      </c>
      <c r="B1121" s="826"/>
      <c r="C1121" s="1229">
        <f t="shared" si="306"/>
        <v>4.4188206724782075E-2</v>
      </c>
      <c r="D1121" s="1229">
        <f t="shared" si="307"/>
        <v>8.2852887608966391E-2</v>
      </c>
      <c r="E1121" s="1229">
        <f t="shared" si="308"/>
        <v>0.5192501262842466</v>
      </c>
      <c r="F1121" s="1229">
        <f t="shared" si="309"/>
        <v>0.35040552739726022</v>
      </c>
      <c r="G1121" s="826"/>
      <c r="H1121" s="1230">
        <f t="shared" si="310"/>
        <v>0</v>
      </c>
      <c r="I1121" s="1230">
        <f t="shared" si="311"/>
        <v>0</v>
      </c>
      <c r="J1121" s="1230">
        <f t="shared" si="312"/>
        <v>0.45158693473692402</v>
      </c>
      <c r="K1121" s="1230">
        <f t="shared" si="313"/>
        <v>0.30474438044831875</v>
      </c>
      <c r="L1121" s="44"/>
      <c r="M1121" s="1220" t="str">
        <f t="shared" si="305"/>
        <v>yes</v>
      </c>
      <c r="N1121" s="1234" t="str">
        <f t="shared" si="314"/>
        <v>yes</v>
      </c>
      <c r="O1121" s="826"/>
      <c r="P1121" s="826"/>
      <c r="Q1121" s="15"/>
      <c r="R1121" s="435"/>
      <c r="S1121" s="46"/>
      <c r="T1121" s="46"/>
      <c r="U1121" s="1046">
        <v>1121</v>
      </c>
      <c r="V1121" s="46"/>
    </row>
    <row r="1122" spans="1:22" ht="15.75" customHeight="1">
      <c r="A1122" s="1238" t="str">
        <f t="shared" si="303"/>
        <v>Millet: kg produced</v>
      </c>
      <c r="B1122" s="826"/>
      <c r="C1122" s="1229">
        <f t="shared" si="306"/>
        <v>0</v>
      </c>
      <c r="D1122" s="1229">
        <f t="shared" si="307"/>
        <v>0</v>
      </c>
      <c r="E1122" s="1229">
        <f t="shared" si="308"/>
        <v>0</v>
      </c>
      <c r="F1122" s="1229">
        <f t="shared" si="309"/>
        <v>0</v>
      </c>
      <c r="G1122" s="826"/>
      <c r="H1122" s="1230">
        <f t="shared" si="310"/>
        <v>0</v>
      </c>
      <c r="I1122" s="1230">
        <f t="shared" si="311"/>
        <v>0</v>
      </c>
      <c r="J1122" s="1230">
        <f t="shared" si="312"/>
        <v>0</v>
      </c>
      <c r="K1122" s="1230">
        <f t="shared" si="313"/>
        <v>0</v>
      </c>
      <c r="L1122" s="44"/>
      <c r="M1122" s="1220" t="str">
        <f t="shared" si="305"/>
        <v/>
      </c>
      <c r="N1122" s="1234" t="str">
        <f t="shared" si="314"/>
        <v/>
      </c>
      <c r="O1122" s="826"/>
      <c r="P1122" s="826"/>
      <c r="Q1122" s="15"/>
      <c r="R1122" s="435"/>
      <c r="S1122" s="46"/>
      <c r="T1122" s="46"/>
      <c r="U1122" s="1046">
        <v>1122</v>
      </c>
      <c r="V1122" s="46"/>
    </row>
    <row r="1123" spans="1:22" ht="15.75" customHeight="1">
      <c r="A1123" s="1238" t="str">
        <f t="shared" si="303"/>
        <v>Finger millet: kg produced</v>
      </c>
      <c r="B1123" s="826"/>
      <c r="C1123" s="1229">
        <f t="shared" si="306"/>
        <v>0</v>
      </c>
      <c r="D1123" s="1229">
        <f t="shared" si="307"/>
        <v>0</v>
      </c>
      <c r="E1123" s="1229">
        <f t="shared" si="308"/>
        <v>0</v>
      </c>
      <c r="F1123" s="1229">
        <f t="shared" si="309"/>
        <v>0</v>
      </c>
      <c r="G1123" s="826"/>
      <c r="H1123" s="1230">
        <f t="shared" si="310"/>
        <v>0</v>
      </c>
      <c r="I1123" s="1230">
        <f t="shared" si="311"/>
        <v>0</v>
      </c>
      <c r="J1123" s="1230">
        <f t="shared" si="312"/>
        <v>0</v>
      </c>
      <c r="K1123" s="1230">
        <f t="shared" si="313"/>
        <v>0</v>
      </c>
      <c r="L1123" s="44"/>
      <c r="M1123" s="1220" t="str">
        <f t="shared" si="305"/>
        <v/>
      </c>
      <c r="N1123" s="1234" t="str">
        <f t="shared" si="314"/>
        <v/>
      </c>
      <c r="O1123" s="826"/>
      <c r="P1123" s="826"/>
      <c r="Q1123" s="15"/>
      <c r="R1123" s="435"/>
      <c r="S1123" s="46"/>
      <c r="T1123" s="46"/>
      <c r="U1123" s="1046">
        <v>1123</v>
      </c>
      <c r="V1123" s="46"/>
    </row>
    <row r="1124" spans="1:22" ht="15.75" customHeight="1">
      <c r="A1124" s="1238" t="str">
        <f t="shared" si="303"/>
        <v>Wheat: kg produced</v>
      </c>
      <c r="B1124" s="826"/>
      <c r="C1124" s="1229">
        <f t="shared" si="306"/>
        <v>0</v>
      </c>
      <c r="D1124" s="1229">
        <f t="shared" si="307"/>
        <v>0</v>
      </c>
      <c r="E1124" s="1229">
        <f t="shared" si="308"/>
        <v>0</v>
      </c>
      <c r="F1124" s="1229">
        <f t="shared" si="309"/>
        <v>0</v>
      </c>
      <c r="G1124" s="826"/>
      <c r="H1124" s="1230">
        <f t="shared" si="310"/>
        <v>0</v>
      </c>
      <c r="I1124" s="1230">
        <f t="shared" si="311"/>
        <v>0</v>
      </c>
      <c r="J1124" s="1230">
        <f t="shared" si="312"/>
        <v>0</v>
      </c>
      <c r="K1124" s="1230">
        <f t="shared" si="313"/>
        <v>0</v>
      </c>
      <c r="L1124" s="44"/>
      <c r="M1124" s="1220" t="str">
        <f t="shared" si="305"/>
        <v/>
      </c>
      <c r="N1124" s="1234" t="str">
        <f t="shared" si="314"/>
        <v/>
      </c>
      <c r="O1124" s="826"/>
      <c r="P1124" s="826"/>
      <c r="Q1124" s="15"/>
      <c r="R1124" s="435"/>
      <c r="S1124" s="46"/>
      <c r="T1124" s="46"/>
      <c r="U1124" s="1046">
        <v>1124</v>
      </c>
      <c r="V1124" s="46"/>
    </row>
    <row r="1125" spans="1:22" ht="15.75" customHeight="1">
      <c r="A1125" s="1238" t="str">
        <f t="shared" si="303"/>
        <v>Cassava: no. local meas.</v>
      </c>
      <c r="B1125" s="826"/>
      <c r="C1125" s="1229">
        <f t="shared" si="306"/>
        <v>6.2322968555417191E-2</v>
      </c>
      <c r="D1125" s="1229">
        <f t="shared" si="307"/>
        <v>0</v>
      </c>
      <c r="E1125" s="1229">
        <f t="shared" si="308"/>
        <v>0</v>
      </c>
      <c r="F1125" s="1229">
        <f t="shared" si="309"/>
        <v>0</v>
      </c>
      <c r="G1125" s="826"/>
      <c r="H1125" s="1230">
        <f t="shared" si="310"/>
        <v>0</v>
      </c>
      <c r="I1125" s="1230">
        <f t="shared" si="311"/>
        <v>0</v>
      </c>
      <c r="J1125" s="1230">
        <f t="shared" si="312"/>
        <v>0</v>
      </c>
      <c r="K1125" s="1230">
        <f t="shared" si="313"/>
        <v>0</v>
      </c>
      <c r="L1125" s="44"/>
      <c r="M1125" s="1220" t="str">
        <f t="shared" si="305"/>
        <v/>
      </c>
      <c r="N1125" s="1234" t="str">
        <f t="shared" si="314"/>
        <v/>
      </c>
      <c r="O1125" s="826"/>
      <c r="P1125" s="826"/>
      <c r="Q1125" s="15"/>
      <c r="R1125" s="435"/>
      <c r="S1125" s="46"/>
      <c r="T1125" s="46"/>
      <c r="U1125" s="1046">
        <v>1125</v>
      </c>
      <c r="V1125" s="46"/>
    </row>
    <row r="1126" spans="1:22" ht="15.75" customHeight="1">
      <c r="A1126" s="1238" t="str">
        <f t="shared" si="303"/>
        <v>Water melon: no. local meas (Bhece)</v>
      </c>
      <c r="B1126" s="826"/>
      <c r="C1126" s="1229">
        <f t="shared" si="306"/>
        <v>0</v>
      </c>
      <c r="D1126" s="1229">
        <f t="shared" si="307"/>
        <v>0</v>
      </c>
      <c r="E1126" s="1229">
        <f t="shared" si="308"/>
        <v>1.6846753813823161E-2</v>
      </c>
      <c r="F1126" s="1229">
        <f t="shared" si="309"/>
        <v>1.4974892278953921E-2</v>
      </c>
      <c r="G1126" s="826"/>
      <c r="H1126" s="1230">
        <f t="shared" si="310"/>
        <v>0</v>
      </c>
      <c r="I1126" s="1230">
        <f t="shared" si="311"/>
        <v>0</v>
      </c>
      <c r="J1126" s="1230">
        <f t="shared" si="312"/>
        <v>1.4598238869863013E-2</v>
      </c>
      <c r="K1126" s="1230">
        <f t="shared" si="313"/>
        <v>1.2976212328767122E-2</v>
      </c>
      <c r="L1126" s="44"/>
      <c r="M1126" s="1220" t="str">
        <f t="shared" si="305"/>
        <v/>
      </c>
      <c r="N1126" s="1234" t="str">
        <f t="shared" si="314"/>
        <v/>
      </c>
      <c r="O1126" s="826"/>
      <c r="P1126" s="826"/>
      <c r="Q1126" s="15"/>
      <c r="R1126" s="435"/>
      <c r="S1126" s="46"/>
      <c r="T1126" s="46"/>
      <c r="U1126" s="1046">
        <v>1126</v>
      </c>
      <c r="V1126" s="46"/>
    </row>
    <row r="1127" spans="1:22" ht="15.75" customHeight="1">
      <c r="A1127" s="1238" t="str">
        <f t="shared" si="303"/>
        <v>Pumpkin: no. local meas</v>
      </c>
      <c r="B1127" s="826"/>
      <c r="C1127" s="1229">
        <f t="shared" si="306"/>
        <v>0</v>
      </c>
      <c r="D1127" s="1229">
        <f t="shared" si="307"/>
        <v>2.1996341843088418E-2</v>
      </c>
      <c r="E1127" s="1229">
        <f t="shared" si="308"/>
        <v>0</v>
      </c>
      <c r="F1127" s="1229">
        <f t="shared" si="309"/>
        <v>0</v>
      </c>
      <c r="G1127" s="826"/>
      <c r="H1127" s="1230">
        <f t="shared" si="310"/>
        <v>0</v>
      </c>
      <c r="I1127" s="1230">
        <f t="shared" si="311"/>
        <v>0</v>
      </c>
      <c r="J1127" s="1230">
        <f t="shared" si="312"/>
        <v>0</v>
      </c>
      <c r="K1127" s="1230">
        <f t="shared" si="313"/>
        <v>0</v>
      </c>
      <c r="L1127" s="44"/>
      <c r="M1127" s="1220" t="str">
        <f t="shared" si="305"/>
        <v/>
      </c>
      <c r="N1127" s="1234" t="str">
        <f t="shared" si="314"/>
        <v/>
      </c>
      <c r="O1127" s="826"/>
      <c r="P1127" s="826"/>
      <c r="Q1127" s="15"/>
      <c r="R1127" s="435"/>
      <c r="S1127" s="46"/>
      <c r="T1127" s="46"/>
      <c r="U1127" s="1046">
        <v>1127</v>
      </c>
      <c r="V1127" s="46"/>
    </row>
    <row r="1128" spans="1:22" ht="15.75" customHeight="1">
      <c r="A1128" s="1238" t="str">
        <f t="shared" si="303"/>
        <v>Sweet poatato: no. local meas</v>
      </c>
      <c r="B1128" s="826"/>
      <c r="C1128" s="1229">
        <f t="shared" si="306"/>
        <v>2.5988480697384807E-2</v>
      </c>
      <c r="D1128" s="1229">
        <f t="shared" si="307"/>
        <v>2.5988480697384807E-2</v>
      </c>
      <c r="E1128" s="1229">
        <f t="shared" si="308"/>
        <v>9.8122801214196767E-2</v>
      </c>
      <c r="F1128" s="1229">
        <f t="shared" si="309"/>
        <v>0.13625607098381071</v>
      </c>
      <c r="G1128" s="826"/>
      <c r="H1128" s="1230">
        <f t="shared" si="310"/>
        <v>0</v>
      </c>
      <c r="I1128" s="1230">
        <f t="shared" si="311"/>
        <v>0</v>
      </c>
      <c r="J1128" s="1230">
        <f t="shared" si="312"/>
        <v>3.6864239570361147E-2</v>
      </c>
      <c r="K1128" s="1230">
        <f t="shared" si="313"/>
        <v>9.8304638854296383E-2</v>
      </c>
      <c r="L1128" s="44"/>
      <c r="M1128" s="1220" t="str">
        <f t="shared" si="305"/>
        <v>yes</v>
      </c>
      <c r="N1128" s="1234" t="str">
        <f t="shared" si="314"/>
        <v/>
      </c>
      <c r="O1128" s="826"/>
      <c r="P1128" s="826"/>
      <c r="Q1128" s="15"/>
      <c r="R1128" s="435"/>
      <c r="S1128" s="46"/>
      <c r="T1128" s="46"/>
      <c r="U1128" s="1046">
        <v>1128</v>
      </c>
      <c r="V1128" s="46"/>
    </row>
    <row r="1129" spans="1:22" ht="15.75" customHeight="1">
      <c r="A1129" s="1238" t="str">
        <f t="shared" si="303"/>
        <v>Groundnuts (dry): no. local meas</v>
      </c>
      <c r="B1129" s="826"/>
      <c r="C1129" s="1229">
        <f t="shared" si="306"/>
        <v>3.3018953144458282E-2</v>
      </c>
      <c r="D1129" s="1229">
        <f t="shared" si="307"/>
        <v>0.15433773988169364</v>
      </c>
      <c r="E1129" s="1229">
        <f t="shared" si="308"/>
        <v>0.1415097991905355</v>
      </c>
      <c r="F1129" s="1229">
        <f t="shared" si="309"/>
        <v>0.25424512453300124</v>
      </c>
      <c r="G1129" s="826"/>
      <c r="H1129" s="1230">
        <f t="shared" si="310"/>
        <v>0</v>
      </c>
      <c r="I1129" s="1230">
        <f t="shared" si="311"/>
        <v>9.5847022882938976E-2</v>
      </c>
      <c r="J1129" s="1230">
        <f t="shared" si="312"/>
        <v>3.6864239570361147E-2</v>
      </c>
      <c r="K1129" s="1230">
        <f t="shared" si="313"/>
        <v>0.14942305105853049</v>
      </c>
      <c r="L1129" s="44"/>
      <c r="M1129" s="1220" t="str">
        <f t="shared" si="305"/>
        <v>yes</v>
      </c>
      <c r="N1129" s="1234" t="str">
        <f t="shared" si="314"/>
        <v>yes</v>
      </c>
      <c r="O1129" s="826"/>
      <c r="P1129" s="826"/>
      <c r="Q1129" s="15"/>
      <c r="R1129" s="435"/>
      <c r="S1129" s="46"/>
      <c r="T1129" s="46"/>
      <c r="U1129" s="1046">
        <v>1129</v>
      </c>
      <c r="V1129" s="46"/>
    </row>
    <row r="1130" spans="1:22" ht="15.75" customHeight="1">
      <c r="A1130" s="1238" t="str">
        <f t="shared" si="303"/>
        <v>Roundnuts (bambara): no. local meas</v>
      </c>
      <c r="B1130" s="826"/>
      <c r="C1130" s="1229">
        <f t="shared" si="306"/>
        <v>0</v>
      </c>
      <c r="D1130" s="1229">
        <f t="shared" si="307"/>
        <v>0</v>
      </c>
      <c r="E1130" s="1229">
        <f t="shared" si="308"/>
        <v>0</v>
      </c>
      <c r="F1130" s="1229">
        <f t="shared" si="309"/>
        <v>0</v>
      </c>
      <c r="G1130" s="826"/>
      <c r="H1130" s="1230">
        <f t="shared" si="310"/>
        <v>0</v>
      </c>
      <c r="I1130" s="1230">
        <f t="shared" si="311"/>
        <v>0</v>
      </c>
      <c r="J1130" s="1230">
        <f t="shared" si="312"/>
        <v>0</v>
      </c>
      <c r="K1130" s="1230">
        <f t="shared" si="313"/>
        <v>0</v>
      </c>
      <c r="L1130" s="44"/>
      <c r="M1130" s="1220" t="str">
        <f t="shared" si="305"/>
        <v/>
      </c>
      <c r="N1130" s="1234" t="str">
        <f t="shared" si="314"/>
        <v/>
      </c>
      <c r="O1130" s="826"/>
      <c r="P1130" s="826"/>
      <c r="Q1130" s="15"/>
      <c r="R1130" s="435"/>
      <c r="S1130" s="46"/>
      <c r="T1130" s="46"/>
      <c r="U1130" s="1046">
        <v>1130</v>
      </c>
      <c r="V1130" s="46"/>
    </row>
    <row r="1131" spans="1:22" ht="15.75" customHeight="1">
      <c r="A1131" s="1238" t="str">
        <f t="shared" si="303"/>
        <v>Irish potato: type</v>
      </c>
      <c r="B1131" s="826"/>
      <c r="C1131" s="1229">
        <f t="shared" si="306"/>
        <v>6.1099003735990039E-3</v>
      </c>
      <c r="D1131" s="1229">
        <f t="shared" si="307"/>
        <v>1.3617915006226649E-2</v>
      </c>
      <c r="E1131" s="1229">
        <f t="shared" si="308"/>
        <v>0.13839857129514321</v>
      </c>
      <c r="F1131" s="1229">
        <f t="shared" si="309"/>
        <v>4.3760727826207275E-2</v>
      </c>
      <c r="G1131" s="826"/>
      <c r="H1131" s="1230">
        <f t="shared" si="310"/>
        <v>0</v>
      </c>
      <c r="I1131" s="1230">
        <f t="shared" si="311"/>
        <v>5.3084504981320045E-3</v>
      </c>
      <c r="J1131" s="1230">
        <f t="shared" si="312"/>
        <v>0.11383677179327521</v>
      </c>
      <c r="K1131" s="1230">
        <f t="shared" si="313"/>
        <v>3.6700398505603984E-2</v>
      </c>
      <c r="L1131" s="44"/>
      <c r="M1131" s="1220" t="str">
        <f t="shared" si="305"/>
        <v>yes</v>
      </c>
      <c r="N1131" s="1234" t="str">
        <f t="shared" si="314"/>
        <v>yes</v>
      </c>
      <c r="O1131" s="826"/>
      <c r="P1131" s="826"/>
      <c r="Q1131" s="15"/>
      <c r="R1131" s="435"/>
      <c r="S1131" s="46"/>
      <c r="T1131" s="46"/>
      <c r="U1131" s="1046">
        <v>1131</v>
      </c>
      <c r="V1131" s="46"/>
    </row>
    <row r="1132" spans="1:22" ht="15.75" customHeight="1">
      <c r="A1132" s="1238" t="str">
        <f t="shared" si="303"/>
        <v>Jugo beans:</v>
      </c>
      <c r="B1132" s="826"/>
      <c r="C1132" s="1229">
        <f t="shared" si="306"/>
        <v>0</v>
      </c>
      <c r="D1132" s="1229">
        <f t="shared" si="307"/>
        <v>0</v>
      </c>
      <c r="E1132" s="1229">
        <f t="shared" si="308"/>
        <v>0</v>
      </c>
      <c r="F1132" s="1229">
        <f t="shared" si="309"/>
        <v>0</v>
      </c>
      <c r="G1132" s="826"/>
      <c r="H1132" s="1230">
        <f t="shared" si="310"/>
        <v>0</v>
      </c>
      <c r="I1132" s="1230">
        <f t="shared" si="311"/>
        <v>0</v>
      </c>
      <c r="J1132" s="1230">
        <f t="shared" si="312"/>
        <v>0</v>
      </c>
      <c r="K1132" s="1230">
        <f t="shared" si="313"/>
        <v>0</v>
      </c>
      <c r="L1132" s="44"/>
      <c r="M1132" s="1220" t="str">
        <f t="shared" si="305"/>
        <v/>
      </c>
      <c r="N1132" s="1234" t="str">
        <f t="shared" si="314"/>
        <v/>
      </c>
      <c r="O1132" s="826"/>
      <c r="P1132" s="826"/>
      <c r="Q1132" s="15"/>
      <c r="R1132" s="435"/>
      <c r="S1132" s="46"/>
      <c r="T1132" s="46"/>
      <c r="U1132" s="1046">
        <v>1132</v>
      </c>
      <c r="V1132" s="46"/>
    </row>
    <row r="1133" spans="1:22" ht="15.75" customHeight="1">
      <c r="A1133" s="1238" t="str">
        <f t="shared" si="303"/>
        <v>Yam: type</v>
      </c>
      <c r="B1133" s="826"/>
      <c r="C1133" s="1229">
        <f t="shared" si="306"/>
        <v>2.5393057285180574E-2</v>
      </c>
      <c r="D1133" s="1229">
        <f t="shared" si="307"/>
        <v>2.082230697384807E-2</v>
      </c>
      <c r="E1133" s="1229">
        <f t="shared" si="308"/>
        <v>7.9974377334993768E-2</v>
      </c>
      <c r="F1133" s="1229">
        <f t="shared" si="309"/>
        <v>8.8108032378580309E-2</v>
      </c>
      <c r="G1133" s="826"/>
      <c r="H1133" s="1230">
        <f t="shared" si="310"/>
        <v>0</v>
      </c>
      <c r="I1133" s="1230">
        <f t="shared" si="311"/>
        <v>0</v>
      </c>
      <c r="J1133" s="1230">
        <f t="shared" si="312"/>
        <v>5.8982783312577829E-2</v>
      </c>
      <c r="K1133" s="1230">
        <f t="shared" si="313"/>
        <v>6.5536425902864251E-2</v>
      </c>
      <c r="L1133" s="44"/>
      <c r="M1133" s="1220" t="str">
        <f t="shared" si="305"/>
        <v>yes</v>
      </c>
      <c r="N1133" s="1234" t="str">
        <f t="shared" si="314"/>
        <v>yes</v>
      </c>
      <c r="O1133" s="826"/>
      <c r="P1133" s="826"/>
      <c r="Q1133" s="15"/>
      <c r="R1133" s="435"/>
      <c r="S1133" s="46"/>
      <c r="T1133" s="46"/>
      <c r="U1133" s="1046">
        <v>1133</v>
      </c>
      <c r="V1133" s="46"/>
    </row>
    <row r="1134" spans="1:22" ht="15.75" customHeight="1">
      <c r="A1134" s="1238" t="str">
        <f>A851</f>
        <v>FISHING -- see worksheet Data 3</v>
      </c>
      <c r="B1134" s="826"/>
      <c r="C1134" s="1229">
        <f t="shared" ref="C1134:F1135" si="315">IF(C$1111=0,0,MAX((SUM(C851,M851)+SUM(C962,M962)/C$1111),(SUM(C851)+SUM(C962)/C$1111)))</f>
        <v>0</v>
      </c>
      <c r="D1134" s="1229">
        <f t="shared" si="315"/>
        <v>0</v>
      </c>
      <c r="E1134" s="1229">
        <f t="shared" si="315"/>
        <v>0</v>
      </c>
      <c r="F1134" s="1229">
        <f t="shared" si="315"/>
        <v>1.1706102117061022E-2</v>
      </c>
      <c r="G1134" s="826"/>
      <c r="H1134" s="1230">
        <f t="shared" ref="H1134:K1135" si="316">IF(C$1111=0,0,MAX(SUM(C962,M962)/C$1111,SUM(C962)/C$1111))</f>
        <v>0</v>
      </c>
      <c r="I1134" s="1230">
        <f t="shared" si="316"/>
        <v>0</v>
      </c>
      <c r="J1134" s="1230">
        <f t="shared" si="316"/>
        <v>0</v>
      </c>
      <c r="K1134" s="1230">
        <f t="shared" si="316"/>
        <v>0</v>
      </c>
      <c r="L1134" s="44"/>
      <c r="M1134" s="1220" t="str">
        <f t="shared" si="305"/>
        <v/>
      </c>
      <c r="N1134" s="1234" t="str">
        <f t="shared" si="314"/>
        <v/>
      </c>
      <c r="O1134" s="826"/>
      <c r="P1134" s="826"/>
      <c r="Q1134" s="15"/>
      <c r="R1134" s="435"/>
      <c r="S1134" s="46"/>
      <c r="T1134" s="46"/>
      <c r="U1134" s="1046">
        <v>1134</v>
      </c>
      <c r="V1134" s="46"/>
    </row>
    <row r="1135" spans="1:22" ht="15.75" customHeight="1">
      <c r="A1135" s="1238" t="str">
        <f>A852</f>
        <v>WILD FOODS -- see worksheet Data 3</v>
      </c>
      <c r="B1135" s="826"/>
      <c r="C1135" s="1229">
        <f t="shared" si="315"/>
        <v>0</v>
      </c>
      <c r="D1135" s="1229">
        <f t="shared" si="315"/>
        <v>0</v>
      </c>
      <c r="E1135" s="1229">
        <f t="shared" si="315"/>
        <v>0</v>
      </c>
      <c r="F1135" s="1229">
        <f t="shared" si="315"/>
        <v>0</v>
      </c>
      <c r="G1135" s="826"/>
      <c r="H1135" s="1230">
        <f t="shared" si="316"/>
        <v>0</v>
      </c>
      <c r="I1135" s="1230">
        <f t="shared" si="316"/>
        <v>0</v>
      </c>
      <c r="J1135" s="1230">
        <f t="shared" si="316"/>
        <v>0</v>
      </c>
      <c r="K1135" s="1230">
        <f t="shared" si="316"/>
        <v>0</v>
      </c>
      <c r="L1135" s="44"/>
      <c r="M1135" s="1220" t="str">
        <f t="shared" si="305"/>
        <v/>
      </c>
      <c r="N1135" s="1234" t="str">
        <f t="shared" si="314"/>
        <v/>
      </c>
      <c r="O1135" s="826"/>
      <c r="P1135" s="826"/>
      <c r="Q1135" s="15"/>
      <c r="R1135" s="435"/>
      <c r="S1135" s="46"/>
      <c r="T1135" s="46"/>
      <c r="U1135" s="1046">
        <v>1135</v>
      </c>
      <c r="V1135" s="46"/>
    </row>
    <row r="1136" spans="1:22" ht="15.75" customHeight="1">
      <c r="A1136" s="44" t="str">
        <f>A931</f>
        <v>Green maize sold: quantity</v>
      </c>
      <c r="B1136" s="826"/>
      <c r="C1136" s="1229">
        <f>IF(C$1111=0,0,MAX(SUM(C931,M931)/C$1111,SUM(C931)/C$1111))</f>
        <v>0</v>
      </c>
      <c r="D1136" s="1229">
        <f>IF(D$1111=0,0,MAX(SUM(D931,N931)/D$1111,SUM(D931)/D$1111))</f>
        <v>0</v>
      </c>
      <c r="E1136" s="1229">
        <f>IF(E$1111=0,0,MAX(SUM(E931,O931)/E$1111,SUM(E931)/E$1111))</f>
        <v>0</v>
      </c>
      <c r="F1136" s="1229">
        <f>IF(F$1111=0,0,MAX(SUM(F931,P931)/F$1111,SUM(F931)/F$1111))</f>
        <v>0</v>
      </c>
      <c r="G1136" s="826"/>
      <c r="H1136" s="46"/>
      <c r="I1136" s="46"/>
      <c r="J1136" s="46"/>
      <c r="K1136" s="825"/>
      <c r="L1136" s="826"/>
      <c r="M1136" s="1220" t="str">
        <f t="shared" si="305"/>
        <v/>
      </c>
      <c r="N1136" s="1220" t="str">
        <f t="shared" ref="N1136:N1147" si="317">M1136</f>
        <v/>
      </c>
      <c r="O1136" s="826"/>
      <c r="P1136" s="826"/>
      <c r="Q1136" s="15"/>
      <c r="R1136" s="435"/>
      <c r="S1136" s="46"/>
      <c r="T1136" s="46"/>
      <c r="U1136" s="1046">
        <v>1136</v>
      </c>
      <c r="V1136" s="46"/>
    </row>
    <row r="1137" spans="1:22" ht="15.75" customHeight="1">
      <c r="A1137" s="44" t="str">
        <f t="shared" ref="A1137:A1147" si="318">A950</f>
        <v>Main cashcrop kg sold</v>
      </c>
      <c r="B1137" s="826"/>
      <c r="C1137" s="1229">
        <f t="shared" ref="C1137:C1147" si="319">IF(C$1111=0,0,MAX(SUM(C950,M950)/C$1111,SUM(C950)/C$1111))</f>
        <v>0</v>
      </c>
      <c r="D1137" s="1229">
        <f t="shared" ref="D1137:D1147" si="320">IF(D$1111=0,0,MAX(SUM(D950,N950)/D$1111,SUM(D950)/D$1111))</f>
        <v>0</v>
      </c>
      <c r="E1137" s="1229">
        <f t="shared" ref="E1137:E1147" si="321">IF(E$1111=0,0,MAX(SUM(E950,O950)/E$1111,SUM(E950)/E$1111))</f>
        <v>0</v>
      </c>
      <c r="F1137" s="1229">
        <f t="shared" ref="F1137:F1147" si="322">IF(F$1111=0,0,MAX(SUM(F950,P950)/F$1111,SUM(F950)/F$1111))</f>
        <v>0</v>
      </c>
      <c r="G1137" s="826"/>
      <c r="H1137" s="46"/>
      <c r="I1137" s="46"/>
      <c r="J1137" s="46"/>
      <c r="K1137" s="825"/>
      <c r="L1137" s="826"/>
      <c r="M1137" s="1220" t="str">
        <f t="shared" si="305"/>
        <v/>
      </c>
      <c r="N1137" s="1220" t="str">
        <f t="shared" si="317"/>
        <v/>
      </c>
      <c r="O1137" s="826"/>
      <c r="P1137" s="826"/>
      <c r="Q1137" s="15"/>
      <c r="R1137" s="435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318"/>
        <v>Spinach (cash): kg produced</v>
      </c>
      <c r="B1138" s="826"/>
      <c r="C1138" s="1229">
        <f t="shared" si="319"/>
        <v>0</v>
      </c>
      <c r="D1138" s="1229">
        <f t="shared" si="320"/>
        <v>2.2118543742216685E-2</v>
      </c>
      <c r="E1138" s="1229">
        <f t="shared" si="321"/>
        <v>1.4745695828144457E-2</v>
      </c>
      <c r="F1138" s="1229">
        <f t="shared" si="322"/>
        <v>3.9321855541718555E-2</v>
      </c>
      <c r="G1138" s="826"/>
      <c r="H1138" s="46"/>
      <c r="I1138" s="46"/>
      <c r="J1138" s="46"/>
      <c r="K1138" s="825"/>
      <c r="L1138" s="826"/>
      <c r="M1138" s="1220" t="str">
        <f t="shared" si="305"/>
        <v/>
      </c>
      <c r="N1138" s="1220" t="str">
        <f t="shared" si="317"/>
        <v/>
      </c>
      <c r="O1138" s="826"/>
      <c r="P1138" s="826"/>
      <c r="Q1138" s="15"/>
      <c r="R1138" s="435"/>
      <c r="S1138" s="46"/>
      <c r="T1138" s="46"/>
      <c r="U1138" s="1046">
        <v>1138</v>
      </c>
      <c r="V1138" s="46"/>
    </row>
    <row r="1139" spans="1:22" ht="15.75" customHeight="1">
      <c r="A1139" s="44" t="str">
        <f t="shared" si="318"/>
        <v>Lettuce (cash): kg produced (Lettuce)</v>
      </c>
      <c r="B1139" s="826"/>
      <c r="C1139" s="1229">
        <f t="shared" si="319"/>
        <v>0</v>
      </c>
      <c r="D1139" s="1229">
        <f t="shared" si="320"/>
        <v>0</v>
      </c>
      <c r="E1139" s="1229">
        <f t="shared" si="321"/>
        <v>0</v>
      </c>
      <c r="F1139" s="1229">
        <f t="shared" si="322"/>
        <v>0</v>
      </c>
      <c r="G1139" s="826"/>
      <c r="H1139" s="46"/>
      <c r="I1139" s="46"/>
      <c r="J1139" s="46"/>
      <c r="K1139" s="825"/>
      <c r="L1139" s="826"/>
      <c r="M1139" s="1220" t="str">
        <f t="shared" si="305"/>
        <v/>
      </c>
      <c r="N1139" s="1220" t="str">
        <f t="shared" si="317"/>
        <v/>
      </c>
      <c r="O1139" s="826"/>
      <c r="P1139" s="826"/>
      <c r="Q1139" s="15"/>
      <c r="R1139" s="435"/>
      <c r="S1139" s="46"/>
      <c r="T1139" s="46"/>
      <c r="U1139" s="1046">
        <v>1139</v>
      </c>
      <c r="V1139" s="46"/>
    </row>
    <row r="1140" spans="1:22" ht="15.75" customHeight="1">
      <c r="A1140" s="44" t="str">
        <f t="shared" si="318"/>
        <v>Other cashcrop: kg produced</v>
      </c>
      <c r="B1140" s="826"/>
      <c r="C1140" s="1229">
        <f t="shared" si="319"/>
        <v>0</v>
      </c>
      <c r="D1140" s="1229">
        <f t="shared" si="320"/>
        <v>0</v>
      </c>
      <c r="E1140" s="1229">
        <f t="shared" si="321"/>
        <v>0</v>
      </c>
      <c r="F1140" s="1229">
        <f t="shared" si="322"/>
        <v>0</v>
      </c>
      <c r="G1140" s="826"/>
      <c r="H1140" s="46"/>
      <c r="I1140" s="46"/>
      <c r="J1140" s="46"/>
      <c r="K1140" s="825"/>
      <c r="L1140" s="826"/>
      <c r="M1140" s="1220" t="str">
        <f t="shared" si="305"/>
        <v/>
      </c>
      <c r="N1140" s="1220" t="str">
        <f t="shared" si="317"/>
        <v/>
      </c>
      <c r="O1140" s="826"/>
      <c r="P1140" s="826"/>
      <c r="Q1140" s="15"/>
      <c r="R1140" s="435"/>
      <c r="S1140" s="46"/>
      <c r="T1140" s="46"/>
      <c r="U1140" s="1046">
        <v>1140</v>
      </c>
      <c r="V1140" s="46"/>
    </row>
    <row r="1141" spans="1:22" ht="15.75" customHeight="1">
      <c r="A1141" s="44" t="str">
        <f t="shared" si="318"/>
        <v>Tomatoes (cash): kg produced</v>
      </c>
      <c r="B1141" s="826"/>
      <c r="C1141" s="1229">
        <f t="shared" si="319"/>
        <v>0</v>
      </c>
      <c r="D1141" s="1229">
        <f t="shared" si="320"/>
        <v>0</v>
      </c>
      <c r="E1141" s="1229">
        <f t="shared" si="321"/>
        <v>0</v>
      </c>
      <c r="F1141" s="1229">
        <f t="shared" si="322"/>
        <v>6.5536425902864251E-2</v>
      </c>
      <c r="G1141" s="826"/>
      <c r="H1141" s="46"/>
      <c r="I1141" s="46"/>
      <c r="J1141" s="46"/>
      <c r="K1141" s="825"/>
      <c r="L1141" s="826"/>
      <c r="M1141" s="1220" t="str">
        <f t="shared" si="305"/>
        <v/>
      </c>
      <c r="N1141" s="1220" t="str">
        <f t="shared" si="317"/>
        <v/>
      </c>
      <c r="O1141" s="826"/>
      <c r="P1141" s="826"/>
      <c r="Q1141" s="15"/>
      <c r="R1141" s="435"/>
      <c r="S1141" s="46"/>
      <c r="T1141" s="46"/>
      <c r="U1141" s="1046">
        <v>1141</v>
      </c>
      <c r="V1141" s="46"/>
    </row>
    <row r="1142" spans="1:22" ht="15.75" customHeight="1">
      <c r="A1142" s="44" t="str">
        <f t="shared" si="318"/>
        <v>Cabbage (cash): kg produced</v>
      </c>
      <c r="B1142" s="826"/>
      <c r="C1142" s="1229">
        <f t="shared" si="319"/>
        <v>0</v>
      </c>
      <c r="D1142" s="1229">
        <f t="shared" si="320"/>
        <v>0</v>
      </c>
      <c r="E1142" s="1229">
        <f t="shared" si="321"/>
        <v>0</v>
      </c>
      <c r="F1142" s="1229">
        <f t="shared" si="322"/>
        <v>3.9321855541718555E-2</v>
      </c>
      <c r="G1142" s="826"/>
      <c r="H1142" s="46"/>
      <c r="I1142" s="46"/>
      <c r="J1142" s="46"/>
      <c r="K1142" s="825"/>
      <c r="L1142" s="826"/>
      <c r="M1142" s="1220" t="str">
        <f t="shared" si="305"/>
        <v/>
      </c>
      <c r="N1142" s="1220" t="str">
        <f t="shared" si="317"/>
        <v/>
      </c>
      <c r="O1142" s="826"/>
      <c r="P1142" s="826"/>
      <c r="Q1142" s="15"/>
      <c r="R1142" s="435"/>
      <c r="S1142" s="46"/>
      <c r="T1142" s="46"/>
      <c r="U1142" s="1046">
        <v>1142</v>
      </c>
      <c r="V1142" s="46"/>
    </row>
    <row r="1143" spans="1:22" ht="15.75" customHeight="1">
      <c r="A1143" s="44" t="str">
        <f t="shared" si="318"/>
        <v>Carrots (cash): kg produced</v>
      </c>
      <c r="B1143" s="826"/>
      <c r="C1143" s="1229">
        <f t="shared" si="319"/>
        <v>0</v>
      </c>
      <c r="D1143" s="1229">
        <f t="shared" si="320"/>
        <v>0</v>
      </c>
      <c r="E1143" s="1229">
        <f t="shared" si="321"/>
        <v>0</v>
      </c>
      <c r="F1143" s="1229">
        <f t="shared" si="322"/>
        <v>0</v>
      </c>
      <c r="G1143" s="826"/>
      <c r="H1143" s="46"/>
      <c r="I1143" s="46"/>
      <c r="J1143" s="46"/>
      <c r="K1143" s="825"/>
      <c r="L1143" s="826"/>
      <c r="M1143" s="1220" t="str">
        <f t="shared" si="305"/>
        <v/>
      </c>
      <c r="N1143" s="1220" t="str">
        <f t="shared" si="317"/>
        <v/>
      </c>
      <c r="O1143" s="826"/>
      <c r="P1143" s="826"/>
      <c r="Q1143" s="15"/>
      <c r="R1143" s="435"/>
      <c r="S1143" s="46"/>
      <c r="T1143" s="46"/>
      <c r="U1143" s="1046">
        <v>1143</v>
      </c>
      <c r="V1143" s="46"/>
    </row>
    <row r="1144" spans="1:22" ht="15.75" customHeight="1">
      <c r="A1144" s="44" t="str">
        <f t="shared" si="318"/>
        <v>Straw: quantity sold</v>
      </c>
      <c r="B1144" s="826"/>
      <c r="C1144" s="1229">
        <f t="shared" si="319"/>
        <v>0</v>
      </c>
      <c r="D1144" s="1229">
        <f t="shared" si="320"/>
        <v>0</v>
      </c>
      <c r="E1144" s="1229">
        <f t="shared" si="321"/>
        <v>0</v>
      </c>
      <c r="F1144" s="1229">
        <f t="shared" si="322"/>
        <v>0</v>
      </c>
      <c r="G1144" s="826"/>
      <c r="H1144" s="46"/>
      <c r="I1144" s="46"/>
      <c r="J1144" s="46"/>
      <c r="K1144" s="825"/>
      <c r="L1144" s="826"/>
      <c r="M1144" s="1220" t="str">
        <f t="shared" si="305"/>
        <v/>
      </c>
      <c r="N1144" s="1220" t="str">
        <f t="shared" si="317"/>
        <v/>
      </c>
      <c r="O1144" s="826"/>
      <c r="P1144" s="826"/>
      <c r="Q1144" s="15"/>
      <c r="R1144" s="435"/>
      <c r="S1144" s="46"/>
      <c r="T1144" s="46"/>
      <c r="U1144" s="1046">
        <v>1144</v>
      </c>
      <c r="V1144" s="46"/>
    </row>
    <row r="1145" spans="1:22" ht="15.75" customHeight="1">
      <c r="A1145" s="44" t="str">
        <f t="shared" si="318"/>
        <v>Trees: quantity sold</v>
      </c>
      <c r="B1145" s="826"/>
      <c r="C1145" s="1229">
        <f t="shared" si="319"/>
        <v>0</v>
      </c>
      <c r="D1145" s="1229">
        <f t="shared" si="320"/>
        <v>0</v>
      </c>
      <c r="E1145" s="1229">
        <f t="shared" si="321"/>
        <v>0</v>
      </c>
      <c r="F1145" s="1229">
        <f t="shared" si="322"/>
        <v>0</v>
      </c>
      <c r="G1145" s="826"/>
      <c r="H1145" s="46"/>
      <c r="I1145" s="46"/>
      <c r="J1145" s="46"/>
      <c r="K1145" s="825"/>
      <c r="L1145" s="826"/>
      <c r="M1145" s="1220" t="str">
        <f t="shared" si="305"/>
        <v/>
      </c>
      <c r="N1145" s="1220" t="str">
        <f t="shared" si="317"/>
        <v/>
      </c>
      <c r="O1145" s="826"/>
      <c r="P1145" s="826"/>
      <c r="Q1145" s="15"/>
      <c r="R1145" s="435"/>
      <c r="S1145" s="46"/>
      <c r="T1145" s="46"/>
      <c r="U1145" s="1046">
        <v>1145</v>
      </c>
      <c r="V1145" s="46"/>
    </row>
    <row r="1146" spans="1:22" ht="15.75" customHeight="1">
      <c r="A1146" s="44" t="str">
        <f t="shared" si="318"/>
        <v>Beetroot (cash): type</v>
      </c>
      <c r="B1146" s="826"/>
      <c r="C1146" s="1229">
        <f t="shared" si="319"/>
        <v>0</v>
      </c>
      <c r="D1146" s="1229">
        <f t="shared" si="320"/>
        <v>0</v>
      </c>
      <c r="E1146" s="1229">
        <f t="shared" si="321"/>
        <v>0</v>
      </c>
      <c r="F1146" s="1229">
        <f t="shared" si="322"/>
        <v>0</v>
      </c>
      <c r="G1146" s="826"/>
      <c r="H1146" s="46"/>
      <c r="I1146" s="46"/>
      <c r="J1146" s="46"/>
      <c r="K1146" s="825"/>
      <c r="L1146" s="826"/>
      <c r="M1146" s="1220" t="str">
        <f t="shared" si="305"/>
        <v/>
      </c>
      <c r="N1146" s="1220" t="str">
        <f t="shared" si="317"/>
        <v/>
      </c>
      <c r="O1146" s="826"/>
      <c r="P1146" s="826"/>
      <c r="Q1146" s="15"/>
      <c r="R1146" s="435"/>
      <c r="S1146" s="46"/>
      <c r="T1146" s="46"/>
      <c r="U1146" s="1046">
        <v>1146</v>
      </c>
      <c r="V1146" s="46"/>
    </row>
    <row r="1147" spans="1:22" ht="15.75" customHeight="1">
      <c r="A1147" s="44" t="str">
        <f t="shared" si="318"/>
        <v>Other cash crop: type</v>
      </c>
      <c r="B1147" s="826"/>
      <c r="C1147" s="1229">
        <f t="shared" si="319"/>
        <v>0</v>
      </c>
      <c r="D1147" s="1229">
        <f t="shared" si="320"/>
        <v>0</v>
      </c>
      <c r="E1147" s="1229">
        <f t="shared" si="321"/>
        <v>0</v>
      </c>
      <c r="F1147" s="1229">
        <f t="shared" si="322"/>
        <v>0</v>
      </c>
      <c r="G1147" s="826"/>
      <c r="H1147" s="46"/>
      <c r="I1147" s="46"/>
      <c r="J1147" s="46"/>
      <c r="K1147" s="825"/>
      <c r="L1147" s="826"/>
      <c r="M1147" s="1220" t="str">
        <f t="shared" si="305"/>
        <v/>
      </c>
      <c r="N1147" s="1220" t="str">
        <f t="shared" si="317"/>
        <v/>
      </c>
      <c r="O1147" s="826"/>
      <c r="P1147" s="826"/>
      <c r="Q1147" s="15"/>
      <c r="R1147" s="435"/>
      <c r="S1147" s="46"/>
      <c r="T1147" s="46"/>
      <c r="U1147" s="1046">
        <v>1147</v>
      </c>
      <c r="V1147" s="46"/>
    </row>
    <row r="1148" spans="1:22" ht="15.75" customHeight="1">
      <c r="A1148" s="1134" t="s">
        <v>548</v>
      </c>
      <c r="B1148" s="1197"/>
      <c r="C1148" s="1229"/>
      <c r="D1148" s="1229"/>
      <c r="E1148" s="1229"/>
      <c r="F1148" s="1229"/>
      <c r="G1148" s="826"/>
      <c r="H1148" s="825"/>
      <c r="I1148" s="46"/>
      <c r="J1148" s="46"/>
      <c r="K1148" s="825"/>
      <c r="L1148" s="826"/>
      <c r="M1148" s="1239" t="s">
        <v>549</v>
      </c>
      <c r="N1148" s="1236" t="s">
        <v>352</v>
      </c>
      <c r="O1148" s="826"/>
      <c r="P1148" s="826"/>
      <c r="Q1148" s="15"/>
      <c r="R1148" s="435"/>
      <c r="S1148" s="46"/>
      <c r="T1148" s="46"/>
      <c r="U1148" s="1046">
        <v>1148</v>
      </c>
      <c r="V1148" s="46"/>
    </row>
    <row r="1149" spans="1:22" ht="15.75" customHeight="1">
      <c r="A1149" s="44" t="str">
        <f>A820</f>
        <v>Camels' milk - season 1</v>
      </c>
      <c r="B1149" s="1197"/>
      <c r="C1149" s="1229">
        <f>IF(C$1111=0,0,MAX((SUM(C820,M820)+SUM(C904,M904,C906,M906)/C$1111),(SUM(C820)+SUM(C904,C906)/C$1111)))</f>
        <v>0</v>
      </c>
      <c r="D1149" s="1229">
        <f>IF(D$1111=0,0,MAX((SUM(D820,N820)+SUM(D904,N904,D906,N906)/D$1111),(SUM(D820)+SUM(D904,D906)/D$1111)))</f>
        <v>0</v>
      </c>
      <c r="E1149" s="1229">
        <f>IF(E$1111=0,0,MAX((SUM(E820,O820)+SUM(E904,O904,E906,O906)/E$1111),(SUM(E820)+SUM(E904,E906)/E$1111)))</f>
        <v>0</v>
      </c>
      <c r="F1149" s="1229">
        <f>IF(F$1111=0,0,MAX((SUM(F820,P820)+SUM(F904,P904,F906,P906)/F$1111),(SUM(F820)+SUM(F904,F906)/F$1111)))</f>
        <v>0</v>
      </c>
      <c r="G1149" s="826"/>
      <c r="H1149" s="1230"/>
      <c r="I1149" s="1230"/>
      <c r="J1149" s="1230"/>
      <c r="K1149" s="1230"/>
      <c r="L1149" s="44"/>
      <c r="M1149" s="1220" t="str">
        <f>IF(OR(SUM((C1149&gt;C$1109),(E1149&gt;C$1109),(D1149&gt;C$1109),(F1149&gt;C$1109))&gt;1,C1149&gt;C$1109*2,E1149&gt;C$1109*2,D1149&gt;C$1109*2,F1149&gt;C$1109*2),"yes","")</f>
        <v/>
      </c>
      <c r="N1149" s="1234"/>
      <c r="O1149" s="826"/>
      <c r="P1149" s="826"/>
      <c r="Q1149" s="15"/>
      <c r="R1149" s="435"/>
      <c r="S1149" s="46"/>
      <c r="T1149" s="46"/>
      <c r="U1149" s="1046">
        <v>1149</v>
      </c>
      <c r="V1149" s="46"/>
    </row>
    <row r="1150" spans="1:22" ht="15.75" customHeight="1">
      <c r="A1150" s="1240" t="str">
        <f>A904</f>
        <v>Camels' milk sales - season 1</v>
      </c>
      <c r="B1150" s="1197"/>
      <c r="C1150" s="1229"/>
      <c r="D1150" s="1229"/>
      <c r="E1150" s="1229"/>
      <c r="F1150" s="1229"/>
      <c r="G1150" s="826"/>
      <c r="H1150" s="1230">
        <f>IF(C$1111=0,0,MAX(SUM(C904,M904)/C$1111,SUM(C904)/C$1111))</f>
        <v>0</v>
      </c>
      <c r="I1150" s="1230">
        <f>IF(D$1111=0,0,MAX(SUM(D904,N904)/D$1111,SUM(D904)/D$1111))</f>
        <v>0</v>
      </c>
      <c r="J1150" s="1230">
        <f>IF(E$1111=0,0,MAX(SUM(E904,O904)/E$1111,SUM(E904)/E$1111))</f>
        <v>0</v>
      </c>
      <c r="K1150" s="1230">
        <f>IF(F$1111=0,0,MAX(SUM(F904,P904)/F$1111,SUM(F904)/F$1111))</f>
        <v>0</v>
      </c>
      <c r="L1150" s="44"/>
      <c r="M1150" s="44"/>
      <c r="N1150" s="1234" t="str">
        <f>IF(OR(SUM((H1150&gt;C$1109),(J1150&gt;C$1109),(I1150&gt;C$1109),(K1150&gt;C$1109))&gt;1,H1150&gt;C$1109*2,J1150&gt;C$1109*2,I1150&gt;C$1109*2,K1150&gt;C$1109*2),"yes","")</f>
        <v/>
      </c>
      <c r="O1150" s="826"/>
      <c r="P1150" s="826"/>
      <c r="Q1150" s="15"/>
      <c r="R1150" s="435"/>
      <c r="S1150" s="46"/>
      <c r="T1150" s="46"/>
      <c r="U1150" s="1046">
        <v>1150</v>
      </c>
      <c r="V1150" s="46"/>
    </row>
    <row r="1151" spans="1:22" ht="15.75" customHeight="1">
      <c r="A1151" s="1240" t="str">
        <f>A906</f>
        <v>Camels' ghee/butter sales</v>
      </c>
      <c r="B1151" s="1197"/>
      <c r="C1151" s="1229"/>
      <c r="D1151" s="1229"/>
      <c r="E1151" s="1229"/>
      <c r="F1151" s="1229"/>
      <c r="G1151" s="826"/>
      <c r="H1151" s="1230">
        <f>IF(C$1111=0,0,MAX(SUM(C906,M906)/C$1111,SUM(C906)/C$1111))</f>
        <v>0</v>
      </c>
      <c r="I1151" s="1230">
        <f>IF(D$1111=0,0,MAX(SUM(D906,N906)/D$1111,SUM(D906)/D$1111))</f>
        <v>0</v>
      </c>
      <c r="J1151" s="1230">
        <f>IF(E$1111=0,0,MAX(SUM(E906,O906)/E$1111,SUM(E906)/E$1111))</f>
        <v>0</v>
      </c>
      <c r="K1151" s="1230">
        <f>IF(F$1111=0,0,MAX(SUM(F906,P906)/F$1111,SUM(F906)/F$1111))</f>
        <v>0</v>
      </c>
      <c r="L1151" s="44"/>
      <c r="M1151" s="1220"/>
      <c r="N1151" s="1234" t="str">
        <f>IF(OR(SUM((H1151&gt;C$1109),(J1151&gt;C$1109),(I1151&gt;C$1109),(K1151&gt;C$1109))&gt;1,H1151&gt;C$1109*2,J1151&gt;C$1109*2,I1151&gt;C$1109*2,K1151&gt;C$1109*2),"yes","")</f>
        <v/>
      </c>
      <c r="O1151" s="826"/>
      <c r="P1151" s="826"/>
      <c r="Q1151" s="15"/>
      <c r="R1151" s="435"/>
      <c r="S1151" s="46"/>
      <c r="T1151" s="46"/>
      <c r="U1151" s="1046">
        <v>1151</v>
      </c>
      <c r="V1151" s="46"/>
    </row>
    <row r="1152" spans="1:22" ht="15.75" customHeight="1">
      <c r="A1152" s="44" t="str">
        <f>A821</f>
        <v>Camels' milk - season 2</v>
      </c>
      <c r="B1152" s="1197"/>
      <c r="C1152" s="1229">
        <f>IF(C$1111=0,0,MAX((SUM(C821,M821)+SUM(C905,M905)/C$1111),(SUM(C821)+SUM(C905)/C$1111)))</f>
        <v>0</v>
      </c>
      <c r="D1152" s="1229">
        <f>IF(D$1111=0,0,MAX((SUM(D821,N821)+SUM(D905,N905)/D$1111),(SUM(D821)+SUM(D905)/D$1111)))</f>
        <v>0</v>
      </c>
      <c r="E1152" s="1229">
        <f>IF(E$1111=0,0,MAX((SUM(E821,O821)+SUM(E905,O905)/E$1111),(SUM(E821)+SUM(E905)/E$1111)))</f>
        <v>0</v>
      </c>
      <c r="F1152" s="1229">
        <f>IF(F$1111=0,0,MAX((SUM(F821,P821)+SUM(F905,P905)/F$1111),(SUM(F821)+SUM(F905)/F$1111)))</f>
        <v>0</v>
      </c>
      <c r="G1152" s="826"/>
      <c r="H1152" s="1230"/>
      <c r="I1152" s="1230"/>
      <c r="J1152" s="1230"/>
      <c r="K1152" s="1230"/>
      <c r="L1152" s="44"/>
      <c r="M1152" s="1220" t="str">
        <f>IF(OR(SUM((C1152&gt;C$1109),(E1152&gt;C$1109),(D1152&gt;C$1109),(F1152&gt;C$1109))&gt;1,C1152&gt;C$1109*2,E1152&gt;C$1109*2,D1152&gt;C$1109*2,F1152&gt;C$1109*2),"yes","")</f>
        <v/>
      </c>
      <c r="N1152" s="1234"/>
      <c r="O1152" s="826"/>
      <c r="P1152" s="826"/>
      <c r="Q1152" s="15"/>
      <c r="R1152" s="435"/>
      <c r="S1152" s="46"/>
      <c r="T1152" s="46"/>
      <c r="U1152" s="1046">
        <v>1152</v>
      </c>
      <c r="V1152" s="46"/>
    </row>
    <row r="1153" spans="1:22" ht="15.75" customHeight="1">
      <c r="A1153" s="1240" t="str">
        <f>A905</f>
        <v>Camels' milk sales - season 2</v>
      </c>
      <c r="B1153" s="1197"/>
      <c r="C1153" s="1229"/>
      <c r="D1153" s="1229"/>
      <c r="E1153" s="1229"/>
      <c r="F1153" s="1229"/>
      <c r="G1153" s="826"/>
      <c r="H1153" s="1230">
        <f>IF(C$1111=0,0,MAX(SUM(C905,M905)/C$1111,SUM(C905)/C$1111))</f>
        <v>0</v>
      </c>
      <c r="I1153" s="1230">
        <f>IF(D$1111=0,0,MAX(SUM(D905,N905)/D$1111,SUM(D905)/D$1111))</f>
        <v>0</v>
      </c>
      <c r="J1153" s="1230">
        <f>IF(E$1111=0,0,MAX(SUM(E905,O905)/E$1111,SUM(E905)/E$1111))</f>
        <v>0</v>
      </c>
      <c r="K1153" s="1230">
        <f>IF(F$1111=0,0,MAX(SUM(F905,P905)/F$1111,SUM(F905)/F$1111))</f>
        <v>0</v>
      </c>
      <c r="L1153" s="44"/>
      <c r="M1153" s="44"/>
      <c r="N1153" s="1234" t="str">
        <f>IF(OR(SUM((H1153&gt;C$1109),(J1153&gt;C$1109),(I1153&gt;C$1109),(K1153&gt;C$1109))&gt;1,H1153&gt;C$1109*2,J1153&gt;C$1109*2,I1153&gt;C$1109*2,K1153&gt;C$1109*2),"yes","")</f>
        <v/>
      </c>
      <c r="O1153" s="826"/>
      <c r="P1153" s="826"/>
      <c r="Q1153" s="15"/>
      <c r="R1153" s="435"/>
      <c r="S1153" s="46"/>
      <c r="T1153" s="46"/>
      <c r="U1153" s="1046">
        <v>1153</v>
      </c>
      <c r="V1153" s="46"/>
    </row>
    <row r="1154" spans="1:22" ht="15.75" customHeight="1">
      <c r="A1154" s="44" t="str">
        <f>A822</f>
        <v>Cows' milk - season 1</v>
      </c>
      <c r="B1154" s="1197"/>
      <c r="C1154" s="1229">
        <f>IF(C$1111=0,0,MAX((SUM(C822,M822)+SUM(C907,M907,C909,M909)/C$1111),(SUM(C822)+SUM(C907,C909)/C$1111)))</f>
        <v>1.4080012453300126E-2</v>
      </c>
      <c r="D1154" s="1229">
        <f>IF(D$1111=0,0,MAX((SUM(D822,N822)+SUM(D907,N907,D909,N909)/D$1111),(SUM(D822)+SUM(D907,D909)/D$1111)))</f>
        <v>8.3437110834371116E-3</v>
      </c>
      <c r="E1154" s="1229">
        <f>IF(E$1111=0,0,MAX((SUM(E822,O822)+SUM(E907,O907,E909,O909)/E$1111),(SUM(E822)+SUM(E907,E909)/E$1111)))</f>
        <v>1.3037048567870486E-2</v>
      </c>
      <c r="F1154" s="1229">
        <f>IF(F$1111=0,0,MAX((SUM(F822,P822)+SUM(F907,P907,F909,P909)/F$1111),(SUM(F822)+SUM(F907,F909)/F$1111)))</f>
        <v>8.5476684654766849E-2</v>
      </c>
      <c r="G1154" s="826"/>
      <c r="H1154" s="1230"/>
      <c r="I1154" s="1230"/>
      <c r="J1154" s="1230"/>
      <c r="K1154" s="1230"/>
      <c r="L1154" s="44"/>
      <c r="M1154" s="1220" t="str">
        <f>IF(OR(SUM((C1154&gt;C$1109),(E1154&gt;C$1109),(D1154&gt;C$1109),(F1154&gt;C$1109))&gt;1,C1154&gt;C$1109*2,E1154&gt;C$1109*2,D1154&gt;C$1109*2,F1154&gt;C$1109*2),"yes","")</f>
        <v/>
      </c>
      <c r="N1154" s="1234"/>
      <c r="O1154" s="826"/>
      <c r="P1154" s="826"/>
      <c r="Q1154" s="15"/>
      <c r="R1154" s="435"/>
      <c r="S1154" s="46"/>
      <c r="T1154" s="46"/>
      <c r="U1154" s="1046">
        <v>1154</v>
      </c>
      <c r="V1154" s="46"/>
    </row>
    <row r="1155" spans="1:22" ht="15.75" customHeight="1">
      <c r="A1155" s="826" t="str">
        <f>A907</f>
        <v>Cows' milk sales - season 1</v>
      </c>
      <c r="B1155" s="1197"/>
      <c r="C1155" s="1229"/>
      <c r="D1155" s="1229"/>
      <c r="E1155" s="1229"/>
      <c r="F1155" s="1229"/>
      <c r="G1155" s="826"/>
      <c r="H1155" s="1230">
        <f>IF(C$1111=0,0,MAX(SUM(C907,M907)/C$1111,SUM(C907)/C$1111))</f>
        <v>0</v>
      </c>
      <c r="I1155" s="1230">
        <f>IF(D$1111=0,0,MAX(SUM(D907,N907)/D$1111,SUM(D907)/D$1111))</f>
        <v>0</v>
      </c>
      <c r="J1155" s="1230">
        <f>IF(E$1111=0,0,MAX(SUM(E907,O907)/E$1111,SUM(E907)/E$1111))</f>
        <v>0</v>
      </c>
      <c r="K1155" s="1230">
        <f>IF(F$1111=0,0,MAX(SUM(F907,P907)/F$1111,SUM(F907)/F$1111))</f>
        <v>0</v>
      </c>
      <c r="L1155" s="44"/>
      <c r="M1155" s="44"/>
      <c r="N1155" s="1234" t="str">
        <f>IF(OR(SUM((H1155&gt;C$1109),(J1155&gt;C$1109),(I1155&gt;C$1109),(K1155&gt;C$1109))&gt;1,H1155&gt;C$1109*2,J1155&gt;C$1109*2,I1155&gt;C$1109*2,K1155&gt;C$1109*2),"yes","")</f>
        <v/>
      </c>
      <c r="O1155" s="826"/>
      <c r="P1155" s="826"/>
      <c r="Q1155" s="15"/>
      <c r="R1155" s="435"/>
      <c r="S1155" s="46"/>
      <c r="T1155" s="46"/>
      <c r="U1155" s="1046">
        <v>1155</v>
      </c>
      <c r="V1155" s="46"/>
    </row>
    <row r="1156" spans="1:22" ht="15.75" customHeight="1">
      <c r="A1156" s="826" t="str">
        <f>A909</f>
        <v>Cows' ghee/butter sales</v>
      </c>
      <c r="B1156" s="1197"/>
      <c r="C1156" s="1229"/>
      <c r="D1156" s="1229"/>
      <c r="E1156" s="1229"/>
      <c r="F1156" s="1229"/>
      <c r="G1156" s="826"/>
      <c r="H1156" s="1230">
        <f>IF(C$1111=0,0,MAX(SUM(C909,M909)/C$1111,SUM(C909)/C$1111))</f>
        <v>0</v>
      </c>
      <c r="I1156" s="1230">
        <f>IF(D$1111=0,0,MAX(SUM(D909,N909)/D$1111,SUM(D909)/D$1111))</f>
        <v>0</v>
      </c>
      <c r="J1156" s="1230">
        <f>IF(E$1111=0,0,MAX(SUM(E909,O909)/E$1111,SUM(E909)/E$1111))</f>
        <v>0</v>
      </c>
      <c r="K1156" s="1230">
        <f>IF(F$1111=0,0,MAX(SUM(F909,P909)/F$1111,SUM(F909)/F$1111))</f>
        <v>0</v>
      </c>
      <c r="L1156" s="44"/>
      <c r="M1156" s="1220"/>
      <c r="N1156" s="1234" t="str">
        <f>IF(OR(SUM((H1156&gt;C$1109),(J1156&gt;C$1109),(I1156&gt;C$1109),(K1156&gt;C$1109))&gt;1,H1156&gt;C$1109*2,J1156&gt;C$1109*2,I1156&gt;C$1109*2,K1156&gt;C$1109*2),"yes","")</f>
        <v/>
      </c>
      <c r="O1156" s="826"/>
      <c r="P1156" s="826"/>
      <c r="Q1156" s="15"/>
      <c r="R1156" s="435"/>
      <c r="S1156" s="46"/>
      <c r="T1156" s="46"/>
      <c r="U1156" s="1046">
        <v>1156</v>
      </c>
      <c r="V1156" s="46"/>
    </row>
    <row r="1157" spans="1:22" ht="15.75" customHeight="1">
      <c r="A1157" s="44" t="str">
        <f>A823</f>
        <v>Cows' milk - season 2</v>
      </c>
      <c r="B1157" s="1197"/>
      <c r="C1157" s="1229">
        <f>IF(C$1111=0,0,MAX((SUM(C823,M823)+SUM(C908,M908)/C$1111),(SUM(C823)+SUM(C908)/C$1111)))</f>
        <v>2.3466687422166875E-3</v>
      </c>
      <c r="D1157" s="1229">
        <f>IF(D$1111=0,0,MAX((SUM(D823,N823)+SUM(D908,N908)/D$1111),(SUM(D823)+SUM(D908)/D$1111)))</f>
        <v>0</v>
      </c>
      <c r="E1157" s="1229">
        <f>IF(E$1111=0,0,MAX((SUM(E823,O823)+SUM(E908,O908)/E$1111),(SUM(E823)+SUM(E908)/E$1111)))</f>
        <v>0</v>
      </c>
      <c r="F1157" s="1229">
        <f>IF(F$1111=0,0,MAX((SUM(F823,P823)+SUM(F908,P908)/F$1111),(SUM(F823)+SUM(F908)/F$1111)))</f>
        <v>0</v>
      </c>
      <c r="G1157" s="826"/>
      <c r="H1157" s="1230"/>
      <c r="I1157" s="1230"/>
      <c r="J1157" s="1230"/>
      <c r="K1157" s="1230"/>
      <c r="L1157" s="44"/>
      <c r="M1157" s="1220" t="str">
        <f>IF(OR(SUM((C1157&gt;C$1109),(E1157&gt;C$1109),(D1157&gt;C$1109),(F1157&gt;C$1109))&gt;1,C1157&gt;C$1109*2,E1157&gt;C$1109*2,D1157&gt;C$1109*2,F1157&gt;C$1109*2),"yes","")</f>
        <v/>
      </c>
      <c r="N1157" s="1234"/>
      <c r="O1157" s="826"/>
      <c r="P1157" s="826"/>
      <c r="Q1157" s="15"/>
      <c r="R1157" s="435"/>
      <c r="S1157" s="46"/>
      <c r="T1157" s="46"/>
      <c r="U1157" s="1046">
        <v>1157</v>
      </c>
      <c r="V1157" s="46"/>
    </row>
    <row r="1158" spans="1:22" ht="15.75" customHeight="1">
      <c r="A1158" s="826" t="str">
        <f>A908</f>
        <v>Cows' milk sales - season 2</v>
      </c>
      <c r="B1158" s="1197"/>
      <c r="C1158" s="1229"/>
      <c r="D1158" s="1229"/>
      <c r="E1158" s="1229"/>
      <c r="F1158" s="1229"/>
      <c r="G1158" s="826"/>
      <c r="H1158" s="1230">
        <f>IF(C$1111=0,0,MAX(SUM(C908,M908)/C$1111,SUM(C908)/C$1111))</f>
        <v>0</v>
      </c>
      <c r="I1158" s="1230">
        <f>IF(D$1111=0,0,MAX(SUM(D908,N908)/D$1111,SUM(D908)/D$1111))</f>
        <v>0</v>
      </c>
      <c r="J1158" s="1230">
        <f>IF(E$1111=0,0,MAX(SUM(E908,O908)/E$1111,SUM(E908)/E$1111))</f>
        <v>0</v>
      </c>
      <c r="K1158" s="1230">
        <f>IF(F$1111=0,0,MAX(SUM(F908,P908)/F$1111,SUM(F908)/F$1111))</f>
        <v>0</v>
      </c>
      <c r="L1158" s="44"/>
      <c r="M1158" s="44"/>
      <c r="N1158" s="1234" t="str">
        <f>IF(OR(SUM((H1158&gt;C$1109),(J1158&gt;C$1109),(I1158&gt;C$1109),(K1158&gt;C$1109))&gt;1,H1158&gt;C$1109*2,J1158&gt;C$1109*2,I1158&gt;C$1109*2,K1158&gt;C$1109*2),"yes","")</f>
        <v/>
      </c>
      <c r="O1158" s="826"/>
      <c r="P1158" s="826"/>
      <c r="Q1158" s="15"/>
      <c r="R1158" s="435"/>
      <c r="S1158" s="46"/>
      <c r="T1158" s="46"/>
      <c r="U1158" s="1046">
        <v>1158</v>
      </c>
      <c r="V1158" s="46"/>
    </row>
    <row r="1159" spans="1:22" ht="15.75" customHeight="1">
      <c r="A1159" s="44" t="str">
        <f>A824</f>
        <v>Sheep's milk - season 1</v>
      </c>
      <c r="B1159" s="1197"/>
      <c r="C1159" s="1229">
        <f>IF(C$1111=0,0,MAX((SUM(C824,M824)+SUM(C910,M910,C912,M912)/C$1111),(SUM(C824)+SUM(C910,C912)/C$1111)))</f>
        <v>0</v>
      </c>
      <c r="D1159" s="1229">
        <f>IF(D$1111=0,0,MAX((SUM(D824,N824)+SUM(D910,N910,D912,N912)/D$1111),(SUM(D824)+SUM(D910,D912)/D$1111)))</f>
        <v>0</v>
      </c>
      <c r="E1159" s="1229">
        <f>IF(E$1111=0,0,MAX((SUM(E824,O824)+SUM(E910,O910,E912,O912)/E$1111),(SUM(E824)+SUM(E910,E912)/E$1111)))</f>
        <v>0</v>
      </c>
      <c r="F1159" s="1229">
        <f>IF(F$1111=0,0,MAX((SUM(F824,P824)+SUM(F910,P910,F912,P912)/F$1111),(SUM(F824)+SUM(F910,F912)/F$1111)))</f>
        <v>0</v>
      </c>
      <c r="G1159" s="826"/>
      <c r="H1159" s="1230"/>
      <c r="I1159" s="1230"/>
      <c r="J1159" s="1230"/>
      <c r="K1159" s="1230"/>
      <c r="L1159" s="44"/>
      <c r="M1159" s="1220" t="str">
        <f>IF(OR(SUM((C1159&gt;C$1109),(E1159&gt;C$1109),(D1159&gt;C$1109),(F1159&gt;C$1109))&gt;1,C1159&gt;C$1109*2,E1159&gt;C$1109*2,D1159&gt;C$1109*2,F1159&gt;C$1109*2),"yes","")</f>
        <v/>
      </c>
      <c r="N1159" s="1234"/>
      <c r="O1159" s="826"/>
      <c r="P1159" s="826"/>
      <c r="Q1159" s="15"/>
      <c r="R1159" s="435"/>
      <c r="S1159" s="46"/>
      <c r="T1159" s="46"/>
      <c r="U1159" s="1046">
        <v>1159</v>
      </c>
      <c r="V1159" s="46"/>
    </row>
    <row r="1160" spans="1:22" ht="15.75" customHeight="1">
      <c r="A1160" s="826" t="str">
        <f>A910</f>
        <v>Sheep's milk sales - season 1</v>
      </c>
      <c r="B1160" s="1197"/>
      <c r="C1160" s="1229"/>
      <c r="D1160" s="1229"/>
      <c r="E1160" s="1229"/>
      <c r="F1160" s="1229"/>
      <c r="G1160" s="826"/>
      <c r="H1160" s="1230">
        <f>IF(C$1111=0,0,MAX(SUM(C910,M910)/C$1111,SUM(C910)/C$1111))</f>
        <v>0</v>
      </c>
      <c r="I1160" s="1230">
        <f>IF(D$1111=0,0,MAX(SUM(D910,N910)/D$1111,SUM(D910)/D$1111))</f>
        <v>0</v>
      </c>
      <c r="J1160" s="1230">
        <f>IF(E$1111=0,0,MAX(SUM(E910,O910)/E$1111,SUM(E910)/E$1111))</f>
        <v>0</v>
      </c>
      <c r="K1160" s="1230">
        <f>IF(F$1111=0,0,MAX(SUM(F910,P910)/F$1111,SUM(F910)/F$1111))</f>
        <v>0</v>
      </c>
      <c r="L1160" s="44"/>
      <c r="M1160" s="44"/>
      <c r="N1160" s="1234" t="str">
        <f>IF(OR(SUM((H1160&gt;C$1109),(J1160&gt;C$1109),(I1160&gt;C$1109),(K1160&gt;C$1109))&gt;1,H1160&gt;C$1109*2,J1160&gt;C$1109*2,I1160&gt;C$1109*2,K1160&gt;C$1109*2),"yes","")</f>
        <v/>
      </c>
      <c r="O1160" s="826"/>
      <c r="P1160" s="826"/>
      <c r="Q1160" s="15"/>
      <c r="R1160" s="435"/>
      <c r="S1160" s="46"/>
      <c r="T1160" s="46"/>
      <c r="U1160" s="1046">
        <v>1160</v>
      </c>
      <c r="V1160" s="46"/>
    </row>
    <row r="1161" spans="1:22" ht="15.75" customHeight="1">
      <c r="A1161" s="826" t="str">
        <f>A912</f>
        <v>Sheep's ghee/butter sales</v>
      </c>
      <c r="B1161" s="1197"/>
      <c r="C1161" s="1229"/>
      <c r="D1161" s="1229"/>
      <c r="E1161" s="1229"/>
      <c r="F1161" s="1229"/>
      <c r="G1161" s="826"/>
      <c r="H1161" s="1230">
        <f>IF(C$1111=0,0,MAX(SUM(C912,M912)/C$1111,SUM(C912)/C$1111))</f>
        <v>0</v>
      </c>
      <c r="I1161" s="1230">
        <f>IF(D$1111=0,0,MAX(SUM(D912,N912)/D$1111,SUM(D912)/D$1111))</f>
        <v>0</v>
      </c>
      <c r="J1161" s="1230">
        <f>IF(E$1111=0,0,MAX(SUM(E912,O912)/E$1111,SUM(E912)/E$1111))</f>
        <v>0</v>
      </c>
      <c r="K1161" s="1230">
        <f>IF(F$1111=0,0,MAX(SUM(F912,P912)/F$1111,SUM(F912)/F$1111))</f>
        <v>0</v>
      </c>
      <c r="L1161" s="44"/>
      <c r="M1161" s="1220"/>
      <c r="N1161" s="1234" t="str">
        <f>IF(OR(SUM((H1161&gt;C$1109),(J1161&gt;C$1109),(I1161&gt;C$1109),(K1161&gt;C$1109))&gt;1,H1161&gt;C$1109*2,J1161&gt;C$1109*2,I1161&gt;C$1109*2,K1161&gt;C$1109*2),"yes","")</f>
        <v/>
      </c>
      <c r="O1161" s="826"/>
      <c r="P1161" s="826"/>
      <c r="Q1161" s="15"/>
      <c r="R1161" s="435"/>
      <c r="S1161" s="46"/>
      <c r="T1161" s="46"/>
      <c r="U1161" s="1046">
        <v>1161</v>
      </c>
      <c r="V1161" s="46"/>
    </row>
    <row r="1162" spans="1:22" ht="15.75" customHeight="1">
      <c r="A1162" s="44" t="str">
        <f>A825</f>
        <v>Sheep's milk - season 2</v>
      </c>
      <c r="B1162" s="1197"/>
      <c r="C1162" s="1229">
        <f>IF(C$1111=0,0,MAX((SUM(C825,M825)+SUM(C911,M911)/C$1111),(SUM(C825)+SUM(C911)/C$1111)))</f>
        <v>0</v>
      </c>
      <c r="D1162" s="1229">
        <f>IF(D$1111=0,0,MAX((SUM(D825,N825)+SUM(D911,N911)/D$1111),(SUM(D825)+SUM(D911)/D$1111)))</f>
        <v>0</v>
      </c>
      <c r="E1162" s="1229">
        <f>IF(E$1111=0,0,MAX((SUM(E825,O825)+SUM(E911,O911)/E$1111),(SUM(E825)+SUM(E911)/E$1111)))</f>
        <v>0</v>
      </c>
      <c r="F1162" s="1229">
        <f>IF(F$1111=0,0,MAX((SUM(F825,P825)+SUM(F911,P911)/F$1111),(SUM(F825)+SUM(F911)/F$1111)))</f>
        <v>0</v>
      </c>
      <c r="G1162" s="826"/>
      <c r="H1162" s="1230"/>
      <c r="I1162" s="1230"/>
      <c r="J1162" s="1230"/>
      <c r="K1162" s="1230"/>
      <c r="L1162" s="44"/>
      <c r="M1162" s="1220" t="str">
        <f>IF(OR(SUM((C1162&gt;C$1109),(E1162&gt;C$1109),(D1162&gt;C$1109),(F1162&gt;C$1109))&gt;1,C1162&gt;C$1109*2,E1162&gt;C$1109*2,D1162&gt;C$1109*2,F1162&gt;C$1109*2),"yes","")</f>
        <v/>
      </c>
      <c r="N1162" s="1234"/>
      <c r="O1162" s="826"/>
      <c r="P1162" s="826"/>
      <c r="Q1162" s="15"/>
      <c r="R1162" s="435"/>
      <c r="S1162" s="46"/>
      <c r="T1162" s="46"/>
      <c r="U1162" s="1046">
        <v>1162</v>
      </c>
      <c r="V1162" s="46"/>
    </row>
    <row r="1163" spans="1:22" ht="15.75" customHeight="1">
      <c r="A1163" s="826" t="str">
        <f>A911</f>
        <v>Sheep's milk sales - season 2</v>
      </c>
      <c r="B1163" s="1197"/>
      <c r="C1163" s="1229"/>
      <c r="D1163" s="1229"/>
      <c r="E1163" s="1229"/>
      <c r="F1163" s="1229"/>
      <c r="G1163" s="826"/>
      <c r="H1163" s="1230">
        <f>IF(C$1111=0,0,MAX(SUM(C911,M911)/C$1111,SUM(C911)/C$1111))</f>
        <v>0</v>
      </c>
      <c r="I1163" s="1230">
        <f>IF(D$1111=0,0,MAX(SUM(D911,N911)/D$1111,SUM(D911)/D$1111))</f>
        <v>0</v>
      </c>
      <c r="J1163" s="1230">
        <f>IF(E$1111=0,0,MAX(SUM(E911,O911)/E$1111,SUM(E911)/E$1111))</f>
        <v>0</v>
      </c>
      <c r="K1163" s="1230">
        <f>IF(F$1111=0,0,MAX(SUM(F911,P911)/F$1111,SUM(F911)/F$1111))</f>
        <v>0</v>
      </c>
      <c r="L1163" s="44"/>
      <c r="M1163" s="44"/>
      <c r="N1163" s="1234" t="str">
        <f>IF(OR(SUM((H1163&gt;C$1109),(J1163&gt;C$1109),(I1163&gt;C$1109),(K1163&gt;C$1109))&gt;1,H1163&gt;C$1109*2,J1163&gt;C$1109*2,I1163&gt;C$1109*2,K1163&gt;C$1109*2),"yes","")</f>
        <v/>
      </c>
      <c r="O1163" s="826"/>
      <c r="P1163" s="826"/>
      <c r="Q1163" s="15"/>
      <c r="R1163" s="435"/>
      <c r="S1163" s="46"/>
      <c r="T1163" s="46"/>
      <c r="U1163" s="1046">
        <v>1163</v>
      </c>
      <c r="V1163" s="46"/>
    </row>
    <row r="1164" spans="1:22" ht="15.75" customHeight="1">
      <c r="A1164" s="44" t="str">
        <f>A826</f>
        <v>Goats' milk - season 1</v>
      </c>
      <c r="B1164" s="1197"/>
      <c r="C1164" s="1229">
        <f>IF(C$1111=0,0,MAX((SUM(C826,M826)+SUM(C913,M913,C915,M915)/C$1111),(SUM(C826)+SUM(C913,C915)/C$1111)))</f>
        <v>0</v>
      </c>
      <c r="D1164" s="1229">
        <f>IF(D$1111=0,0,MAX((SUM(D826,N826)+SUM(D913,N913,D915,N915)/D$1111),(SUM(D826)+SUM(D913,D915)/D$1111)))</f>
        <v>0</v>
      </c>
      <c r="E1164" s="1229">
        <f>IF(E$1111=0,0,MAX((SUM(E826,O826)+SUM(E913,O913,E915,O915)/E$1111),(SUM(E826)+SUM(E913,E915)/E$1111)))</f>
        <v>0</v>
      </c>
      <c r="F1164" s="1229">
        <f>IF(F$1111=0,0,MAX((SUM(F826,P826)+SUM(F913,P913,F915,P915)/F$1111),(SUM(F826)+SUM(F913,F915)/F$1111)))</f>
        <v>0</v>
      </c>
      <c r="G1164" s="826"/>
      <c r="H1164" s="1230"/>
      <c r="I1164" s="1230"/>
      <c r="J1164" s="1230"/>
      <c r="K1164" s="1230"/>
      <c r="L1164" s="44"/>
      <c r="M1164" s="1220" t="str">
        <f>IF(OR(SUM((C1164&gt;C$1109),(E1164&gt;C$1109),(D1164&gt;C$1109),(F1164&gt;C$1109))&gt;1,C1164&gt;C$1109*2,E1164&gt;C$1109*2,D1164&gt;C$1109*2,F1164&gt;C$1109*2),"yes","")</f>
        <v/>
      </c>
      <c r="N1164" s="1234"/>
      <c r="O1164" s="826"/>
      <c r="P1164" s="826"/>
      <c r="Q1164" s="15"/>
      <c r="R1164" s="435"/>
      <c r="S1164" s="46"/>
      <c r="T1164" s="46"/>
      <c r="U1164" s="1046">
        <v>1164</v>
      </c>
      <c r="V1164" s="46"/>
    </row>
    <row r="1165" spans="1:22" ht="15.75" customHeight="1">
      <c r="A1165" s="826" t="str">
        <f>A913</f>
        <v>Goats' milk sales - season 1</v>
      </c>
      <c r="B1165" s="1197"/>
      <c r="C1165" s="1229"/>
      <c r="D1165" s="1229"/>
      <c r="E1165" s="1229"/>
      <c r="F1165" s="1229"/>
      <c r="G1165" s="826"/>
      <c r="H1165" s="1230">
        <f>IF(C$1111=0,0,MAX(SUM(C913,M913)/C$1111,SUM(C913)/C$1111))</f>
        <v>0</v>
      </c>
      <c r="I1165" s="1230">
        <f>IF(D$1111=0,0,MAX(SUM(D913,N913)/D$1111,SUM(D913)/D$1111))</f>
        <v>0</v>
      </c>
      <c r="J1165" s="1230">
        <f>IF(E$1111=0,0,MAX(SUM(E913,O913)/E$1111,SUM(E913)/E$1111))</f>
        <v>0</v>
      </c>
      <c r="K1165" s="1230">
        <f>IF(F$1111=0,0,MAX(SUM(F913,P913)/F$1111,SUM(F913)/F$1111))</f>
        <v>0</v>
      </c>
      <c r="L1165" s="44"/>
      <c r="M1165" s="44"/>
      <c r="N1165" s="1234" t="str">
        <f>IF(OR(SUM((H1165&gt;C$1109),(J1165&gt;C$1109),(I1165&gt;C$1109),(K1165&gt;C$1109))&gt;1,H1165&gt;C$1109*2,J1165&gt;C$1109*2,I1165&gt;C$1109*2,K1165&gt;C$1109*2),"yes","")</f>
        <v/>
      </c>
      <c r="O1165" s="826"/>
      <c r="P1165" s="826"/>
      <c r="Q1165" s="15"/>
      <c r="R1165" s="435"/>
      <c r="S1165" s="46"/>
      <c r="T1165" s="46"/>
      <c r="U1165" s="1046">
        <v>1165</v>
      </c>
      <c r="V1165" s="46"/>
    </row>
    <row r="1166" spans="1:22" ht="15.75" customHeight="1">
      <c r="A1166" s="826" t="str">
        <f>A915</f>
        <v>Goats' ghee/butter sales</v>
      </c>
      <c r="B1166" s="1197"/>
      <c r="C1166" s="1229"/>
      <c r="D1166" s="1229"/>
      <c r="E1166" s="1229"/>
      <c r="F1166" s="1229"/>
      <c r="G1166" s="826"/>
      <c r="H1166" s="1230">
        <f>IF(C$1111=0,0,MAX(SUM(C915,M915)/C$1111,SUM(C915)/C$1111))</f>
        <v>0</v>
      </c>
      <c r="I1166" s="1230">
        <f>IF(D$1111=0,0,MAX(SUM(D915,N915)/D$1111,SUM(D915)/D$1111))</f>
        <v>0</v>
      </c>
      <c r="J1166" s="1230">
        <f>IF(E$1111=0,0,MAX(SUM(E915,O915)/E$1111,SUM(E915)/E$1111))</f>
        <v>0</v>
      </c>
      <c r="K1166" s="1230">
        <f>IF(F$1111=0,0,MAX(SUM(F915,P915)/F$1111,SUM(F915)/F$1111))</f>
        <v>0</v>
      </c>
      <c r="L1166" s="44"/>
      <c r="M1166" s="1220"/>
      <c r="N1166" s="1234" t="str">
        <f>IF(OR(SUM((H1166&gt;C$1109),(J1166&gt;C$1109),(I1166&gt;C$1109),(K1166&gt;C$1109))&gt;1,H1166&gt;C$1109*2,J1166&gt;C$1109*2,I1166&gt;C$1109*2,K1166&gt;C$1109*2),"yes","")</f>
        <v/>
      </c>
      <c r="O1166" s="826"/>
      <c r="P1166" s="826"/>
      <c r="Q1166" s="15"/>
      <c r="R1166" s="435"/>
      <c r="S1166" s="46"/>
      <c r="T1166" s="46"/>
      <c r="U1166" s="1046">
        <v>1166</v>
      </c>
      <c r="V1166" s="46"/>
    </row>
    <row r="1167" spans="1:22" ht="15.75" customHeight="1">
      <c r="A1167" s="44" t="str">
        <f>A827</f>
        <v>Goats' milk - season 2</v>
      </c>
      <c r="B1167" s="1197"/>
      <c r="C1167" s="1229">
        <f>IF(C$1111=0,0,MAX((SUM(C827,M827)+SUM(C914,M914)/C$1111),(SUM(C827)+SUM(C914)/C$1111)))</f>
        <v>0</v>
      </c>
      <c r="D1167" s="1229">
        <f>IF(D$1111=0,0,MAX((SUM(D827,N827)+SUM(D914,N914)/D$1111),(SUM(D827)+SUM(D914)/D$1111)))</f>
        <v>0</v>
      </c>
      <c r="E1167" s="1229">
        <f>IF(E$1111=0,0,MAX((SUM(E827,O827)+SUM(E914,O914)/E$1111),(SUM(E827)+SUM(E914)/E$1111)))</f>
        <v>0</v>
      </c>
      <c r="F1167" s="1229">
        <f>IF(F$1111=0,0,MAX((SUM(F827,P827)+SUM(F914,P914)/F$1111),(SUM(F827)+SUM(F914)/F$1111)))</f>
        <v>0</v>
      </c>
      <c r="G1167" s="826"/>
      <c r="H1167" s="1230"/>
      <c r="I1167" s="1230"/>
      <c r="J1167" s="1230"/>
      <c r="K1167" s="1230"/>
      <c r="L1167" s="44"/>
      <c r="M1167" s="1220" t="str">
        <f>IF(OR(SUM((C1167&gt;C$1109),(E1167&gt;C$1109),(D1167&gt;C$1109),(F1167&gt;C$1109))&gt;1,C1167&gt;C$1109*2,E1167&gt;C$1109*2,D1167&gt;C$1109*2,F1167&gt;C$1109*2),"yes","")</f>
        <v/>
      </c>
      <c r="N1167" s="1234"/>
      <c r="O1167" s="826"/>
      <c r="P1167" s="826"/>
      <c r="Q1167" s="15"/>
      <c r="R1167" s="435"/>
      <c r="S1167" s="46"/>
      <c r="T1167" s="46"/>
      <c r="U1167" s="1046">
        <v>1167</v>
      </c>
      <c r="V1167" s="46"/>
    </row>
    <row r="1168" spans="1:22" ht="15.75" customHeight="1">
      <c r="A1168" s="826" t="str">
        <f>A914</f>
        <v>Goats' milk sales - season 2</v>
      </c>
      <c r="B1168" s="1197"/>
      <c r="C1168" s="1229"/>
      <c r="D1168" s="1229"/>
      <c r="E1168" s="1229"/>
      <c r="F1168" s="1229"/>
      <c r="G1168" s="826"/>
      <c r="H1168" s="1230">
        <f>IF(C$1111=0,0,MAX(SUM(C914,M914)/C$1111,SUM(C914)/C$1111))</f>
        <v>0</v>
      </c>
      <c r="I1168" s="1230">
        <f>IF(D$1111=0,0,MAX(SUM(D914,N914)/D$1111,SUM(D914)/D$1111))</f>
        <v>0</v>
      </c>
      <c r="J1168" s="1230">
        <f>IF(E$1111=0,0,MAX(SUM(E914,O914)/E$1111,SUM(E914)/E$1111))</f>
        <v>0</v>
      </c>
      <c r="K1168" s="1230">
        <f>IF(F$1111=0,0,MAX(SUM(F914,P914)/F$1111,SUM(F914)/F$1111))</f>
        <v>0</v>
      </c>
      <c r="L1168" s="44"/>
      <c r="M1168" s="44"/>
      <c r="N1168" s="1234" t="str">
        <f>IF(OR(SUM((H1168&gt;C$1109),(J1168&gt;C$1109),(I1168&gt;C$1109),(K1168&gt;C$1109))&gt;1,H1168&gt;C$1109*2,J1168&gt;C$1109*2,I1168&gt;C$1109*2,K1168&gt;C$1109*2),"yes","")</f>
        <v/>
      </c>
      <c r="O1168" s="826"/>
      <c r="P1168" s="826"/>
      <c r="Q1168" s="15"/>
      <c r="R1168" s="435"/>
      <c r="S1168" s="46"/>
      <c r="T1168" s="46"/>
      <c r="U1168" s="1046">
        <v>1168</v>
      </c>
      <c r="V1168" s="46"/>
    </row>
    <row r="1169" spans="1:22" ht="15.75" customHeight="1">
      <c r="A1169" s="1231" t="str">
        <f>A828</f>
        <v>Own meat</v>
      </c>
      <c r="B1169" s="826"/>
      <c r="C1169" s="1229">
        <f>MAX(SUM(C828,M828),SUM(C828))</f>
        <v>5.906425124533001E-3</v>
      </c>
      <c r="D1169" s="1229">
        <f>MAX(SUM(D828,N828),SUM(D828))</f>
        <v>2.6171573396637608E-2</v>
      </c>
      <c r="E1169" s="1229">
        <f>MAX(SUM(E828,O828),SUM(E828))</f>
        <v>4.6436721668742222E-2</v>
      </c>
      <c r="F1169" s="1229">
        <f>MAX(SUM(F828,P828),SUM(F828))</f>
        <v>6.942878268991283E-2</v>
      </c>
      <c r="G1169" s="826"/>
      <c r="H1169" s="46"/>
      <c r="I1169" s="46"/>
      <c r="J1169" s="46"/>
      <c r="K1169" s="46"/>
      <c r="L1169" s="44"/>
      <c r="M1169" s="1220" t="str">
        <f t="shared" ref="M1169:M1175" si="323">IF(OR(SUM((C1169&gt;C$1109),(D1169&gt;C$1109),(E1169&gt;C$1109),(F1169&gt;C$1109))&gt;1,C1169&gt;C$1109*2,D1169&gt;C$1109*2,E1169&gt;C$1109*2,F1169&gt;C$1109*2),"yes","")</f>
        <v/>
      </c>
      <c r="N1169" s="1237"/>
      <c r="O1169" s="826"/>
      <c r="P1169" s="826"/>
      <c r="Q1169" s="15"/>
      <c r="R1169" s="435"/>
      <c r="S1169" s="46"/>
      <c r="T1169" s="46"/>
      <c r="U1169" s="1046">
        <v>1169</v>
      </c>
      <c r="V1169" s="46"/>
    </row>
    <row r="1170" spans="1:22" ht="15.75" customHeight="1">
      <c r="A1170" s="1231" t="str">
        <f>A854</f>
        <v>Labour: Land clearing, construction, herding, slaughtering</v>
      </c>
      <c r="B1170" s="826"/>
      <c r="C1170" s="1229">
        <f t="shared" ref="C1170:F1172" si="324">MAX(SUM(C854,M854),SUM(C854))</f>
        <v>0</v>
      </c>
      <c r="D1170" s="1229">
        <f t="shared" si="324"/>
        <v>5.6779890410958905E-2</v>
      </c>
      <c r="E1170" s="1229">
        <f t="shared" si="324"/>
        <v>0</v>
      </c>
      <c r="F1170" s="1229">
        <f t="shared" si="324"/>
        <v>0</v>
      </c>
      <c r="G1170" s="826"/>
      <c r="H1170" s="46"/>
      <c r="I1170" s="46"/>
      <c r="J1170" s="46"/>
      <c r="K1170" s="46"/>
      <c r="L1170" s="44"/>
      <c r="M1170" s="1220" t="str">
        <f t="shared" si="323"/>
        <v/>
      </c>
      <c r="N1170" s="1237"/>
      <c r="O1170" s="826"/>
      <c r="P1170" s="826"/>
      <c r="Q1170" s="15"/>
      <c r="R1170" s="435"/>
      <c r="S1170" s="46"/>
      <c r="T1170" s="46"/>
      <c r="U1170" s="1046">
        <v>1170</v>
      </c>
      <c r="V1170" s="46"/>
    </row>
    <row r="1171" spans="1:22" ht="15.75" customHeight="1">
      <c r="A1171" s="1231" t="str">
        <f>A855</f>
        <v>Labour: Weeding</v>
      </c>
      <c r="B1171" s="826"/>
      <c r="C1171" s="1229">
        <f t="shared" si="324"/>
        <v>0</v>
      </c>
      <c r="D1171" s="1229">
        <f t="shared" si="324"/>
        <v>1.8926630136986301E-2</v>
      </c>
      <c r="E1171" s="1229">
        <f t="shared" si="324"/>
        <v>0</v>
      </c>
      <c r="F1171" s="1229">
        <f t="shared" si="324"/>
        <v>0</v>
      </c>
      <c r="G1171" s="826"/>
      <c r="H1171" s="46"/>
      <c r="I1171" s="46"/>
      <c r="J1171" s="46"/>
      <c r="K1171" s="46"/>
      <c r="L1171" s="44"/>
      <c r="M1171" s="1220" t="str">
        <f t="shared" si="323"/>
        <v/>
      </c>
      <c r="N1171" s="1237"/>
      <c r="O1171" s="826"/>
      <c r="P1171" s="826"/>
      <c r="Q1171" s="15"/>
      <c r="R1171" s="435"/>
      <c r="S1171" s="46"/>
      <c r="T1171" s="46"/>
      <c r="U1171" s="1046">
        <v>1171</v>
      </c>
      <c r="V1171" s="46"/>
    </row>
    <row r="1172" spans="1:22" ht="15.75" customHeight="1">
      <c r="A1172" s="1231" t="str">
        <f>A856</f>
        <v>Labour: Harvesting</v>
      </c>
      <c r="B1172" s="826"/>
      <c r="C1172" s="1229">
        <f t="shared" si="324"/>
        <v>0</v>
      </c>
      <c r="D1172" s="1229">
        <f t="shared" si="324"/>
        <v>0</v>
      </c>
      <c r="E1172" s="1229">
        <f t="shared" si="324"/>
        <v>0</v>
      </c>
      <c r="F1172" s="1229">
        <f t="shared" si="324"/>
        <v>0</v>
      </c>
      <c r="G1172" s="826"/>
      <c r="H1172" s="46"/>
      <c r="I1172" s="46"/>
      <c r="J1172" s="46"/>
      <c r="K1172" s="46"/>
      <c r="L1172" s="44"/>
      <c r="M1172" s="1220" t="str">
        <f t="shared" si="323"/>
        <v/>
      </c>
      <c r="N1172" s="1237"/>
      <c r="O1172" s="826"/>
      <c r="P1172" s="826"/>
      <c r="Q1172" s="15"/>
      <c r="R1172" s="435"/>
      <c r="S1172" s="46"/>
      <c r="T1172" s="46"/>
      <c r="U1172" s="1046">
        <v>1172</v>
      </c>
      <c r="V1172" s="46"/>
    </row>
    <row r="1173" spans="1:22" ht="15.75" customHeight="1">
      <c r="A1173" s="1231" t="str">
        <f>A896</f>
        <v>Gifts/remittances: cereal</v>
      </c>
      <c r="B1173" s="826"/>
      <c r="C1173" s="1229">
        <f t="shared" ref="C1173:F1175" si="325">MAX(SUM(C896,M896),SUM(C896))</f>
        <v>0</v>
      </c>
      <c r="D1173" s="1229">
        <f t="shared" si="325"/>
        <v>0</v>
      </c>
      <c r="E1173" s="1229">
        <f t="shared" si="325"/>
        <v>1.7694834993773351E-2</v>
      </c>
      <c r="F1173" s="1229">
        <f t="shared" si="325"/>
        <v>5.3477723536737236E-2</v>
      </c>
      <c r="G1173" s="826"/>
      <c r="H1173" s="46"/>
      <c r="I1173" s="46"/>
      <c r="J1173" s="46"/>
      <c r="K1173" s="46"/>
      <c r="L1173" s="44"/>
      <c r="M1173" s="1220" t="str">
        <f t="shared" si="323"/>
        <v/>
      </c>
      <c r="N1173" s="1237"/>
      <c r="O1173" s="826"/>
      <c r="P1173" s="826"/>
      <c r="Q1173" s="15"/>
      <c r="R1173" s="435"/>
      <c r="S1173" s="46"/>
      <c r="T1173" s="46"/>
      <c r="U1173" s="1046">
        <v>1173</v>
      </c>
      <c r="V1173" s="46"/>
    </row>
    <row r="1174" spans="1:22" ht="15.75" customHeight="1">
      <c r="A1174" s="1231" t="str">
        <f>A897</f>
        <v>Gifts/remittances: oil</v>
      </c>
      <c r="B1174" s="826"/>
      <c r="C1174" s="1229">
        <f t="shared" si="325"/>
        <v>0</v>
      </c>
      <c r="D1174" s="1229">
        <f t="shared" si="325"/>
        <v>0</v>
      </c>
      <c r="E1174" s="1229">
        <f t="shared" si="325"/>
        <v>0</v>
      </c>
      <c r="F1174" s="1229">
        <f t="shared" si="325"/>
        <v>0</v>
      </c>
      <c r="G1174" s="826"/>
      <c r="H1174" s="46"/>
      <c r="I1174" s="46"/>
      <c r="J1174" s="46"/>
      <c r="K1174" s="46"/>
      <c r="L1174" s="44"/>
      <c r="M1174" s="1220" t="str">
        <f t="shared" si="323"/>
        <v/>
      </c>
      <c r="N1174" s="1237"/>
      <c r="O1174" s="826"/>
      <c r="P1174" s="826"/>
      <c r="Q1174" s="15"/>
      <c r="R1174" s="435"/>
      <c r="S1174" s="46"/>
      <c r="T1174" s="46"/>
      <c r="U1174" s="1046">
        <v>1174</v>
      </c>
      <c r="V1174" s="46"/>
    </row>
    <row r="1175" spans="1:22" ht="15.75" customHeight="1">
      <c r="A1175" s="1231" t="str">
        <f>A898</f>
        <v>Gifts/remittances: Other</v>
      </c>
      <c r="B1175" s="826"/>
      <c r="C1175" s="1229">
        <f t="shared" si="325"/>
        <v>0</v>
      </c>
      <c r="D1175" s="1229">
        <f t="shared" si="325"/>
        <v>0</v>
      </c>
      <c r="E1175" s="1229">
        <f t="shared" si="325"/>
        <v>2.3069738480697384E-2</v>
      </c>
      <c r="F1175" s="1229">
        <f t="shared" si="325"/>
        <v>2.5633042756330427E-2</v>
      </c>
      <c r="G1175" s="826"/>
      <c r="H1175" s="46"/>
      <c r="I1175" s="46"/>
      <c r="J1175" s="46"/>
      <c r="K1175" s="46"/>
      <c r="L1175" s="44"/>
      <c r="M1175" s="1220" t="str">
        <f t="shared" si="323"/>
        <v/>
      </c>
      <c r="N1175" s="1237"/>
      <c r="O1175" s="826"/>
      <c r="P1175" s="826"/>
      <c r="Q1175" s="15"/>
      <c r="R1175" s="435"/>
      <c r="S1175" s="46"/>
      <c r="T1175" s="46"/>
      <c r="U1175" s="1046">
        <v>1175</v>
      </c>
      <c r="V1175" s="46"/>
    </row>
    <row r="1176" spans="1:22" ht="15.75" customHeight="1">
      <c r="A1176" s="1134" t="s">
        <v>312</v>
      </c>
      <c r="B1176" s="826"/>
      <c r="C1176" s="1229"/>
      <c r="D1176" s="1229"/>
      <c r="E1176" s="1229"/>
      <c r="F1176" s="1229"/>
      <c r="G1176" s="826"/>
      <c r="H1176" s="825"/>
      <c r="I1176" s="46"/>
      <c r="J1176" s="46"/>
      <c r="K1176" s="825"/>
      <c r="L1176" s="826"/>
      <c r="M1176" s="1239" t="s">
        <v>549</v>
      </c>
      <c r="N1176" s="1236" t="s">
        <v>352</v>
      </c>
      <c r="O1176" s="826"/>
      <c r="P1176" s="826"/>
      <c r="Q1176" s="15"/>
      <c r="R1176" s="435"/>
      <c r="S1176" s="46"/>
      <c r="T1176" s="46"/>
      <c r="U1176" s="1046">
        <v>1176</v>
      </c>
      <c r="V1176" s="46"/>
    </row>
    <row r="1177" spans="1:22" ht="15.75" customHeight="1">
      <c r="A1177" s="44" t="str">
        <f>A916</f>
        <v>Egg sales: no. sold</v>
      </c>
      <c r="B1177" s="826"/>
      <c r="C1177" s="1229">
        <f t="shared" ref="C1177:F1179" si="326">IF(C$1111=0,0,MAX(SUM(C916,M916)/C$1111,SUM(C916)/C$1111))</f>
        <v>0</v>
      </c>
      <c r="D1177" s="1229">
        <f t="shared" si="326"/>
        <v>0</v>
      </c>
      <c r="E1177" s="1229">
        <f t="shared" si="326"/>
        <v>0</v>
      </c>
      <c r="F1177" s="1229">
        <f t="shared" si="326"/>
        <v>0</v>
      </c>
      <c r="G1177" s="826"/>
      <c r="H1177" s="46"/>
      <c r="I1177" s="46"/>
      <c r="J1177" s="46"/>
      <c r="K1177" s="825"/>
      <c r="L1177" s="826"/>
      <c r="M1177" s="1220" t="str">
        <f t="shared" ref="M1177:M1201" si="327">IF(OR(SUM((C1177&gt;C$1109),(D1177&gt;C$1109),(E1177&gt;C$1109),(F1177&gt;C$1109))&gt;1,C1177&gt;C$1109*2,D1177&gt;C$1109*2,E1177&gt;C$1109*2,F1177&gt;C$1109*2),"yes","")</f>
        <v/>
      </c>
      <c r="N1177" s="1220" t="str">
        <f t="shared" ref="N1177:N1201" si="328">M1177</f>
        <v/>
      </c>
      <c r="O1177" s="826"/>
      <c r="P1177" s="826"/>
      <c r="Q1177" s="15"/>
      <c r="R1177" s="435"/>
      <c r="S1177" s="46"/>
      <c r="T1177" s="46"/>
      <c r="U1177" s="1046">
        <v>1177</v>
      </c>
      <c r="V1177" s="46"/>
    </row>
    <row r="1178" spans="1:22" ht="15.75" customHeight="1">
      <c r="A1178" s="44" t="str">
        <f>A917</f>
        <v>Pig sales: no sold</v>
      </c>
      <c r="B1178" s="826"/>
      <c r="C1178" s="1229">
        <f t="shared" si="326"/>
        <v>0</v>
      </c>
      <c r="D1178" s="1229">
        <f t="shared" si="326"/>
        <v>0</v>
      </c>
      <c r="E1178" s="1229">
        <f t="shared" si="326"/>
        <v>0</v>
      </c>
      <c r="F1178" s="1229">
        <f t="shared" si="326"/>
        <v>0</v>
      </c>
      <c r="G1178" s="826"/>
      <c r="H1178" s="46"/>
      <c r="I1178" s="46"/>
      <c r="J1178" s="46"/>
      <c r="K1178" s="825"/>
      <c r="L1178" s="826"/>
      <c r="M1178" s="1220" t="str">
        <f t="shared" si="327"/>
        <v/>
      </c>
      <c r="N1178" s="1220" t="str">
        <f t="shared" si="328"/>
        <v/>
      </c>
      <c r="O1178" s="826"/>
      <c r="P1178" s="826"/>
      <c r="Q1178" s="15"/>
      <c r="R1178" s="435"/>
      <c r="S1178" s="46"/>
      <c r="T1178" s="46"/>
      <c r="U1178" s="1046">
        <v>1178</v>
      </c>
      <c r="V1178" s="46"/>
    </row>
    <row r="1179" spans="1:22" ht="15.75" customHeight="1">
      <c r="A1179" s="44" t="str">
        <f>A918</f>
        <v>Other: quantity</v>
      </c>
      <c r="B1179" s="826"/>
      <c r="C1179" s="1229">
        <f t="shared" si="326"/>
        <v>0</v>
      </c>
      <c r="D1179" s="1229">
        <f t="shared" si="326"/>
        <v>0</v>
      </c>
      <c r="E1179" s="1229">
        <f t="shared" si="326"/>
        <v>0</v>
      </c>
      <c r="F1179" s="1229">
        <f t="shared" si="326"/>
        <v>0</v>
      </c>
      <c r="G1179" s="826"/>
      <c r="H1179" s="46"/>
      <c r="I1179" s="46"/>
      <c r="J1179" s="46"/>
      <c r="K1179" s="825"/>
      <c r="L1179" s="826"/>
      <c r="M1179" s="1220" t="str">
        <f t="shared" si="327"/>
        <v/>
      </c>
      <c r="N1179" s="1220" t="str">
        <f t="shared" si="328"/>
        <v/>
      </c>
      <c r="O1179" s="826"/>
      <c r="P1179" s="826"/>
      <c r="Q1179" s="15"/>
      <c r="R1179" s="435"/>
      <c r="S1179" s="46"/>
      <c r="T1179" s="46"/>
      <c r="U1179" s="1046">
        <v>1179</v>
      </c>
      <c r="V1179" s="46"/>
    </row>
    <row r="1180" spans="1:22" ht="15.75" customHeight="1">
      <c r="A1180" s="44" t="str">
        <f t="shared" ref="A1180:A1189" si="329">A920</f>
        <v>Camel sales - export: no. sold</v>
      </c>
      <c r="B1180" s="826"/>
      <c r="C1180" s="1229">
        <f t="shared" ref="C1180:C1189" si="330">IF(C$1111=0,0,MAX(SUM(C920,M920)/C$1111,SUM(C920)/C$1111))</f>
        <v>0</v>
      </c>
      <c r="D1180" s="1229">
        <f t="shared" ref="D1180:D1189" si="331">IF(D$1111=0,0,MAX(SUM(D920,N920)/D$1111,SUM(D920)/D$1111))</f>
        <v>0</v>
      </c>
      <c r="E1180" s="1229">
        <f t="shared" ref="E1180:E1189" si="332">IF(E$1111=0,0,MAX(SUM(E920,O920)/E$1111,SUM(E920)/E$1111))</f>
        <v>0</v>
      </c>
      <c r="F1180" s="1229">
        <f t="shared" ref="F1180:F1189" si="333">IF(F$1111=0,0,MAX(SUM(F920,P920)/F$1111,SUM(F920)/F$1111))</f>
        <v>0</v>
      </c>
      <c r="G1180" s="826"/>
      <c r="H1180" s="46"/>
      <c r="I1180" s="46"/>
      <c r="J1180" s="46"/>
      <c r="K1180" s="825"/>
      <c r="L1180" s="826"/>
      <c r="M1180" s="1220" t="str">
        <f t="shared" si="327"/>
        <v/>
      </c>
      <c r="N1180" s="1220" t="str">
        <f t="shared" si="328"/>
        <v/>
      </c>
      <c r="O1180" s="826"/>
      <c r="P1180" s="826"/>
      <c r="Q1180" s="15"/>
      <c r="R1180" s="435"/>
      <c r="S1180" s="46"/>
      <c r="T1180" s="46"/>
      <c r="U1180" s="1046">
        <v>1180</v>
      </c>
      <c r="V1180" s="46"/>
    </row>
    <row r="1181" spans="1:22" ht="15.75" customHeight="1">
      <c r="A1181" s="44" t="str">
        <f t="shared" si="329"/>
        <v>Camel sales - local: no. sold</v>
      </c>
      <c r="B1181" s="826"/>
      <c r="C1181" s="1229">
        <f t="shared" si="330"/>
        <v>0</v>
      </c>
      <c r="D1181" s="1229">
        <f t="shared" si="331"/>
        <v>0</v>
      </c>
      <c r="E1181" s="1229">
        <f t="shared" si="332"/>
        <v>0</v>
      </c>
      <c r="F1181" s="1229">
        <f t="shared" si="333"/>
        <v>0</v>
      </c>
      <c r="G1181" s="826"/>
      <c r="H1181" s="46"/>
      <c r="I1181" s="46"/>
      <c r="J1181" s="46"/>
      <c r="K1181" s="825"/>
      <c r="L1181" s="826"/>
      <c r="M1181" s="1220" t="str">
        <f t="shared" si="327"/>
        <v/>
      </c>
      <c r="N1181" s="1220" t="str">
        <f t="shared" si="328"/>
        <v/>
      </c>
      <c r="O1181" s="826"/>
      <c r="P1181" s="826"/>
      <c r="Q1181" s="15"/>
      <c r="R1181" s="435"/>
      <c r="S1181" s="46"/>
      <c r="T1181" s="46"/>
      <c r="U1181" s="1046">
        <v>1181</v>
      </c>
      <c r="V1181" s="46"/>
    </row>
    <row r="1182" spans="1:22" ht="15.75" customHeight="1">
      <c r="A1182" s="44" t="str">
        <f t="shared" si="329"/>
        <v>Fattened Ox sales: no. sold</v>
      </c>
      <c r="B1182" s="826"/>
      <c r="C1182" s="1229">
        <f t="shared" si="330"/>
        <v>0</v>
      </c>
      <c r="D1182" s="1229">
        <f t="shared" si="331"/>
        <v>0</v>
      </c>
      <c r="E1182" s="1229">
        <f t="shared" si="332"/>
        <v>0</v>
      </c>
      <c r="F1182" s="1229">
        <f t="shared" si="333"/>
        <v>0</v>
      </c>
      <c r="G1182" s="826"/>
      <c r="H1182" s="46"/>
      <c r="I1182" s="46"/>
      <c r="J1182" s="46"/>
      <c r="K1182" s="825"/>
      <c r="L1182" s="826"/>
      <c r="M1182" s="1220" t="str">
        <f t="shared" si="327"/>
        <v/>
      </c>
      <c r="N1182" s="1220" t="str">
        <f t="shared" si="328"/>
        <v/>
      </c>
      <c r="O1182" s="826"/>
      <c r="P1182" s="826"/>
      <c r="Q1182" s="15"/>
      <c r="R1182" s="435"/>
      <c r="S1182" s="46"/>
      <c r="T1182" s="46"/>
      <c r="U1182" s="1046">
        <v>1182</v>
      </c>
      <c r="V1182" s="46"/>
    </row>
    <row r="1183" spans="1:22" ht="15.75" customHeight="1">
      <c r="A1183" s="44" t="str">
        <f t="shared" si="329"/>
        <v>Cattle sales - export: no. sold</v>
      </c>
      <c r="B1183" s="826"/>
      <c r="C1183" s="1229">
        <f t="shared" si="330"/>
        <v>0</v>
      </c>
      <c r="D1183" s="1229">
        <f t="shared" si="331"/>
        <v>0</v>
      </c>
      <c r="E1183" s="1229">
        <f t="shared" si="332"/>
        <v>0</v>
      </c>
      <c r="F1183" s="1229">
        <f t="shared" si="333"/>
        <v>0</v>
      </c>
      <c r="G1183" s="826"/>
      <c r="H1183" s="46"/>
      <c r="I1183" s="46"/>
      <c r="J1183" s="46"/>
      <c r="K1183" s="825"/>
      <c r="L1183" s="826"/>
      <c r="M1183" s="1220" t="str">
        <f t="shared" si="327"/>
        <v/>
      </c>
      <c r="N1183" s="1220" t="str">
        <f t="shared" si="328"/>
        <v/>
      </c>
      <c r="O1183" s="826"/>
      <c r="P1183" s="826"/>
      <c r="Q1183" s="15"/>
      <c r="R1183" s="435"/>
      <c r="S1183" s="46"/>
      <c r="T1183" s="46"/>
      <c r="U1183" s="1046">
        <v>1183</v>
      </c>
      <c r="V1183" s="46"/>
    </row>
    <row r="1184" spans="1:22" ht="15.75" customHeight="1">
      <c r="A1184" s="44" t="str">
        <f t="shared" si="329"/>
        <v>Cattle sales - local: no. sold</v>
      </c>
      <c r="B1184" s="826"/>
      <c r="C1184" s="1229">
        <f t="shared" si="330"/>
        <v>0</v>
      </c>
      <c r="D1184" s="1229">
        <f t="shared" si="331"/>
        <v>0</v>
      </c>
      <c r="E1184" s="1229">
        <f t="shared" si="332"/>
        <v>0.29491391656288918</v>
      </c>
      <c r="F1184" s="1229">
        <f t="shared" si="333"/>
        <v>1.310728518057285</v>
      </c>
      <c r="G1184" s="826"/>
      <c r="H1184" s="46"/>
      <c r="I1184" s="46"/>
      <c r="J1184" s="46"/>
      <c r="K1184" s="825"/>
      <c r="L1184" s="826"/>
      <c r="M1184" s="1220" t="str">
        <f t="shared" si="327"/>
        <v>yes</v>
      </c>
      <c r="N1184" s="1220" t="str">
        <f t="shared" si="328"/>
        <v>yes</v>
      </c>
      <c r="O1184" s="826"/>
      <c r="P1184" s="826"/>
      <c r="Q1184" s="15"/>
      <c r="R1184" s="435"/>
      <c r="S1184" s="46"/>
      <c r="T1184" s="46"/>
      <c r="U1184" s="1046">
        <v>1184</v>
      </c>
      <c r="V1184" s="46"/>
    </row>
    <row r="1185" spans="1:22" ht="15.75" customHeight="1">
      <c r="A1185" s="44" t="str">
        <f t="shared" si="329"/>
        <v>Goat sales - export: no. sold</v>
      </c>
      <c r="B1185" s="826"/>
      <c r="C1185" s="1229">
        <f t="shared" si="330"/>
        <v>0</v>
      </c>
      <c r="D1185" s="1229">
        <f t="shared" si="331"/>
        <v>0</v>
      </c>
      <c r="E1185" s="1229">
        <f t="shared" si="332"/>
        <v>0</v>
      </c>
      <c r="F1185" s="1229">
        <f t="shared" si="333"/>
        <v>0</v>
      </c>
      <c r="G1185" s="826"/>
      <c r="H1185" s="46"/>
      <c r="I1185" s="46"/>
      <c r="J1185" s="46"/>
      <c r="K1185" s="825"/>
      <c r="L1185" s="826"/>
      <c r="M1185" s="1220" t="str">
        <f t="shared" si="327"/>
        <v/>
      </c>
      <c r="N1185" s="1220" t="str">
        <f t="shared" si="328"/>
        <v/>
      </c>
      <c r="O1185" s="826"/>
      <c r="P1185" s="826"/>
      <c r="Q1185" s="15"/>
      <c r="R1185" s="435"/>
      <c r="S1185" s="46"/>
      <c r="T1185" s="46"/>
      <c r="U1185" s="1046">
        <v>1185</v>
      </c>
      <c r="V1185" s="46"/>
    </row>
    <row r="1186" spans="1:22" ht="15.75" customHeight="1">
      <c r="A1186" s="44" t="str">
        <f t="shared" si="329"/>
        <v>Goat sales - local: no. sold</v>
      </c>
      <c r="B1186" s="826"/>
      <c r="C1186" s="1229">
        <f t="shared" si="330"/>
        <v>0</v>
      </c>
      <c r="D1186" s="1229">
        <f t="shared" si="331"/>
        <v>7.3728479140722294E-2</v>
      </c>
      <c r="E1186" s="1229">
        <f t="shared" si="332"/>
        <v>0.36864239570361146</v>
      </c>
      <c r="F1186" s="1229">
        <f t="shared" si="333"/>
        <v>0.39321855541718553</v>
      </c>
      <c r="G1186" s="826"/>
      <c r="H1186" s="46"/>
      <c r="I1186" s="46"/>
      <c r="J1186" s="46"/>
      <c r="K1186" s="825"/>
      <c r="L1186" s="826"/>
      <c r="M1186" s="1220" t="str">
        <f t="shared" si="327"/>
        <v>yes</v>
      </c>
      <c r="N1186" s="1220" t="str">
        <f t="shared" si="328"/>
        <v>yes</v>
      </c>
      <c r="O1186" s="826"/>
      <c r="P1186" s="826"/>
      <c r="Q1186" s="15"/>
      <c r="R1186" s="435"/>
      <c r="S1186" s="46"/>
      <c r="T1186" s="46"/>
      <c r="U1186" s="1046">
        <v>1186</v>
      </c>
      <c r="V1186" s="46"/>
    </row>
    <row r="1187" spans="1:22" ht="15.75" customHeight="1">
      <c r="A1187" s="44" t="str">
        <f t="shared" si="329"/>
        <v>Sheep sales - export: no. sold</v>
      </c>
      <c r="B1187" s="826"/>
      <c r="C1187" s="1229">
        <f t="shared" si="330"/>
        <v>0</v>
      </c>
      <c r="D1187" s="1229">
        <f t="shared" si="331"/>
        <v>0</v>
      </c>
      <c r="E1187" s="1229">
        <f t="shared" si="332"/>
        <v>0</v>
      </c>
      <c r="F1187" s="1229">
        <f t="shared" si="333"/>
        <v>0</v>
      </c>
      <c r="G1187" s="826"/>
      <c r="H1187" s="46"/>
      <c r="I1187" s="46"/>
      <c r="J1187" s="46"/>
      <c r="K1187" s="825"/>
      <c r="L1187" s="826"/>
      <c r="M1187" s="1220" t="str">
        <f t="shared" si="327"/>
        <v/>
      </c>
      <c r="N1187" s="1220" t="str">
        <f t="shared" si="328"/>
        <v/>
      </c>
      <c r="O1187" s="826"/>
      <c r="P1187" s="826"/>
      <c r="Q1187" s="15"/>
      <c r="R1187" s="435"/>
      <c r="S1187" s="46"/>
      <c r="T1187" s="46"/>
      <c r="U1187" s="1046">
        <v>1187</v>
      </c>
      <c r="V1187" s="46"/>
    </row>
    <row r="1188" spans="1:22" ht="15.75" customHeight="1">
      <c r="A1188" s="44" t="str">
        <f t="shared" si="329"/>
        <v>Sheep sales - local: no. sold</v>
      </c>
      <c r="B1188" s="826"/>
      <c r="C1188" s="1229">
        <f t="shared" si="330"/>
        <v>0</v>
      </c>
      <c r="D1188" s="1229">
        <f t="shared" si="331"/>
        <v>0</v>
      </c>
      <c r="E1188" s="1229">
        <f t="shared" si="332"/>
        <v>0</v>
      </c>
      <c r="F1188" s="1229">
        <f t="shared" si="333"/>
        <v>0</v>
      </c>
      <c r="G1188" s="826"/>
      <c r="H1188" s="46"/>
      <c r="I1188" s="46"/>
      <c r="J1188" s="46"/>
      <c r="K1188" s="825"/>
      <c r="L1188" s="826"/>
      <c r="M1188" s="1220" t="str">
        <f t="shared" si="327"/>
        <v/>
      </c>
      <c r="N1188" s="1220" t="str">
        <f t="shared" si="328"/>
        <v/>
      </c>
      <c r="O1188" s="826"/>
      <c r="P1188" s="826"/>
      <c r="Q1188" s="15"/>
      <c r="R1188" s="435"/>
      <c r="S1188" s="46"/>
      <c r="T1188" s="46"/>
      <c r="U1188" s="1046">
        <v>1188</v>
      </c>
      <c r="V1188" s="46"/>
    </row>
    <row r="1189" spans="1:22" ht="15.75" customHeight="1">
      <c r="A1189" s="44" t="str">
        <f t="shared" si="329"/>
        <v>Chicken sales: no. sold</v>
      </c>
      <c r="B1189" s="826"/>
      <c r="C1189" s="1229">
        <f t="shared" si="330"/>
        <v>0</v>
      </c>
      <c r="D1189" s="1229">
        <f t="shared" si="331"/>
        <v>0</v>
      </c>
      <c r="E1189" s="1229">
        <f t="shared" si="332"/>
        <v>0</v>
      </c>
      <c r="F1189" s="1229">
        <f t="shared" si="333"/>
        <v>7.209006849315068E-2</v>
      </c>
      <c r="G1189" s="826"/>
      <c r="H1189" s="46"/>
      <c r="I1189" s="46"/>
      <c r="J1189" s="46"/>
      <c r="K1189" s="825"/>
      <c r="L1189" s="826"/>
      <c r="M1189" s="1220" t="str">
        <f t="shared" si="327"/>
        <v/>
      </c>
      <c r="N1189" s="1220" t="str">
        <f t="shared" si="328"/>
        <v/>
      </c>
      <c r="O1189" s="826"/>
      <c r="P1189" s="826"/>
      <c r="Q1189" s="15"/>
      <c r="R1189" s="435"/>
      <c r="S1189" s="46"/>
      <c r="T1189" s="46"/>
      <c r="U1189" s="1046">
        <v>1189</v>
      </c>
      <c r="V1189" s="46"/>
    </row>
    <row r="1190" spans="1:22" ht="15.75" customHeight="1">
      <c r="A1190" s="44" t="str">
        <f>A965</f>
        <v>Agricultural cash income -- see Data2</v>
      </c>
      <c r="B1190" s="826"/>
      <c r="C1190" s="1229">
        <f t="shared" ref="C1190:F1192" si="334">IF(C$1111=0,0,MAX(SUM(C965,M965)/C$1111,SUM(C965)/C$1111))</f>
        <v>0</v>
      </c>
      <c r="D1190" s="1229">
        <f t="shared" si="334"/>
        <v>0.16352976673412203</v>
      </c>
      <c r="E1190" s="1229">
        <f t="shared" si="334"/>
        <v>0.11088763262764632</v>
      </c>
      <c r="F1190" s="1229">
        <f t="shared" si="334"/>
        <v>0</v>
      </c>
      <c r="G1190" s="826"/>
      <c r="H1190" s="46"/>
      <c r="I1190" s="46"/>
      <c r="J1190" s="46"/>
      <c r="K1190" s="825"/>
      <c r="L1190" s="826"/>
      <c r="M1190" s="1220" t="str">
        <f t="shared" si="327"/>
        <v>yes</v>
      </c>
      <c r="N1190" s="1220" t="str">
        <f t="shared" si="328"/>
        <v>yes</v>
      </c>
      <c r="O1190" s="826"/>
      <c r="P1190" s="826"/>
      <c r="Q1190" s="1241"/>
      <c r="R1190" s="435"/>
      <c r="S1190" s="46"/>
      <c r="T1190" s="46"/>
      <c r="U1190" s="1046">
        <v>1190</v>
      </c>
      <c r="V1190" s="46"/>
    </row>
    <row r="1191" spans="1:22" ht="15.75" customHeight="1">
      <c r="A1191" s="44" t="str">
        <f>A966</f>
        <v>Construction cash income -- see Data2</v>
      </c>
      <c r="B1191" s="826"/>
      <c r="C1191" s="1229">
        <f t="shared" si="334"/>
        <v>0</v>
      </c>
      <c r="D1191" s="1229">
        <f t="shared" si="334"/>
        <v>0</v>
      </c>
      <c r="E1191" s="1229">
        <f t="shared" si="334"/>
        <v>0</v>
      </c>
      <c r="F1191" s="1229">
        <f t="shared" si="334"/>
        <v>0</v>
      </c>
      <c r="G1191" s="826"/>
      <c r="H1191" s="46"/>
      <c r="I1191" s="46"/>
      <c r="J1191" s="46"/>
      <c r="K1191" s="825"/>
      <c r="L1191" s="826"/>
      <c r="M1191" s="1220" t="str">
        <f t="shared" si="327"/>
        <v/>
      </c>
      <c r="N1191" s="1220" t="str">
        <f t="shared" si="328"/>
        <v/>
      </c>
      <c r="O1191" s="826"/>
      <c r="P1191" s="826"/>
      <c r="Q1191" s="1241"/>
      <c r="R1191" s="435"/>
      <c r="S1191" s="46"/>
      <c r="T1191" s="46"/>
      <c r="U1191" s="1046">
        <v>1191</v>
      </c>
      <c r="V1191" s="46"/>
    </row>
    <row r="1192" spans="1:22" ht="15.75" customHeight="1">
      <c r="A1192" s="44" t="str">
        <f>A967</f>
        <v>Domestic work cash income -- see Data2</v>
      </c>
      <c r="B1192" s="826"/>
      <c r="C1192" s="1229">
        <f t="shared" si="334"/>
        <v>0</v>
      </c>
      <c r="D1192" s="1229">
        <f t="shared" si="334"/>
        <v>0</v>
      </c>
      <c r="E1192" s="1229">
        <f t="shared" si="334"/>
        <v>0</v>
      </c>
      <c r="F1192" s="1229">
        <f t="shared" si="334"/>
        <v>0</v>
      </c>
      <c r="G1192" s="826"/>
      <c r="H1192" s="46"/>
      <c r="I1192" s="46"/>
      <c r="J1192" s="46"/>
      <c r="K1192" s="825"/>
      <c r="L1192" s="826"/>
      <c r="M1192" s="1220" t="str">
        <f t="shared" si="327"/>
        <v/>
      </c>
      <c r="N1192" s="1220" t="str">
        <f t="shared" si="328"/>
        <v/>
      </c>
      <c r="O1192" s="826"/>
      <c r="P1192" s="826"/>
      <c r="Q1192" s="1241"/>
      <c r="R1192" s="435"/>
      <c r="S1192" s="46"/>
      <c r="T1192" s="46"/>
      <c r="U1192" s="1046">
        <v>1192</v>
      </c>
      <c r="V1192" s="46"/>
    </row>
    <row r="1193" spans="1:22" ht="15.75" customHeight="1">
      <c r="A1193" s="1238" t="str">
        <f>A857</f>
        <v>Labour migration: no. people per HH</v>
      </c>
      <c r="B1193" s="826"/>
      <c r="C1193" s="1229">
        <f>IF(C$1111=0,0,MAX((SUM(C857,M857)+SUM(C969,M969)/C$1111),(SUM(C857)+SUM(C969)/C$1111)))</f>
        <v>0</v>
      </c>
      <c r="D1193" s="1229">
        <f>IF(D$1111=0,0,MAX((SUM(D857,N857)+SUM(D969,N969)/D$1111),(SUM(D857)+SUM(D969)/D$1111)))</f>
        <v>0</v>
      </c>
      <c r="E1193" s="1229">
        <f>IF(E$1111=0,0,MAX((SUM(E857,O857)+SUM(E969,O969)/E$1111),(SUM(E857)+SUM(E969)/E$1111)))</f>
        <v>0</v>
      </c>
      <c r="F1193" s="1229">
        <f>IF(F$1111=0,0,MAX((SUM(F857,P857)+SUM(F969,P969)/F$1111),(SUM(F857)+SUM(F969)/F$1111)))</f>
        <v>1.4418013698630137</v>
      </c>
      <c r="G1193" s="826"/>
      <c r="H1193" s="1230">
        <f>IF(C$1111=0,0,MAX(SUM(C969,M969)/C$1111,SUM(C969)/C$1111))</f>
        <v>0</v>
      </c>
      <c r="I1193" s="1230">
        <f>IF(D$1111=0,0,MAX(SUM(D969,N969)/D$1111,SUM(D969)/D$1111))</f>
        <v>0</v>
      </c>
      <c r="J1193" s="1230">
        <f>IF(E$1111=0,0,MAX(SUM(E969,O969)/E$1111,SUM(E969)/E$1111))</f>
        <v>0</v>
      </c>
      <c r="K1193" s="1230">
        <f>IF(F$1111=0,0,MAX(SUM(F969,P969)/F$1111,SUM(F969)/F$1111))</f>
        <v>1.4418013698630137</v>
      </c>
      <c r="L1193" s="44"/>
      <c r="M1193" s="1220" t="str">
        <f t="shared" si="327"/>
        <v>yes</v>
      </c>
      <c r="N1193" s="1220" t="str">
        <f t="shared" si="328"/>
        <v>yes</v>
      </c>
      <c r="O1193" s="826"/>
      <c r="P1193" s="826"/>
      <c r="Q1193" s="15"/>
      <c r="R1193" s="435"/>
      <c r="S1193" s="46"/>
      <c r="T1193" s="46"/>
      <c r="U1193" s="1046">
        <v>1193</v>
      </c>
      <c r="V1193" s="46"/>
    </row>
    <row r="1194" spans="1:22" ht="15.75" customHeight="1">
      <c r="A1194" s="44" t="str">
        <f>A970</f>
        <v>Formal Employment (conservancies, etc.)</v>
      </c>
      <c r="B1194" s="826"/>
      <c r="C1194" s="1229">
        <f>IF(C$1111=0,0,MAX(SUM(C970,M970)/C$1111,SUM(C970)/C$1111))</f>
        <v>0</v>
      </c>
      <c r="D1194" s="1229">
        <f>IF(D$1111=0,0,MAX(SUM(D970,N970)/D$1111,SUM(D970)/D$1111))</f>
        <v>0</v>
      </c>
      <c r="E1194" s="1229">
        <f>IF(E$1111=0,0,MAX(SUM(E970,O970)/E$1111,SUM(E970)/E$1111))</f>
        <v>0</v>
      </c>
      <c r="F1194" s="1229">
        <f>IF(F$1111=0,0,MAX(SUM(F970,P970)/F$1111,SUM(F970)/F$1111))</f>
        <v>3.1142909589041095</v>
      </c>
      <c r="G1194" s="826"/>
      <c r="H1194" s="46"/>
      <c r="I1194" s="46"/>
      <c r="J1194" s="46"/>
      <c r="K1194" s="825"/>
      <c r="L1194" s="826"/>
      <c r="M1194" s="1220" t="str">
        <f t="shared" si="327"/>
        <v>yes</v>
      </c>
      <c r="N1194" s="1220" t="str">
        <f t="shared" si="328"/>
        <v>yes</v>
      </c>
      <c r="O1194" s="826"/>
      <c r="P1194" s="826"/>
      <c r="Q1194" s="15"/>
      <c r="R1194" s="435"/>
      <c r="S1194" s="46"/>
      <c r="T1194" s="46"/>
      <c r="U1194" s="1046">
        <v>1194</v>
      </c>
      <c r="V1194" s="46"/>
    </row>
    <row r="1195" spans="1:22" ht="15.75" customHeight="1">
      <c r="A1195" s="44" t="str">
        <f>A972</f>
        <v>Firewood: no. people per HH</v>
      </c>
      <c r="B1195" s="826"/>
      <c r="C1195" s="1229">
        <f t="shared" ref="C1195:F1196" si="335">IF(C$1111=0,0,MAX(SUM(C972,M972)/C$1111,SUM(C972)/C$1111))</f>
        <v>0</v>
      </c>
      <c r="D1195" s="1229">
        <f t="shared" si="335"/>
        <v>0</v>
      </c>
      <c r="E1195" s="1229">
        <f t="shared" si="335"/>
        <v>0</v>
      </c>
      <c r="F1195" s="1229">
        <f t="shared" si="335"/>
        <v>0</v>
      </c>
      <c r="G1195" s="826"/>
      <c r="H1195" s="46"/>
      <c r="I1195" s="46"/>
      <c r="J1195" s="46"/>
      <c r="K1195" s="825"/>
      <c r="L1195" s="826"/>
      <c r="M1195" s="1220" t="str">
        <f t="shared" si="327"/>
        <v/>
      </c>
      <c r="N1195" s="1220" t="str">
        <f t="shared" si="328"/>
        <v/>
      </c>
      <c r="O1195" s="826"/>
      <c r="P1195" s="826"/>
      <c r="Q1195" s="15"/>
      <c r="R1195" s="435"/>
      <c r="S1195" s="46"/>
      <c r="T1195" s="46"/>
      <c r="U1195" s="1046">
        <v>1195</v>
      </c>
      <c r="V1195" s="46"/>
    </row>
    <row r="1196" spans="1:22" ht="15.75" customHeight="1">
      <c r="A1196" s="44" t="str">
        <f>A973</f>
        <v>Self-employment -- see Data2</v>
      </c>
      <c r="B1196" s="826"/>
      <c r="C1196" s="1229">
        <f t="shared" si="335"/>
        <v>0</v>
      </c>
      <c r="D1196" s="1229">
        <f t="shared" si="335"/>
        <v>0</v>
      </c>
      <c r="E1196" s="1229">
        <f t="shared" si="335"/>
        <v>7.5910842123287664E-2</v>
      </c>
      <c r="F1196" s="1229">
        <f t="shared" si="335"/>
        <v>0</v>
      </c>
      <c r="G1196" s="826"/>
      <c r="H1196" s="46"/>
      <c r="I1196" s="46"/>
      <c r="J1196" s="46"/>
      <c r="K1196" s="825"/>
      <c r="L1196" s="826"/>
      <c r="M1196" s="1220" t="str">
        <f t="shared" si="327"/>
        <v/>
      </c>
      <c r="N1196" s="1220" t="str">
        <f t="shared" si="328"/>
        <v/>
      </c>
      <c r="O1196" s="826"/>
      <c r="P1196" s="826"/>
      <c r="Q1196" s="15"/>
      <c r="R1196" s="435"/>
      <c r="S1196" s="46"/>
      <c r="T1196" s="46"/>
      <c r="U1196" s="1046">
        <v>1196</v>
      </c>
      <c r="V1196" s="46"/>
    </row>
    <row r="1197" spans="1:22" ht="15.75" customHeight="1">
      <c r="A1197" s="44" t="str">
        <f>A975</f>
        <v>Small business -- see Data2</v>
      </c>
      <c r="B1197" s="826"/>
      <c r="C1197" s="1229">
        <f>IF(C$1111=0,0,MAX(SUM(C975,M975)/C$1111,SUM(C975)/C$1111))</f>
        <v>0</v>
      </c>
      <c r="D1197" s="1229">
        <f>IF(D$1111=0,0,MAX(SUM(D975,N975)/D$1111,SUM(D975)/D$1111))</f>
        <v>0</v>
      </c>
      <c r="E1197" s="1229">
        <f>IF(E$1111=0,0,MAX(SUM(E975,O975)/E$1111,SUM(E975)/E$1111))</f>
        <v>0.31850702988792029</v>
      </c>
      <c r="F1197" s="1229">
        <f>IF(F$1111=0,0,MAX(SUM(F975,P975)/F$1111,SUM(F975)/F$1111))</f>
        <v>0</v>
      </c>
      <c r="G1197" s="826"/>
      <c r="H1197" s="46"/>
      <c r="I1197" s="46"/>
      <c r="J1197" s="46"/>
      <c r="K1197" s="825"/>
      <c r="L1197" s="826"/>
      <c r="M1197" s="1220" t="str">
        <f t="shared" si="327"/>
        <v>yes</v>
      </c>
      <c r="N1197" s="1220" t="str">
        <f t="shared" si="328"/>
        <v>yes</v>
      </c>
      <c r="O1197" s="826"/>
      <c r="P1197" s="826"/>
      <c r="Q1197" s="15"/>
      <c r="R1197" s="435"/>
      <c r="S1197" s="46"/>
      <c r="T1197" s="46"/>
      <c r="U1197" s="1046">
        <v>1197</v>
      </c>
      <c r="V1197" s="46"/>
    </row>
    <row r="1198" spans="1:22" ht="15.75" customHeight="1">
      <c r="A1198" s="44" t="str">
        <f>A977</f>
        <v>Social development -- see Data2</v>
      </c>
      <c r="B1198" s="826"/>
      <c r="C1198" s="1229">
        <f>IF(C$1111=0,0,MAX(SUM(C977,M977)/C$1111,SUM(C977)/C$1111))</f>
        <v>3.2470022213574095</v>
      </c>
      <c r="D1198" s="1229">
        <f>IF(D$1111=0,0,MAX(SUM(D977,N977)/D$1111,SUM(D977)/D$1111))</f>
        <v>3.2470022213574095</v>
      </c>
      <c r="E1198" s="1229">
        <f>IF(E$1111=0,0,MAX(SUM(E977,O977)/E$1111,SUM(E977)/E$1111))</f>
        <v>3.2470022213574095</v>
      </c>
      <c r="F1198" s="1229">
        <f>IF(F$1111=0,0,MAX(SUM(F977,P977)/F$1111,SUM(F977)/F$1111))</f>
        <v>0.80767091282689907</v>
      </c>
      <c r="G1198" s="826"/>
      <c r="H1198" s="46"/>
      <c r="I1198" s="46"/>
      <c r="J1198" s="46"/>
      <c r="K1198" s="825"/>
      <c r="L1198" s="826"/>
      <c r="M1198" s="1220" t="str">
        <f t="shared" si="327"/>
        <v>yes</v>
      </c>
      <c r="N1198" s="1220" t="str">
        <f t="shared" si="328"/>
        <v>yes</v>
      </c>
      <c r="O1198" s="826"/>
      <c r="P1198" s="826"/>
      <c r="Q1198" s="15"/>
      <c r="R1198" s="435"/>
      <c r="S1198" s="46"/>
      <c r="T1198" s="46"/>
      <c r="U1198" s="1046">
        <v>1198</v>
      </c>
      <c r="V1198" s="46"/>
    </row>
    <row r="1199" spans="1:22" ht="15.75" customHeight="1">
      <c r="A1199" s="44" t="str">
        <f>A979</f>
        <v>Public works -- see Data2</v>
      </c>
      <c r="B1199" s="826"/>
      <c r="C1199" s="1229">
        <f>IF(C$1111=0,0,MAX(SUM(C979,M979)/C$1111,SUM(C979)/C$1111))</f>
        <v>0</v>
      </c>
      <c r="D1199" s="1229">
        <f>IF(D$1111=0,0,MAX(SUM(D979,N979)/D$1111,SUM(D979)/D$1111))</f>
        <v>0</v>
      </c>
      <c r="E1199" s="1229">
        <f>IF(E$1111=0,0,MAX(SUM(E979,O979)/E$1111,SUM(E979)/E$1111))</f>
        <v>5.470653152241594E-2</v>
      </c>
      <c r="F1199" s="1229">
        <f>IF(F$1111=0,0,MAX(SUM(F979,P979)/F$1111,SUM(F979)/F$1111))</f>
        <v>0</v>
      </c>
      <c r="G1199" s="826"/>
      <c r="H1199" s="46"/>
      <c r="I1199" s="46"/>
      <c r="J1199" s="46"/>
      <c r="K1199" s="825"/>
      <c r="L1199" s="826"/>
      <c r="M1199" s="1220" t="str">
        <f t="shared" si="327"/>
        <v/>
      </c>
      <c r="N1199" s="1220" t="str">
        <f t="shared" si="328"/>
        <v/>
      </c>
      <c r="O1199" s="826"/>
      <c r="P1199" s="826"/>
      <c r="Q1199" s="15"/>
      <c r="R1199" s="435"/>
      <c r="S1199" s="46"/>
      <c r="T1199" s="46"/>
      <c r="U1199" s="1046">
        <v>1199</v>
      </c>
      <c r="V1199" s="46"/>
    </row>
    <row r="1200" spans="1:22" ht="15.75" customHeight="1">
      <c r="A1200" s="44" t="str">
        <f>A981</f>
        <v>Gifts/social support: type</v>
      </c>
      <c r="B1200" s="826"/>
      <c r="C1200" s="1229">
        <f>IF(C$1111=0,0,MAX(SUM(C981,M981)/C$1111,SUM(C981)/C$1111))</f>
        <v>0</v>
      </c>
      <c r="D1200" s="1229">
        <f>IF(D$1111=0,0,MAX(SUM(D981,N981)/D$1111,SUM(D981)/D$1111))</f>
        <v>0</v>
      </c>
      <c r="E1200" s="1229">
        <f>IF(E$1111=0,0,MAX(SUM(E981,O981)/E$1111,SUM(E981)/E$1111))</f>
        <v>0</v>
      </c>
      <c r="F1200" s="1229">
        <f>IF(F$1111=0,0,MAX(SUM(F981,P981)/F$1111,SUM(F981)/F$1111))</f>
        <v>0</v>
      </c>
      <c r="G1200" s="826"/>
      <c r="H1200" s="46"/>
      <c r="I1200" s="46"/>
      <c r="J1200" s="46"/>
      <c r="K1200" s="825"/>
      <c r="L1200" s="826"/>
      <c r="M1200" s="1220" t="str">
        <f t="shared" si="327"/>
        <v/>
      </c>
      <c r="N1200" s="1220" t="str">
        <f t="shared" si="328"/>
        <v/>
      </c>
      <c r="O1200" s="826"/>
      <c r="P1200" s="826"/>
      <c r="Q1200" s="15"/>
      <c r="R1200" s="435"/>
      <c r="S1200" s="46"/>
      <c r="T1200" s="46"/>
      <c r="U1200" s="1046">
        <v>1200</v>
      </c>
      <c r="V1200" s="46"/>
    </row>
    <row r="1201" spans="1:22" ht="15.75" customHeight="1">
      <c r="A1201" s="44" t="str">
        <f>A983</f>
        <v>Remittances: no. times per year</v>
      </c>
      <c r="B1201" s="826"/>
      <c r="C1201" s="1229">
        <f>IF(C$1111=0,0,MAX(SUM(C983,M983)/C$1111,SUM(C983)/C$1111))</f>
        <v>0</v>
      </c>
      <c r="D1201" s="1229">
        <f>IF(D$1111=0,0,MAX(SUM(D983,N983)/D$1111,SUM(D983)/D$1111))</f>
        <v>0</v>
      </c>
      <c r="E1201" s="1229">
        <f>IF(E$1111=0,0,MAX(SUM(E983,O983)/E$1111,SUM(E983)/E$1111))</f>
        <v>0</v>
      </c>
      <c r="F1201" s="1229">
        <f>IF(F$1111=0,0,MAX(SUM(F983,P983)/F$1111,SUM(F983)/F$1111))</f>
        <v>0</v>
      </c>
      <c r="G1201" s="826"/>
      <c r="H1201" s="46"/>
      <c r="I1201" s="46"/>
      <c r="J1201" s="46"/>
      <c r="K1201" s="825"/>
      <c r="L1201" s="826"/>
      <c r="M1201" s="1220" t="str">
        <f t="shared" si="327"/>
        <v/>
      </c>
      <c r="N1201" s="1220" t="str">
        <f t="shared" si="328"/>
        <v/>
      </c>
      <c r="O1201" s="826"/>
      <c r="P1201" s="826"/>
      <c r="Q1201" s="15"/>
      <c r="R1201" s="435"/>
      <c r="S1201" s="46"/>
      <c r="T1201" s="46"/>
      <c r="U1201" s="1046">
        <v>1201</v>
      </c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6"/>
      <c r="C1209" s="826"/>
      <c r="D1209" s="826"/>
      <c r="E1209" s="826"/>
      <c r="F1209" s="826"/>
      <c r="G1209" s="826"/>
      <c r="H1209" s="825"/>
      <c r="I1209" s="825"/>
      <c r="J1209" s="825"/>
      <c r="K1209" s="825"/>
      <c r="L1209" s="826"/>
      <c r="M1209" s="826"/>
      <c r="N1209" s="826"/>
      <c r="O1209" s="826"/>
      <c r="P1209" s="826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6"/>
      <c r="C1210" s="826"/>
      <c r="D1210" s="826"/>
      <c r="E1210" s="826"/>
      <c r="F1210" s="826"/>
      <c r="G1210" s="826"/>
      <c r="H1210" s="825"/>
      <c r="I1210" s="825"/>
      <c r="J1210" s="825"/>
      <c r="K1210" s="825"/>
      <c r="L1210" s="826"/>
      <c r="M1210" s="826"/>
      <c r="N1210" s="826"/>
      <c r="O1210" s="826"/>
      <c r="P1210" s="826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6"/>
      <c r="C1211" s="826"/>
      <c r="D1211" s="826"/>
      <c r="E1211" s="826"/>
      <c r="F1211" s="826"/>
      <c r="G1211" s="826"/>
      <c r="H1211" s="825"/>
      <c r="I1211" s="825"/>
      <c r="J1211" s="825"/>
      <c r="K1211" s="825"/>
      <c r="L1211" s="826"/>
      <c r="M1211" s="826"/>
      <c r="N1211" s="826"/>
      <c r="O1211" s="826"/>
      <c r="P1211" s="826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tabSelected="1" topLeftCell="A67" zoomScale="106" zoomScaleNormal="106" zoomScalePageLayoutView="106" workbookViewId="0">
      <selection activeCell="G85" sqref="G8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2" customWidth="1"/>
    <col min="8" max="10" width="6.5" style="1243" customWidth="1"/>
    <col min="11" max="16384" width="11.5" style="15"/>
  </cols>
  <sheetData>
    <row r="1" spans="1:13" ht="12.75" customHeight="1">
      <c r="A1" s="1244"/>
      <c r="B1" s="1245"/>
      <c r="C1" s="843"/>
      <c r="D1" s="843"/>
      <c r="E1" s="843"/>
      <c r="F1" s="843"/>
      <c r="G1" s="1246"/>
      <c r="H1" s="1246"/>
      <c r="I1" s="435"/>
      <c r="J1" s="435"/>
      <c r="K1" s="435"/>
      <c r="L1" s="435"/>
      <c r="M1" s="435"/>
    </row>
    <row r="2" spans="1:13" ht="14" customHeight="1" thickBot="1">
      <c r="A2" s="1247" t="s">
        <v>550</v>
      </c>
      <c r="B2" s="1248"/>
      <c r="C2" s="1249"/>
      <c r="D2" s="1249"/>
      <c r="E2" s="1249"/>
      <c r="F2" s="1249"/>
      <c r="G2" s="1246"/>
      <c r="H2" s="1246"/>
      <c r="I2" s="435"/>
      <c r="J2" s="435"/>
      <c r="K2" s="435"/>
      <c r="L2" s="435"/>
      <c r="M2" s="435"/>
    </row>
    <row r="3" spans="1:13" ht="14" customHeight="1" thickBot="1">
      <c r="A3" s="1250"/>
      <c r="B3" s="1025"/>
      <c r="C3" s="1025" t="s">
        <v>485</v>
      </c>
      <c r="D3" s="1026"/>
      <c r="E3" s="1026"/>
      <c r="F3" s="1026"/>
      <c r="G3" s="1246"/>
      <c r="H3" s="1246"/>
      <c r="I3" s="435"/>
      <c r="J3" s="435"/>
      <c r="K3" s="435"/>
      <c r="L3" s="435"/>
      <c r="M3" s="435"/>
    </row>
    <row r="4" spans="1:13" ht="12.75" customHeight="1">
      <c r="A4" s="1251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6"/>
      <c r="H4" s="1246"/>
      <c r="I4" s="435"/>
      <c r="J4" s="435"/>
      <c r="K4" s="435"/>
      <c r="L4" s="435"/>
      <c r="M4" s="435"/>
    </row>
    <row r="5" spans="1:13" ht="12.75" customHeight="1">
      <c r="A5" s="1252" t="s">
        <v>551</v>
      </c>
      <c r="B5" s="1253"/>
      <c r="C5" s="1135"/>
      <c r="D5" s="1135"/>
      <c r="E5" s="1135"/>
      <c r="F5" s="1135"/>
      <c r="G5" s="1246"/>
      <c r="H5" s="1246"/>
      <c r="I5" s="435"/>
      <c r="J5" s="435"/>
      <c r="K5" s="435"/>
      <c r="L5" s="435"/>
      <c r="M5" s="435"/>
    </row>
    <row r="6" spans="1:13" ht="12.75" customHeight="1">
      <c r="A6" s="1254" t="s">
        <v>552</v>
      </c>
      <c r="B6" s="1248"/>
      <c r="C6" s="1249"/>
      <c r="D6" s="1249"/>
      <c r="E6" s="1249"/>
      <c r="F6" s="1249"/>
      <c r="G6" s="1246"/>
      <c r="H6" s="1246"/>
      <c r="I6" s="435"/>
      <c r="J6" s="435"/>
      <c r="K6" s="435"/>
      <c r="L6" s="435"/>
      <c r="M6" s="435"/>
    </row>
    <row r="7" spans="1:13" ht="12.75" customHeight="1">
      <c r="A7" s="1255" t="s">
        <v>553</v>
      </c>
      <c r="B7" s="1256"/>
      <c r="C7" s="1225"/>
      <c r="D7" s="1225"/>
      <c r="E7" s="1225"/>
      <c r="F7" s="1225"/>
      <c r="G7" s="1246"/>
      <c r="H7" s="1246"/>
      <c r="I7" s="435"/>
      <c r="J7" s="435"/>
      <c r="K7" s="435"/>
      <c r="L7" s="435"/>
      <c r="M7" s="435"/>
    </row>
    <row r="8" spans="1:13" ht="12.75" customHeight="1">
      <c r="A8" s="1252" t="s">
        <v>554</v>
      </c>
      <c r="B8" s="1253"/>
      <c r="C8" s="1257">
        <f>[1]ExpFactors!$C$8</f>
        <v>1.5</v>
      </c>
      <c r="D8" s="1257">
        <f>[1]ExpFactors!$D$8</f>
        <v>1.5</v>
      </c>
      <c r="E8" s="1257">
        <f>[1]ExpFactors!$E$8</f>
        <v>1.5</v>
      </c>
      <c r="F8" s="1257">
        <f>[1]ExpFactors!$F$8</f>
        <v>1.5</v>
      </c>
      <c r="G8" s="1246"/>
      <c r="H8" s="1246"/>
      <c r="I8" s="435"/>
      <c r="J8" s="435"/>
      <c r="K8" s="435"/>
      <c r="L8" s="435"/>
      <c r="M8" s="435"/>
    </row>
    <row r="9" spans="1:13" ht="12.75" customHeight="1">
      <c r="A9" s="1254" t="s">
        <v>555</v>
      </c>
      <c r="B9" s="1248"/>
      <c r="C9" s="1249"/>
      <c r="D9" s="1249"/>
      <c r="E9" s="1249"/>
      <c r="F9" s="1249"/>
      <c r="G9" s="1246"/>
      <c r="H9" s="1246"/>
      <c r="I9" s="435"/>
      <c r="J9" s="435"/>
      <c r="K9" s="435"/>
      <c r="L9" s="435"/>
      <c r="M9" s="435"/>
    </row>
    <row r="10" spans="1:13" ht="12.75" customHeight="1">
      <c r="A10" s="1255" t="s">
        <v>556</v>
      </c>
      <c r="B10" s="1256"/>
      <c r="C10" s="1225"/>
      <c r="D10" s="1225"/>
      <c r="E10" s="1225"/>
      <c r="F10" s="1225"/>
      <c r="G10" s="1246"/>
      <c r="H10" s="1246"/>
      <c r="I10" s="435"/>
      <c r="J10" s="435"/>
      <c r="K10" s="435"/>
      <c r="L10" s="435"/>
      <c r="M10" s="435"/>
    </row>
    <row r="11" spans="1:13" ht="12.75" customHeight="1">
      <c r="A11" s="1252" t="s">
        <v>557</v>
      </c>
      <c r="B11" s="1253"/>
      <c r="C11" s="1257">
        <f>[1]ExpFactors!$C$11</f>
        <v>0.1</v>
      </c>
      <c r="D11" s="1257">
        <f>[1]ExpFactors!$D$11</f>
        <v>0.1</v>
      </c>
      <c r="E11" s="1257">
        <f>[1]ExpFactors!$E$11</f>
        <v>0.2</v>
      </c>
      <c r="F11" s="1257">
        <f>[1]ExpFactors!$F$11</f>
        <v>0.2</v>
      </c>
      <c r="G11" s="1246"/>
      <c r="H11" s="1246"/>
      <c r="I11" s="435"/>
      <c r="J11" s="435"/>
      <c r="K11" s="435"/>
      <c r="L11" s="435"/>
      <c r="M11" s="435"/>
    </row>
    <row r="12" spans="1:13" ht="12.75" customHeight="1">
      <c r="A12" s="1252" t="s">
        <v>554</v>
      </c>
      <c r="B12" s="1253"/>
      <c r="C12" s="1257">
        <f>[1]ExpFactors!$C$12</f>
        <v>2</v>
      </c>
      <c r="D12" s="1257">
        <f>[1]ExpFactors!$D$12</f>
        <v>2</v>
      </c>
      <c r="E12" s="1257">
        <f>[1]ExpFactors!$E$12</f>
        <v>2</v>
      </c>
      <c r="F12" s="1257">
        <f>[1]ExpFactors!$F$12</f>
        <v>2</v>
      </c>
      <c r="G12" s="1246"/>
      <c r="H12" s="1246"/>
      <c r="I12" s="435"/>
      <c r="J12" s="435"/>
      <c r="K12" s="435"/>
      <c r="L12" s="435"/>
      <c r="M12" s="435"/>
    </row>
    <row r="13" spans="1:13" ht="12.75" customHeight="1">
      <c r="A13" s="1255" t="s">
        <v>558</v>
      </c>
      <c r="B13" s="1256"/>
      <c r="C13" s="1225"/>
      <c r="D13" s="1225"/>
      <c r="E13" s="1225"/>
      <c r="F13" s="1225"/>
      <c r="G13" s="1246"/>
      <c r="H13" s="1246"/>
      <c r="I13" s="435"/>
      <c r="J13" s="435"/>
      <c r="K13" s="435"/>
      <c r="L13" s="435"/>
      <c r="M13" s="435"/>
    </row>
    <row r="14" spans="1:13" ht="12.75" customHeight="1">
      <c r="A14" s="1252" t="s">
        <v>557</v>
      </c>
      <c r="B14" s="1253"/>
      <c r="C14" s="1257">
        <f>[1]ExpFactors!$C$14</f>
        <v>0.17</v>
      </c>
      <c r="D14" s="1257">
        <f>[1]ExpFactors!$D$14</f>
        <v>0.33</v>
      </c>
      <c r="E14" s="1257">
        <f>[1]ExpFactors!$E$14</f>
        <v>0.15</v>
      </c>
      <c r="F14" s="1257">
        <f>[1]ExpFactors!$F$14</f>
        <v>0.17</v>
      </c>
      <c r="G14" s="1246"/>
      <c r="H14" s="1246"/>
      <c r="I14" s="435"/>
      <c r="J14" s="435"/>
      <c r="K14" s="435"/>
      <c r="L14" s="435"/>
      <c r="M14" s="435"/>
    </row>
    <row r="15" spans="1:13" ht="12.75" customHeight="1">
      <c r="A15" s="1252" t="s">
        <v>554</v>
      </c>
      <c r="B15" s="1253"/>
      <c r="C15" s="1257">
        <f>[1]ExpFactors!$C$15</f>
        <v>1</v>
      </c>
      <c r="D15" s="1257">
        <f>[1]ExpFactors!$D$15</f>
        <v>1</v>
      </c>
      <c r="E15" s="1257">
        <f>[1]ExpFactors!$E$15</f>
        <v>1.5</v>
      </c>
      <c r="F15" s="1257">
        <f>[1]ExpFactors!$F$15</f>
        <v>1.5</v>
      </c>
      <c r="G15" s="1246"/>
      <c r="H15" s="1246"/>
      <c r="I15" s="435"/>
      <c r="J15" s="435"/>
      <c r="K15" s="435"/>
      <c r="L15" s="435"/>
      <c r="M15" s="435"/>
    </row>
    <row r="16" spans="1:13" ht="12.75" customHeight="1">
      <c r="A16" s="1255" t="s">
        <v>559</v>
      </c>
      <c r="B16" s="1256"/>
      <c r="C16" s="1225"/>
      <c r="D16" s="1225"/>
      <c r="E16" s="1225"/>
      <c r="F16" s="1225"/>
      <c r="G16" s="1246"/>
      <c r="H16" s="1246"/>
      <c r="I16" s="435"/>
      <c r="J16" s="435"/>
      <c r="K16" s="435"/>
      <c r="L16" s="435"/>
      <c r="M16" s="435"/>
    </row>
    <row r="17" spans="1:13" ht="12.75" customHeight="1">
      <c r="A17" s="1252" t="s">
        <v>557</v>
      </c>
      <c r="B17" s="1253"/>
      <c r="C17" s="1257">
        <f>[1]ExpFactors!$C$17</f>
        <v>0.5</v>
      </c>
      <c r="D17" s="1257">
        <f>[1]ExpFactors!$D$17</f>
        <v>0.33</v>
      </c>
      <c r="E17" s="1257">
        <f>[1]ExpFactors!$E$17</f>
        <v>0.375</v>
      </c>
      <c r="F17" s="1257">
        <f>[1]ExpFactors!$E$17</f>
        <v>0.375</v>
      </c>
      <c r="G17" s="1246"/>
      <c r="H17" s="1246"/>
      <c r="I17" s="435"/>
      <c r="J17" s="435"/>
      <c r="K17" s="435"/>
      <c r="L17" s="435"/>
      <c r="M17" s="435"/>
    </row>
    <row r="18" spans="1:13" ht="12.75" customHeight="1">
      <c r="A18" s="1252" t="s">
        <v>554</v>
      </c>
      <c r="B18" s="1253"/>
      <c r="C18" s="1257">
        <f>[1]ExpFactors!$C$18</f>
        <v>1</v>
      </c>
      <c r="D18" s="1257">
        <f>[1]ExpFactors!$D$18</f>
        <v>1</v>
      </c>
      <c r="E18" s="1257">
        <f>[1]ExpFactors!$E$18</f>
        <v>1.5</v>
      </c>
      <c r="F18" s="1257">
        <f>[1]ExpFactors!$F$18</f>
        <v>1.25</v>
      </c>
      <c r="G18" s="1246"/>
      <c r="H18" s="1246"/>
      <c r="I18" s="435"/>
      <c r="J18" s="435"/>
      <c r="K18" s="435"/>
      <c r="L18" s="435"/>
      <c r="M18" s="435"/>
    </row>
    <row r="19" spans="1:13" ht="12.75" customHeight="1">
      <c r="A19" s="1254" t="s">
        <v>20</v>
      </c>
      <c r="B19" s="1248"/>
      <c r="C19" s="1249"/>
      <c r="D19" s="1249"/>
      <c r="E19" s="1249"/>
      <c r="F19" s="1249"/>
      <c r="G19" s="1246"/>
      <c r="H19" s="1246"/>
      <c r="I19" s="435"/>
      <c r="J19" s="435"/>
      <c r="K19" s="435"/>
      <c r="L19" s="435"/>
      <c r="M19" s="435"/>
    </row>
    <row r="20" spans="1:13" ht="12.75" customHeight="1">
      <c r="A20" s="1255" t="s">
        <v>560</v>
      </c>
      <c r="B20" s="1258"/>
      <c r="C20" s="1223"/>
      <c r="D20" s="1223"/>
      <c r="E20" s="1223"/>
      <c r="F20" s="1223"/>
      <c r="G20" s="1246"/>
      <c r="H20" s="1246"/>
      <c r="I20" s="435"/>
      <c r="J20" s="435"/>
      <c r="K20" s="435"/>
      <c r="L20" s="435"/>
      <c r="M20" s="435"/>
    </row>
    <row r="21" spans="1:13" ht="12.75" customHeight="1">
      <c r="A21" s="1252" t="s">
        <v>561</v>
      </c>
      <c r="B21" s="1253"/>
      <c r="C21" s="1257">
        <f>[1]ExpFactors!$C$21</f>
        <v>1.25</v>
      </c>
      <c r="D21" s="1257">
        <f>[1]ExpFactors!$D$21</f>
        <v>1.25</v>
      </c>
      <c r="E21" s="1257">
        <f>[1]ExpFactors!$E$21</f>
        <v>1.25</v>
      </c>
      <c r="F21" s="1257">
        <f>[1]ExpFactors!$F$21</f>
        <v>1.25</v>
      </c>
      <c r="G21" s="1246"/>
      <c r="H21" s="1246"/>
      <c r="I21" s="435"/>
      <c r="J21" s="435"/>
      <c r="K21" s="435"/>
      <c r="L21" s="435"/>
      <c r="M21" s="435"/>
    </row>
    <row r="22" spans="1:13" ht="12.75" customHeight="1">
      <c r="A22" s="1255" t="s">
        <v>562</v>
      </c>
      <c r="B22" s="1258"/>
      <c r="C22" s="1223"/>
      <c r="D22" s="1223"/>
      <c r="E22" s="1223"/>
      <c r="F22" s="1223"/>
      <c r="G22" s="1246"/>
      <c r="H22" s="1246"/>
      <c r="I22" s="435"/>
      <c r="J22" s="435"/>
      <c r="K22" s="435"/>
      <c r="L22" s="435"/>
      <c r="M22" s="435"/>
    </row>
    <row r="23" spans="1:13" ht="12.75" customHeight="1">
      <c r="A23" s="1252" t="s">
        <v>563</v>
      </c>
      <c r="B23" s="1253"/>
      <c r="C23" s="1257">
        <f>[1]ExpFactors!C23</f>
        <v>0</v>
      </c>
      <c r="D23" s="1257">
        <f>[1]ExpFactors!D23</f>
        <v>0</v>
      </c>
      <c r="E23" s="1257">
        <f>[1]ExpFactors!E23</f>
        <v>0</v>
      </c>
      <c r="F23" s="1257">
        <f>[1]ExpFactors!F23</f>
        <v>0</v>
      </c>
      <c r="G23" s="1246"/>
      <c r="H23" s="1246"/>
      <c r="I23" s="435"/>
      <c r="J23" s="435"/>
      <c r="K23" s="435"/>
      <c r="L23" s="435"/>
      <c r="M23" s="435"/>
    </row>
    <row r="24" spans="1:13" ht="12.75" customHeight="1">
      <c r="A24" s="1252" t="s">
        <v>564</v>
      </c>
      <c r="B24" s="1253"/>
      <c r="C24" s="1257">
        <f>[1]ExpFactors!C24</f>
        <v>1</v>
      </c>
      <c r="D24" s="1257">
        <f>[1]ExpFactors!D24</f>
        <v>1</v>
      </c>
      <c r="E24" s="1257">
        <f>[1]ExpFactors!E24</f>
        <v>1</v>
      </c>
      <c r="F24" s="1257">
        <f>[1]ExpFactors!F24</f>
        <v>1</v>
      </c>
      <c r="G24" s="1246"/>
      <c r="H24" s="1246"/>
      <c r="I24" s="435"/>
      <c r="J24" s="435"/>
      <c r="K24" s="435"/>
      <c r="L24" s="435"/>
      <c r="M24" s="435"/>
    </row>
    <row r="25" spans="1:13" ht="12.75" customHeight="1">
      <c r="A25" s="1252" t="s">
        <v>565</v>
      </c>
      <c r="B25" s="1253"/>
      <c r="C25" s="1257">
        <f>[1]ExpFactors!C25</f>
        <v>0.5</v>
      </c>
      <c r="D25" s="1257">
        <f>[1]ExpFactors!D25</f>
        <v>0.5</v>
      </c>
      <c r="E25" s="1257">
        <f>[1]ExpFactors!E25</f>
        <v>0.5</v>
      </c>
      <c r="F25" s="1257">
        <f>[1]ExpFactors!F25</f>
        <v>0.5</v>
      </c>
      <c r="G25" s="1246"/>
      <c r="H25" s="1246"/>
      <c r="I25" s="435"/>
      <c r="J25" s="435"/>
      <c r="K25" s="435"/>
      <c r="L25" s="435"/>
      <c r="M25" s="435"/>
    </row>
    <row r="26" spans="1:13" ht="12.75" customHeight="1">
      <c r="A26" s="1254" t="s">
        <v>566</v>
      </c>
      <c r="B26" s="1259"/>
      <c r="C26" s="1260"/>
      <c r="D26" s="1260"/>
      <c r="E26" s="1260"/>
      <c r="F26" s="1260"/>
      <c r="G26" s="1246"/>
      <c r="H26" s="1246"/>
      <c r="I26" s="435"/>
      <c r="J26" s="435"/>
      <c r="K26" s="435"/>
      <c r="L26" s="435"/>
      <c r="M26" s="435"/>
    </row>
    <row r="27" spans="1:13" ht="12.75" customHeight="1">
      <c r="A27" s="1255" t="s">
        <v>567</v>
      </c>
      <c r="B27" s="1258"/>
      <c r="C27" s="1223"/>
      <c r="D27" s="1223"/>
      <c r="E27" s="1223"/>
      <c r="F27" s="1223"/>
      <c r="G27" s="1246"/>
      <c r="H27" s="1246"/>
      <c r="I27" s="435"/>
      <c r="J27" s="435"/>
      <c r="K27" s="435"/>
      <c r="L27" s="435"/>
      <c r="M27" s="435"/>
    </row>
    <row r="28" spans="1:13" ht="12.75" customHeight="1">
      <c r="A28" s="1252" t="s">
        <v>568</v>
      </c>
      <c r="B28" s="1253"/>
      <c r="C28" s="1257">
        <f>[1]ExpFactors!C28</f>
        <v>1</v>
      </c>
      <c r="D28" s="1257">
        <f>[1]ExpFactors!D28</f>
        <v>1</v>
      </c>
      <c r="E28" s="1257">
        <f>[1]ExpFactors!E28</f>
        <v>1</v>
      </c>
      <c r="F28" s="1257">
        <f>[1]ExpFactors!F28</f>
        <v>1</v>
      </c>
      <c r="G28" s="1246"/>
      <c r="H28" s="1246"/>
      <c r="I28" s="435"/>
      <c r="J28" s="435"/>
      <c r="K28" s="435"/>
      <c r="L28" s="435"/>
      <c r="M28" s="435"/>
    </row>
    <row r="29" spans="1:13" ht="12.75" customHeight="1">
      <c r="A29" s="1255" t="s">
        <v>569</v>
      </c>
      <c r="B29" s="1256"/>
      <c r="C29" s="1225"/>
      <c r="D29" s="1225"/>
      <c r="E29" s="1225"/>
      <c r="F29" s="1225"/>
      <c r="G29" s="1246"/>
      <c r="H29" s="1246"/>
      <c r="I29" s="435"/>
      <c r="J29" s="435"/>
      <c r="K29" s="435"/>
      <c r="L29" s="435"/>
      <c r="M29" s="435"/>
    </row>
    <row r="30" spans="1:13" ht="12.75" customHeight="1">
      <c r="A30" s="1252" t="s">
        <v>568</v>
      </c>
      <c r="B30" s="1253"/>
      <c r="C30" s="1257">
        <f>[1]ExpFactors!C30</f>
        <v>1</v>
      </c>
      <c r="D30" s="1257">
        <f>[1]ExpFactors!D30</f>
        <v>1</v>
      </c>
      <c r="E30" s="1257">
        <f>[1]ExpFactors!E30</f>
        <v>1</v>
      </c>
      <c r="F30" s="1257">
        <f>[1]ExpFactors!F30</f>
        <v>1</v>
      </c>
      <c r="G30" s="1246"/>
      <c r="H30" s="1246"/>
      <c r="I30" s="435"/>
      <c r="J30" s="435"/>
      <c r="K30" s="435"/>
      <c r="L30" s="435"/>
      <c r="M30" s="435"/>
    </row>
    <row r="31" spans="1:13" ht="12.75" customHeight="1">
      <c r="A31" s="1255" t="s">
        <v>570</v>
      </c>
      <c r="B31" s="1256"/>
      <c r="C31" s="1225"/>
      <c r="D31" s="1225"/>
      <c r="E31" s="1225"/>
      <c r="F31" s="1225"/>
      <c r="G31" s="1246"/>
      <c r="H31" s="1246"/>
      <c r="I31" s="435"/>
      <c r="J31" s="435"/>
      <c r="K31" s="435"/>
      <c r="L31" s="435"/>
      <c r="M31" s="435"/>
    </row>
    <row r="32" spans="1:13" ht="12.75" customHeight="1">
      <c r="A32" s="1252" t="s">
        <v>568</v>
      </c>
      <c r="B32" s="1253"/>
      <c r="C32" s="1257">
        <f>[1]ExpFactors!C32</f>
        <v>1</v>
      </c>
      <c r="D32" s="1257">
        <f>[1]ExpFactors!D32</f>
        <v>1</v>
      </c>
      <c r="E32" s="1257">
        <f>[1]ExpFactors!E32</f>
        <v>1</v>
      </c>
      <c r="F32" s="1257">
        <f>[1]ExpFactors!F32</f>
        <v>1</v>
      </c>
      <c r="G32" s="1246"/>
      <c r="H32" s="1246"/>
      <c r="I32" s="435"/>
      <c r="J32" s="435"/>
      <c r="K32" s="435"/>
      <c r="L32" s="435"/>
      <c r="M32" s="435"/>
    </row>
    <row r="33" spans="1:13" ht="12.75" customHeight="1">
      <c r="A33" s="1255" t="s">
        <v>571</v>
      </c>
      <c r="B33" s="1258"/>
      <c r="C33" s="1223"/>
      <c r="D33" s="1223"/>
      <c r="E33" s="1223"/>
      <c r="F33" s="1223"/>
      <c r="G33" s="1246"/>
      <c r="H33" s="1246"/>
      <c r="I33" s="435"/>
      <c r="J33" s="435"/>
      <c r="K33" s="435"/>
      <c r="L33" s="435"/>
      <c r="M33" s="435"/>
    </row>
    <row r="34" spans="1:13" ht="12.75" customHeight="1">
      <c r="A34" s="1252" t="s">
        <v>568</v>
      </c>
      <c r="B34" s="1253"/>
      <c r="C34" s="1257">
        <f>[1]ExpFactors!C34</f>
        <v>1</v>
      </c>
      <c r="D34" s="1257">
        <f>[1]ExpFactors!D34</f>
        <v>1</v>
      </c>
      <c r="E34" s="1257">
        <f>[1]ExpFactors!E34</f>
        <v>1</v>
      </c>
      <c r="F34" s="1257">
        <f>[1]ExpFactors!F34</f>
        <v>1</v>
      </c>
      <c r="G34" s="1246"/>
      <c r="H34" s="1246"/>
      <c r="I34" s="435"/>
      <c r="J34" s="435"/>
      <c r="K34" s="435"/>
      <c r="L34" s="435"/>
      <c r="M34" s="435"/>
    </row>
    <row r="35" spans="1:13" ht="12.75" customHeight="1">
      <c r="A35" s="1255" t="s">
        <v>572</v>
      </c>
      <c r="B35" s="1258"/>
      <c r="C35" s="1223"/>
      <c r="D35" s="1223"/>
      <c r="E35" s="1223"/>
      <c r="F35" s="1223"/>
      <c r="G35" s="1246"/>
      <c r="H35" s="1246"/>
      <c r="I35" s="435"/>
      <c r="J35" s="435"/>
      <c r="K35" s="435"/>
      <c r="L35" s="435"/>
      <c r="M35" s="435"/>
    </row>
    <row r="36" spans="1:13" ht="12.75" customHeight="1">
      <c r="A36" s="1261" t="s">
        <v>568</v>
      </c>
      <c r="B36" s="1253"/>
      <c r="C36" s="1257">
        <f>[1]ExpFactors!C36</f>
        <v>1.2</v>
      </c>
      <c r="D36" s="1257">
        <f>[1]ExpFactors!D36</f>
        <v>1.2</v>
      </c>
      <c r="E36" s="1257">
        <f>[1]ExpFactors!E36</f>
        <v>1.2</v>
      </c>
      <c r="F36" s="1257">
        <f>[1]ExpFactors!F36</f>
        <v>1.2</v>
      </c>
      <c r="G36" s="1246"/>
      <c r="H36" s="1246"/>
      <c r="I36" s="435"/>
      <c r="J36" s="435"/>
      <c r="K36" s="435"/>
      <c r="L36" s="435"/>
      <c r="M36" s="435"/>
    </row>
    <row r="37" spans="1:13" ht="12.75" customHeight="1">
      <c r="A37" s="1255" t="s">
        <v>573</v>
      </c>
      <c r="B37" s="1256"/>
      <c r="C37" s="1225"/>
      <c r="D37" s="1225"/>
      <c r="E37" s="1225"/>
      <c r="F37" s="1225"/>
      <c r="G37" s="1246"/>
      <c r="H37" s="1246"/>
      <c r="I37" s="435"/>
      <c r="J37" s="435"/>
      <c r="K37" s="435"/>
      <c r="L37" s="435"/>
      <c r="M37" s="435"/>
    </row>
    <row r="38" spans="1:13" ht="12.75" customHeight="1">
      <c r="A38" s="1252" t="s">
        <v>568</v>
      </c>
      <c r="B38" s="1253"/>
      <c r="C38" s="1257">
        <f>[1]ExpFactors!C38</f>
        <v>1</v>
      </c>
      <c r="D38" s="1257">
        <f>[1]ExpFactors!D38</f>
        <v>1</v>
      </c>
      <c r="E38" s="1257">
        <f>[1]ExpFactors!E38</f>
        <v>1</v>
      </c>
      <c r="F38" s="1257">
        <f>[1]ExpFactors!F38</f>
        <v>1</v>
      </c>
      <c r="G38" s="1246"/>
      <c r="H38" s="1246"/>
      <c r="I38" s="435"/>
      <c r="J38" s="435"/>
      <c r="K38" s="435"/>
      <c r="L38" s="435"/>
      <c r="M38" s="435"/>
    </row>
    <row r="39" spans="1:13" ht="12.75" customHeight="1">
      <c r="A39" s="1262" t="s">
        <v>17</v>
      </c>
      <c r="B39" s="1263"/>
      <c r="C39" s="1264"/>
      <c r="D39" s="1264"/>
      <c r="E39" s="1264"/>
      <c r="F39" s="1264"/>
      <c r="G39" s="1246"/>
      <c r="H39" s="1246"/>
      <c r="I39" s="435"/>
      <c r="J39" s="435"/>
      <c r="K39" s="435"/>
      <c r="L39" s="435"/>
      <c r="M39" s="435"/>
    </row>
    <row r="40" spans="1:13" ht="12.75" customHeight="1">
      <c r="A40" s="1265" t="s">
        <v>574</v>
      </c>
      <c r="B40" s="1266"/>
      <c r="C40" s="1267"/>
      <c r="D40" s="1267"/>
      <c r="E40" s="1267"/>
      <c r="F40" s="1267"/>
      <c r="G40" s="1246"/>
      <c r="H40" s="1246"/>
      <c r="I40" s="435"/>
      <c r="J40" s="435"/>
      <c r="K40" s="435"/>
      <c r="L40" s="435"/>
      <c r="M40" s="435"/>
    </row>
    <row r="41" spans="1:13" ht="12.75" customHeight="1">
      <c r="A41" s="1252" t="s">
        <v>575</v>
      </c>
      <c r="B41" s="1268"/>
      <c r="C41" s="1269"/>
      <c r="D41" s="1257" t="str">
        <f>[1]ExpFactors!D41</f>
        <v>yes</v>
      </c>
      <c r="E41" s="1269"/>
      <c r="F41" s="1269"/>
      <c r="G41" s="1246"/>
      <c r="H41" s="1246"/>
      <c r="I41" s="435"/>
      <c r="J41" s="435"/>
      <c r="K41" s="435"/>
      <c r="L41" s="435"/>
      <c r="M41" s="435"/>
    </row>
    <row r="42" spans="1:13" ht="12.75" customHeight="1">
      <c r="A42" s="1265" t="s">
        <v>576</v>
      </c>
      <c r="B42" s="1266"/>
      <c r="C42" s="1606" t="s">
        <v>577</v>
      </c>
      <c r="D42" s="1606"/>
      <c r="E42" s="1606"/>
      <c r="F42" s="1606"/>
      <c r="G42" s="1368" t="s">
        <v>578</v>
      </c>
      <c r="H42" s="1369" t="str">
        <f>[1]ExpFactors!$H$42</f>
        <v>Additional Price (per kg)</v>
      </c>
      <c r="I42" s="843" t="s">
        <v>579</v>
      </c>
      <c r="J42" s="435"/>
      <c r="K42" s="435"/>
      <c r="L42" s="435"/>
      <c r="M42" s="435"/>
    </row>
    <row r="43" spans="1:13" ht="12.75" customHeight="1">
      <c r="A43" s="1370" t="str">
        <f>[1]ExpFactors!A43</f>
        <v>aerated cold drinks</v>
      </c>
      <c r="B43" s="1370" t="str">
        <f>[1]ExpFactors!B43</f>
        <v>poor</v>
      </c>
      <c r="C43" s="1270">
        <f>[1]ExpFactors!C43</f>
        <v>0</v>
      </c>
      <c r="D43" s="1270">
        <f>[1]ExpFactors!D43</f>
        <v>0</v>
      </c>
      <c r="E43" s="1270">
        <f>[1]ExpFactors!E43</f>
        <v>0</v>
      </c>
      <c r="F43" s="1270">
        <f>[1]ExpFactors!F43</f>
        <v>0</v>
      </c>
      <c r="G43" s="1370">
        <f>[1]ExpFactors!G43</f>
        <v>15.097764823310053</v>
      </c>
      <c r="H43" s="1370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0" t="str">
        <f>[1]ExpFactors!A44</f>
        <v>fresh milk</v>
      </c>
      <c r="B44" s="1370" t="str">
        <f>[1]ExpFactors!B44</f>
        <v>poor</v>
      </c>
      <c r="C44" s="1270">
        <f>[1]ExpFactors!C44</f>
        <v>0</v>
      </c>
      <c r="D44" s="1270">
        <f>[1]ExpFactors!D44</f>
        <v>0</v>
      </c>
      <c r="E44" s="1270">
        <f>[1]ExpFactors!E44</f>
        <v>0</v>
      </c>
      <c r="F44" s="1270">
        <f>[1]ExpFactors!F44</f>
        <v>0</v>
      </c>
      <c r="G44" s="1370">
        <f>[1]ExpFactors!G44</f>
        <v>5.0182428361931644</v>
      </c>
      <c r="H44" s="1370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0" t="str">
        <f>[1]ExpFactors!A45</f>
        <v>large eggs</v>
      </c>
      <c r="B45" s="1370" t="str">
        <f>[1]ExpFactors!B45</f>
        <v>poor</v>
      </c>
      <c r="C45" s="1270">
        <f>[1]ExpFactors!C45</f>
        <v>0</v>
      </c>
      <c r="D45" s="1270">
        <f>[1]ExpFactors!D45</f>
        <v>0</v>
      </c>
      <c r="E45" s="1270">
        <f>[1]ExpFactors!E45</f>
        <v>0</v>
      </c>
      <c r="F45" s="1270">
        <f>[1]ExpFactors!F45</f>
        <v>0</v>
      </c>
      <c r="G45" s="1370">
        <f>[1]ExpFactors!G45</f>
        <v>3.2296498915049598</v>
      </c>
      <c r="H45" s="1370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0" t="str">
        <f>[1]ExpFactors!A46</f>
        <v>poultry</v>
      </c>
      <c r="B46" s="1370" t="str">
        <f>[1]ExpFactors!B46</f>
        <v>poor</v>
      </c>
      <c r="C46" s="1270">
        <f>[1]ExpFactors!C46</f>
        <v>0</v>
      </c>
      <c r="D46" s="1270">
        <f>[1]ExpFactors!D46</f>
        <v>0</v>
      </c>
      <c r="E46" s="1270">
        <f>[1]ExpFactors!E46</f>
        <v>0</v>
      </c>
      <c r="F46" s="1270">
        <f>[1]ExpFactors!F46</f>
        <v>0</v>
      </c>
      <c r="G46" s="1370">
        <f>[1]ExpFactors!G46</f>
        <v>23.277979521106722</v>
      </c>
      <c r="H46" s="1370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0" t="str">
        <f>[1]ExpFactors!A47</f>
        <v>beef</v>
      </c>
      <c r="B47" s="1370" t="str">
        <f>[1]ExpFactors!B47</f>
        <v>poor</v>
      </c>
      <c r="C47" s="1270">
        <f>[1]ExpFactors!C47</f>
        <v>0</v>
      </c>
      <c r="D47" s="1270">
        <f>[1]ExpFactors!D47</f>
        <v>0</v>
      </c>
      <c r="E47" s="1270">
        <f>[1]ExpFactors!E47</f>
        <v>0</v>
      </c>
      <c r="F47" s="1270">
        <f>[1]ExpFactors!F47</f>
        <v>0</v>
      </c>
      <c r="G47" s="1370">
        <f>[1]ExpFactors!G47</f>
        <v>3.422857748289259</v>
      </c>
      <c r="H47" s="1370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0" t="str">
        <f>[1]ExpFactors!A48</f>
        <v>boerewors</v>
      </c>
      <c r="B48" s="1370" t="str">
        <f>[1]ExpFactors!B48</f>
        <v>poor</v>
      </c>
      <c r="C48" s="1270">
        <f>[1]ExpFactors!C48</f>
        <v>0</v>
      </c>
      <c r="D48" s="1270">
        <f>[1]ExpFactors!D48</f>
        <v>0</v>
      </c>
      <c r="E48" s="1270">
        <f>[1]ExpFactors!E48</f>
        <v>0</v>
      </c>
      <c r="F48" s="1270">
        <f>[1]ExpFactors!F48</f>
        <v>0</v>
      </c>
      <c r="G48" s="1370">
        <f>[1]ExpFactors!G48</f>
        <v>1.2877077588640731</v>
      </c>
      <c r="H48" s="1370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4" ht="12.75" customHeight="1">
      <c r="A49" s="1370" t="str">
        <f>[1]ExpFactors!A49</f>
        <v>canned pilchards</v>
      </c>
      <c r="B49" s="1370" t="str">
        <f>[1]ExpFactors!B49</f>
        <v>poor</v>
      </c>
      <c r="C49" s="1270">
        <f>[1]ExpFactors!C49</f>
        <v>0</v>
      </c>
      <c r="D49" s="1270">
        <f>[1]ExpFactors!D49</f>
        <v>0</v>
      </c>
      <c r="E49" s="1270">
        <f>[1]ExpFactors!E49</f>
        <v>0</v>
      </c>
      <c r="F49" s="1270">
        <f>[1]ExpFactors!F49</f>
        <v>0</v>
      </c>
      <c r="G49" s="1370">
        <f>[1]ExpFactors!G49</f>
        <v>1.7019755315306107</v>
      </c>
      <c r="H49" s="1370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4" ht="12.75" customHeight="1">
      <c r="A50" s="1370" t="str">
        <f>[1]ExpFactors!A50</f>
        <v>brown bread</v>
      </c>
      <c r="B50" s="1370" t="str">
        <f>[1]ExpFactors!B50</f>
        <v>poor</v>
      </c>
      <c r="C50" s="1270">
        <f>[1]ExpFactors!C50</f>
        <v>0</v>
      </c>
      <c r="D50" s="1270">
        <f>[1]ExpFactors!D50</f>
        <v>0</v>
      </c>
      <c r="E50" s="1270">
        <f>[1]ExpFactors!E50</f>
        <v>0</v>
      </c>
      <c r="F50" s="1270">
        <f>[1]ExpFactors!F50</f>
        <v>0</v>
      </c>
      <c r="G50" s="1370">
        <f>[1]ExpFactors!G50</f>
        <v>48.111095341127744</v>
      </c>
      <c r="H50" s="1370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  <c r="N50" s="1588"/>
    </row>
    <row r="51" spans="1:14" ht="12.75" customHeight="1">
      <c r="A51" s="1370" t="str">
        <f>[1]ExpFactors!A51</f>
        <v>white bread</v>
      </c>
      <c r="B51" s="1370" t="str">
        <f>[1]ExpFactors!B51</f>
        <v>poor</v>
      </c>
      <c r="C51" s="1270">
        <f>[1]ExpFactors!C51</f>
        <v>0</v>
      </c>
      <c r="D51" s="1270">
        <f>[1]ExpFactors!D51</f>
        <v>0</v>
      </c>
      <c r="E51" s="1270">
        <f>[1]ExpFactors!E51</f>
        <v>0</v>
      </c>
      <c r="F51" s="1270">
        <f>[1]ExpFactors!F51</f>
        <v>0</v>
      </c>
      <c r="G51" s="1370">
        <f>[1]ExpFactors!G51</f>
        <v>11.46176077901352</v>
      </c>
      <c r="H51" s="1370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4" ht="12.75" customHeight="1">
      <c r="A52" s="1370" t="str">
        <f>[1]ExpFactors!A52</f>
        <v>rice</v>
      </c>
      <c r="B52" s="1370" t="str">
        <f>[1]ExpFactors!B52</f>
        <v>poor</v>
      </c>
      <c r="C52" s="1270">
        <f>[1]ExpFactors!C52</f>
        <v>0</v>
      </c>
      <c r="D52" s="1270">
        <f>[1]ExpFactors!D52</f>
        <v>0</v>
      </c>
      <c r="E52" s="1270">
        <f>[1]ExpFactors!E52</f>
        <v>0</v>
      </c>
      <c r="F52" s="1270">
        <f>[1]ExpFactors!F52</f>
        <v>0</v>
      </c>
      <c r="G52" s="1370">
        <f>[1]ExpFactors!G52</f>
        <v>9.0465251594020764</v>
      </c>
      <c r="H52" s="1370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4" ht="12.75" customHeight="1">
      <c r="A53" s="1370" t="str">
        <f>[1]ExpFactors!A53</f>
        <v>oil</v>
      </c>
      <c r="B53" s="1370" t="str">
        <f>[1]ExpFactors!B53</f>
        <v>poor</v>
      </c>
      <c r="C53" s="1270">
        <f>[1]ExpFactors!C53</f>
        <v>0</v>
      </c>
      <c r="D53" s="1270">
        <f>[1]ExpFactors!D53</f>
        <v>0</v>
      </c>
      <c r="E53" s="1270">
        <f>[1]ExpFactors!E53</f>
        <v>0</v>
      </c>
      <c r="F53" s="1270">
        <f>[1]ExpFactors!F53</f>
        <v>0</v>
      </c>
      <c r="G53" s="1370">
        <f>[1]ExpFactors!G53</f>
        <v>5.9006737924708803</v>
      </c>
      <c r="H53" s="1370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4" ht="12.75" customHeight="1">
      <c r="A54" s="1370" t="str">
        <f>[1]ExpFactors!A54</f>
        <v>potatoes</v>
      </c>
      <c r="B54" s="1370" t="str">
        <f>[1]ExpFactors!B54</f>
        <v>poor</v>
      </c>
      <c r="C54" s="1270">
        <f>[1]ExpFactors!C54</f>
        <v>0</v>
      </c>
      <c r="D54" s="1270">
        <f>[1]ExpFactors!D54</f>
        <v>0</v>
      </c>
      <c r="E54" s="1270">
        <f>[1]ExpFactors!E54</f>
        <v>0</v>
      </c>
      <c r="F54" s="1270">
        <f>[1]ExpFactors!F54</f>
        <v>0</v>
      </c>
      <c r="G54" s="1370">
        <f>[1]ExpFactors!G54</f>
        <v>7.0068213155372616</v>
      </c>
      <c r="H54" s="1370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4" ht="12.75" customHeight="1">
      <c r="A55" s="1370" t="str">
        <f>[1]ExpFactors!A55</f>
        <v>tomatoes fresh</v>
      </c>
      <c r="B55" s="1370" t="str">
        <f>[1]ExpFactors!B55</f>
        <v>poor</v>
      </c>
      <c r="C55" s="1270">
        <f>[1]ExpFactors!C55</f>
        <v>0</v>
      </c>
      <c r="D55" s="1270">
        <f>[1]ExpFactors!D55</f>
        <v>0</v>
      </c>
      <c r="E55" s="1270">
        <f>[1]ExpFactors!E55</f>
        <v>0</v>
      </c>
      <c r="F55" s="1270">
        <f>[1]ExpFactors!F55</f>
        <v>0</v>
      </c>
      <c r="G55" s="1370">
        <f>[1]ExpFactors!G55</f>
        <v>4.5666758866590351</v>
      </c>
      <c r="H55" s="1370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4" ht="12.75" customHeight="1">
      <c r="A56" s="1370" t="str">
        <f>[1]ExpFactors!A56</f>
        <v>onions</v>
      </c>
      <c r="B56" s="1370" t="str">
        <f>[1]ExpFactors!B56</f>
        <v>poor</v>
      </c>
      <c r="C56" s="1270">
        <f>[1]ExpFactors!C56</f>
        <v>0</v>
      </c>
      <c r="D56" s="1270">
        <f>[1]ExpFactors!D56</f>
        <v>0</v>
      </c>
      <c r="E56" s="1270">
        <f>[1]ExpFactors!E56</f>
        <v>0</v>
      </c>
      <c r="F56" s="1270">
        <f>[1]ExpFactors!F56</f>
        <v>0</v>
      </c>
      <c r="G56" s="1370">
        <f>[1]ExpFactors!G56</f>
        <v>4.0646674694661451</v>
      </c>
      <c r="H56" s="1370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4" ht="12.75" customHeight="1">
      <c r="A57" s="1370" t="str">
        <f>[1]ExpFactors!A57</f>
        <v>bananas</v>
      </c>
      <c r="B57" s="1370" t="str">
        <f>[1]ExpFactors!B57</f>
        <v>poor</v>
      </c>
      <c r="C57" s="1270">
        <f>[1]ExpFactors!C57</f>
        <v>0</v>
      </c>
      <c r="D57" s="1270">
        <f>[1]ExpFactors!D57</f>
        <v>0</v>
      </c>
      <c r="E57" s="1270">
        <f>[1]ExpFactors!E57</f>
        <v>0</v>
      </c>
      <c r="F57" s="1270">
        <f>[1]ExpFactors!F57</f>
        <v>0</v>
      </c>
      <c r="G57" s="1370">
        <f>[1]ExpFactors!G57</f>
        <v>4.2626014535135806</v>
      </c>
      <c r="H57" s="1370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4" ht="12.75" customHeight="1">
      <c r="A58" s="1370" t="str">
        <f>[1]ExpFactors!A58</f>
        <v>cabbage fresh</v>
      </c>
      <c r="B58" s="1370" t="str">
        <f>[1]ExpFactors!B58</f>
        <v>poor</v>
      </c>
      <c r="C58" s="1270">
        <f>[1]ExpFactors!C58</f>
        <v>0</v>
      </c>
      <c r="D58" s="1270">
        <f>[1]ExpFactors!D58</f>
        <v>0</v>
      </c>
      <c r="E58" s="1270">
        <f>[1]ExpFactors!E58</f>
        <v>0</v>
      </c>
      <c r="F58" s="1270">
        <f>[1]ExpFactors!F58</f>
        <v>0</v>
      </c>
      <c r="G58" s="1370">
        <f>[1]ExpFactors!G58</f>
        <v>5.8132806588658408</v>
      </c>
      <c r="H58" s="1370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4" ht="12.75" customHeight="1">
      <c r="A59" s="1370" t="str">
        <f>[1]ExpFactors!A59</f>
        <v>burger</v>
      </c>
      <c r="B59" s="1370" t="str">
        <f>[1]ExpFactors!B59</f>
        <v>poor</v>
      </c>
      <c r="C59" s="1270">
        <f>[1]ExpFactors!C59</f>
        <v>0</v>
      </c>
      <c r="D59" s="1270">
        <f>[1]ExpFactors!D59</f>
        <v>0</v>
      </c>
      <c r="E59" s="1270">
        <f>[1]ExpFactors!E59</f>
        <v>0</v>
      </c>
      <c r="F59" s="1270">
        <f>[1]ExpFactors!F59</f>
        <v>0</v>
      </c>
      <c r="G59" s="1370">
        <f>[1]ExpFactors!G59</f>
        <v>5.1994358127158691</v>
      </c>
      <c r="H59" s="1370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4" ht="12.75" customHeight="1">
      <c r="A60" s="1370" t="str">
        <f>[1]ExpFactors!A60</f>
        <v>powder soup</v>
      </c>
      <c r="B60" s="1370" t="str">
        <f>[1]ExpFactors!B60</f>
        <v>poor</v>
      </c>
      <c r="C60" s="1270">
        <f>[1]ExpFactors!C60</f>
        <v>0</v>
      </c>
      <c r="D60" s="1270">
        <f>[1]ExpFactors!D60</f>
        <v>0</v>
      </c>
      <c r="E60" s="1270">
        <f>[1]ExpFactors!E60</f>
        <v>0</v>
      </c>
      <c r="F60" s="1270">
        <f>[1]ExpFactors!F60</f>
        <v>0</v>
      </c>
      <c r="G60" s="1370">
        <f>[1]ExpFactors!G60</f>
        <v>0.42652200065282131</v>
      </c>
      <c r="H60" s="1370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4" ht="12.75" customHeight="1">
      <c r="A61" s="1370" t="str">
        <f>[1]ExpFactors!A61</f>
        <v>brown sugar</v>
      </c>
      <c r="B61" s="1370" t="str">
        <f>[1]ExpFactors!B61</f>
        <v>poor</v>
      </c>
      <c r="C61" s="1270">
        <f>[1]ExpFactors!C61</f>
        <v>0</v>
      </c>
      <c r="D61" s="1270">
        <f>[1]ExpFactors!D61</f>
        <v>0</v>
      </c>
      <c r="E61" s="1270">
        <f>[1]ExpFactors!E61</f>
        <v>0</v>
      </c>
      <c r="F61" s="1270">
        <f>[1]ExpFactors!F61</f>
        <v>0</v>
      </c>
      <c r="G61" s="1370">
        <f>[1]ExpFactors!G61</f>
        <v>3.8845953635327595</v>
      </c>
      <c r="H61" s="1370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4" ht="12.75" customHeight="1">
      <c r="A62" s="1370" t="str">
        <f>[1]ExpFactors!A62</f>
        <v>white sugar</v>
      </c>
      <c r="B62" s="1370" t="str">
        <f>[1]ExpFactors!B62</f>
        <v>poor</v>
      </c>
      <c r="C62" s="1270">
        <f>[1]ExpFactors!C62</f>
        <v>0</v>
      </c>
      <c r="D62" s="1270">
        <f>[1]ExpFactors!D62</f>
        <v>0</v>
      </c>
      <c r="E62" s="1270">
        <f>[1]ExpFactors!E62</f>
        <v>0</v>
      </c>
      <c r="F62" s="1270">
        <f>[1]ExpFactors!F62</f>
        <v>0</v>
      </c>
      <c r="G62" s="1370">
        <f>[1]ExpFactors!G62</f>
        <v>2.5259899689339371</v>
      </c>
      <c r="H62" s="1370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4" ht="12.75" customHeight="1">
      <c r="A63" s="1370" t="str">
        <f>[1]ExpFactors!A63</f>
        <v>atchaar</v>
      </c>
      <c r="B63" s="1370" t="str">
        <f>[1]ExpFactors!B63</f>
        <v>poor</v>
      </c>
      <c r="C63" s="1270">
        <f>[1]ExpFactors!C63</f>
        <v>0</v>
      </c>
      <c r="D63" s="1270">
        <f>[1]ExpFactors!D63</f>
        <v>0</v>
      </c>
      <c r="E63" s="1270">
        <f>[1]ExpFactors!E63</f>
        <v>0</v>
      </c>
      <c r="F63" s="1270">
        <f>[1]ExpFactors!F63</f>
        <v>0</v>
      </c>
      <c r="G63" s="1370">
        <f>[1]ExpFactors!G63</f>
        <v>0.56701528463800854</v>
      </c>
      <c r="H63" s="1370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4" ht="12.75" customHeight="1">
      <c r="A64" s="1370" t="str">
        <f>[1]ExpFactors!A64</f>
        <v>whiteners (cremora)</v>
      </c>
      <c r="B64" s="1370" t="str">
        <f>[1]ExpFactors!B64</f>
        <v>poor</v>
      </c>
      <c r="C64" s="1270">
        <f>[1]ExpFactors!C64</f>
        <v>0</v>
      </c>
      <c r="D64" s="1270">
        <f>[1]ExpFactors!D64</f>
        <v>0</v>
      </c>
      <c r="E64" s="1270">
        <f>[1]ExpFactors!E64</f>
        <v>0</v>
      </c>
      <c r="F64" s="1270">
        <f>[1]ExpFactors!F64</f>
        <v>0</v>
      </c>
      <c r="G64" s="1370">
        <f>[1]ExpFactors!G64</f>
        <v>1.0350447070172715</v>
      </c>
      <c r="H64" s="1370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0" t="str">
        <f>[1]ExpFactors!A65</f>
        <v>dark green vegetables</v>
      </c>
      <c r="B65" s="1370" t="str">
        <f>[1]ExpFactors!B65</f>
        <v>poor</v>
      </c>
      <c r="C65" s="1270">
        <f>[1]ExpFactors!C65</f>
        <v>0</v>
      </c>
      <c r="D65" s="1270">
        <f>[1]ExpFactors!D65</f>
        <v>0</v>
      </c>
      <c r="E65" s="1270">
        <f>[1]ExpFactors!E65</f>
        <v>0</v>
      </c>
      <c r="F65" s="1270">
        <f>[1]ExpFactors!F65</f>
        <v>0</v>
      </c>
      <c r="G65" s="1370">
        <f>[1]ExpFactors!G65</f>
        <v>0</v>
      </c>
      <c r="H65" s="1370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0" t="str">
        <f>[1]ExpFactors!A66</f>
        <v>carrots</v>
      </c>
      <c r="B66" s="1370" t="str">
        <f>[1]ExpFactors!B66</f>
        <v>poor</v>
      </c>
      <c r="C66" s="1270">
        <f>[1]ExpFactors!C66</f>
        <v>0</v>
      </c>
      <c r="D66" s="1270">
        <f>[1]ExpFactors!D66</f>
        <v>0</v>
      </c>
      <c r="E66" s="1270">
        <f>[1]ExpFactors!E66</f>
        <v>0</v>
      </c>
      <c r="F66" s="1270">
        <f>[1]ExpFactors!F66</f>
        <v>0</v>
      </c>
      <c r="G66" s="1370">
        <f>[1]ExpFactors!G66</f>
        <v>0</v>
      </c>
      <c r="H66" s="1370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0" t="str">
        <f>[1]ExpFactors!A67</f>
        <v>butternut</v>
      </c>
      <c r="B67" s="1370" t="str">
        <f>[1]ExpFactors!B67</f>
        <v>poor</v>
      </c>
      <c r="C67" s="1270">
        <f>[1]ExpFactors!C67</f>
        <v>0</v>
      </c>
      <c r="D67" s="1270">
        <f>[1]ExpFactors!D67</f>
        <v>0</v>
      </c>
      <c r="E67" s="1270">
        <f>[1]ExpFactors!E67</f>
        <v>0</v>
      </c>
      <c r="F67" s="1270">
        <f>[1]ExpFactors!F67</f>
        <v>0</v>
      </c>
      <c r="G67" s="1370">
        <f>[1]ExpFactors!G67</f>
        <v>0</v>
      </c>
      <c r="H67" s="1370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0" t="str">
        <f>[1]ExpFactors!A68</f>
        <v>fruit (oranges)</v>
      </c>
      <c r="B68" s="1370" t="str">
        <f>[1]ExpFactors!B68</f>
        <v>poor</v>
      </c>
      <c r="C68" s="1270">
        <f>[1]ExpFactors!C68</f>
        <v>0</v>
      </c>
      <c r="D68" s="1270">
        <f>[1]ExpFactors!D68</f>
        <v>0</v>
      </c>
      <c r="E68" s="1270">
        <f>[1]ExpFactors!E68</f>
        <v>0</v>
      </c>
      <c r="F68" s="1270">
        <f>[1]ExpFactors!F68</f>
        <v>0</v>
      </c>
      <c r="G68" s="1370">
        <f>[1]ExpFactors!G68</f>
        <v>0</v>
      </c>
      <c r="H68" s="1370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0" t="str">
        <f>[1]ExpFactors!A69</f>
        <v>other items</v>
      </c>
      <c r="B69" s="1370" t="str">
        <f>[1]ExpFactors!B69</f>
        <v>WG specific</v>
      </c>
      <c r="C69" s="1270">
        <f>[1]ExpFactors!C69</f>
        <v>0</v>
      </c>
      <c r="D69" s="1270">
        <f>[1]ExpFactors!D69</f>
        <v>0</v>
      </c>
      <c r="E69" s="1270">
        <f>[1]ExpFactors!E69</f>
        <v>0</v>
      </c>
      <c r="F69" s="1270">
        <f>[1]ExpFactors!F69</f>
        <v>0</v>
      </c>
      <c r="G69" s="1370">
        <f>[1]ExpFactors!G69</f>
        <v>0</v>
      </c>
      <c r="H69" s="1370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2" t="s">
        <v>373</v>
      </c>
      <c r="B70" s="1273"/>
      <c r="C70" s="1606" t="s">
        <v>577</v>
      </c>
      <c r="D70" s="1606"/>
      <c r="E70" s="1606"/>
      <c r="F70" s="1606"/>
      <c r="G70" s="1368" t="s">
        <v>578</v>
      </c>
      <c r="H70" s="1369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0" t="str">
        <f>[1]ExpFactors!A71</f>
        <v>tea/coffee</v>
      </c>
      <c r="B71" s="1370" t="str">
        <f>[1]ExpFactors!B71</f>
        <v>poor</v>
      </c>
      <c r="C71" s="1270">
        <f>[1]ExpFactors!C71</f>
        <v>1</v>
      </c>
      <c r="D71" s="1270">
        <f>[1]ExpFactors!D71</f>
        <v>1</v>
      </c>
      <c r="E71" s="1270">
        <f>[1]ExpFactors!E71</f>
        <v>1</v>
      </c>
      <c r="F71" s="1270">
        <f>[1]ExpFactors!F71</f>
        <v>1</v>
      </c>
      <c r="G71" s="1271">
        <f>[1]ExpFactors!G71</f>
        <v>40</v>
      </c>
      <c r="H71" s="1370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0" t="str">
        <f>[1]ExpFactors!A72</f>
        <v>salt</v>
      </c>
      <c r="B72" s="1370" t="str">
        <f>[1]ExpFactors!B72</f>
        <v>poor</v>
      </c>
      <c r="C72" s="1270">
        <f>[1]ExpFactors!C72</f>
        <v>0.75</v>
      </c>
      <c r="D72" s="1270">
        <f>[1]ExpFactors!D72</f>
        <v>0.75</v>
      </c>
      <c r="E72" s="1270">
        <f>[1]ExpFactors!E72</f>
        <v>0.75</v>
      </c>
      <c r="F72" s="1270">
        <f>[1]ExpFactors!F72</f>
        <v>0.75</v>
      </c>
      <c r="G72" s="1271">
        <f>[1]ExpFactors!G72</f>
        <v>15</v>
      </c>
      <c r="H72" s="1370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0" t="str">
        <f>[1]ExpFactors!A73</f>
        <v>soap</v>
      </c>
      <c r="B73" s="1370" t="str">
        <f>[1]ExpFactors!B73</f>
        <v>poor</v>
      </c>
      <c r="C73" s="1270">
        <f>[1]ExpFactors!C73</f>
        <v>0.61904761904761907</v>
      </c>
      <c r="D73" s="1270">
        <f>[1]ExpFactors!D73</f>
        <v>0.61904761904761907</v>
      </c>
      <c r="E73" s="1270">
        <f>[1]ExpFactors!E73</f>
        <v>0.61904761904761907</v>
      </c>
      <c r="F73" s="1270">
        <f>[1]ExpFactors!F73</f>
        <v>0.61904761904761907</v>
      </c>
      <c r="G73" s="1271">
        <f>[1]ExpFactors!G73</f>
        <v>100</v>
      </c>
      <c r="H73" s="1370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0" t="str">
        <f>[1]ExpFactors!A74</f>
        <v>kerosene</v>
      </c>
      <c r="B74" s="1370" t="str">
        <f>[1]ExpFactors!B74</f>
        <v>poor</v>
      </c>
      <c r="C74" s="1270">
        <f>[1]ExpFactors!C74</f>
        <v>0.5</v>
      </c>
      <c r="D74" s="1270">
        <f>[1]ExpFactors!D74</f>
        <v>0.5</v>
      </c>
      <c r="E74" s="1270">
        <f>[1]ExpFactors!E74</f>
        <v>0.5</v>
      </c>
      <c r="F74" s="1270">
        <f>[1]ExpFactors!F74</f>
        <v>0.5</v>
      </c>
      <c r="G74" s="1271">
        <f>[1]ExpFactors!G74</f>
        <v>100</v>
      </c>
      <c r="H74" s="1370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0" t="str">
        <f>[1]ExpFactors!A75</f>
        <v>grinding</v>
      </c>
      <c r="B75" s="1370" t="str">
        <f>[1]ExpFactors!B75</f>
        <v>WG specific</v>
      </c>
      <c r="C75" s="1270">
        <f>[1]ExpFactors!C75</f>
        <v>1</v>
      </c>
      <c r="D75" s="1270">
        <f>[1]ExpFactors!D75</f>
        <v>1</v>
      </c>
      <c r="E75" s="1270">
        <f>[1]ExpFactors!E75</f>
        <v>1</v>
      </c>
      <c r="F75" s="1270">
        <f>[1]ExpFactors!F75</f>
        <v>1</v>
      </c>
      <c r="G75" s="1271">
        <f>[1]ExpFactors!G75</f>
        <v>0</v>
      </c>
      <c r="H75" s="1370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0" t="str">
        <f>[1]ExpFactors!A76</f>
        <v>firewood</v>
      </c>
      <c r="B76" s="1370" t="str">
        <f>[1]ExpFactors!B76</f>
        <v>poor</v>
      </c>
      <c r="C76" s="1270">
        <f>[1]ExpFactors!C76</f>
        <v>1</v>
      </c>
      <c r="D76" s="1270">
        <f>[1]ExpFactors!D76</f>
        <v>1</v>
      </c>
      <c r="E76" s="1270">
        <f>[1]ExpFactors!E76</f>
        <v>1</v>
      </c>
      <c r="F76" s="1270">
        <f>[1]ExpFactors!F76</f>
        <v>1</v>
      </c>
      <c r="G76" s="1271">
        <f>[1]ExpFactors!G76</f>
        <v>200</v>
      </c>
      <c r="H76" s="1370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0" t="str">
        <f>[1]ExpFactors!A77</f>
        <v>utensils</v>
      </c>
      <c r="B77" s="1370" t="str">
        <f>[1]ExpFactors!B77</f>
        <v>WG specific</v>
      </c>
      <c r="C77" s="1270">
        <f>[1]ExpFactors!C77</f>
        <v>1</v>
      </c>
      <c r="D77" s="1270">
        <f>[1]ExpFactors!D77</f>
        <v>1</v>
      </c>
      <c r="E77" s="1270">
        <f>[1]ExpFactors!E77</f>
        <v>1</v>
      </c>
      <c r="F77" s="1270">
        <f>[1]ExpFactors!F77</f>
        <v>1</v>
      </c>
      <c r="G77" s="1271">
        <f>[1]ExpFactors!G77</f>
        <v>0</v>
      </c>
      <c r="H77" s="1370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0" t="str">
        <f>[1]ExpFactors!A78</f>
        <v>clothes</v>
      </c>
      <c r="B78" s="1370" t="str">
        <f>[1]ExpFactors!B78</f>
        <v>poor</v>
      </c>
      <c r="C78" s="1270">
        <f>[1]ExpFactors!C78</f>
        <v>1</v>
      </c>
      <c r="D78" s="1270">
        <f>[1]ExpFactors!D78</f>
        <v>0.4</v>
      </c>
      <c r="E78" s="1270">
        <f>[1]ExpFactors!E78</f>
        <v>0.1</v>
      </c>
      <c r="F78" s="1270">
        <f>[1]ExpFactors!F78</f>
        <v>6.6666666666666666E-2</v>
      </c>
      <c r="G78" s="1271">
        <f>[1]ExpFactors!G78</f>
        <v>300</v>
      </c>
      <c r="H78" s="1370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0" t="str">
        <f>[1]ExpFactors!A79</f>
        <v>transport</v>
      </c>
      <c r="B79" s="1370" t="str">
        <f>[1]ExpFactors!B79</f>
        <v>poor</v>
      </c>
      <c r="C79" s="1270">
        <f>[1]ExpFactors!C79</f>
        <v>1</v>
      </c>
      <c r="D79" s="1270">
        <f>[1]ExpFactors!D79</f>
        <v>1</v>
      </c>
      <c r="E79" s="1270">
        <f>[1]ExpFactors!E79</f>
        <v>0.75</v>
      </c>
      <c r="F79" s="1270">
        <f>[1]ExpFactors!F79</f>
        <v>0.25714285714285712</v>
      </c>
      <c r="G79" s="1271">
        <f>[1]ExpFactors!G79</f>
        <v>88</v>
      </c>
      <c r="H79" s="1370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0" t="str">
        <f>[1]ExpFactors!A80</f>
        <v>Communication</v>
      </c>
      <c r="B80" s="1370" t="str">
        <f>[1]ExpFactors!B80</f>
        <v>poor</v>
      </c>
      <c r="C80" s="1270">
        <f>[1]ExpFactors!C80</f>
        <v>1</v>
      </c>
      <c r="D80" s="1270">
        <f>[1]ExpFactors!D80</f>
        <v>1</v>
      </c>
      <c r="E80" s="1270">
        <f>[1]ExpFactors!E80</f>
        <v>1</v>
      </c>
      <c r="F80" s="1270">
        <f>[1]ExpFactors!F80</f>
        <v>1</v>
      </c>
      <c r="G80" s="1271">
        <f>[1]ExpFactors!G80</f>
        <v>60</v>
      </c>
      <c r="H80" s="1370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0" t="str">
        <f>[1]ExpFactors!A81</f>
        <v>gifts</v>
      </c>
      <c r="B81" s="1370" t="str">
        <f>[1]ExpFactors!B81</f>
        <v>WG specific</v>
      </c>
      <c r="C81" s="1270">
        <f>[1]ExpFactors!C81</f>
        <v>1</v>
      </c>
      <c r="D81" s="1270">
        <f>[1]ExpFactors!D81</f>
        <v>1</v>
      </c>
      <c r="E81" s="1270">
        <f>[1]ExpFactors!E81</f>
        <v>1</v>
      </c>
      <c r="F81" s="1270">
        <f>[1]ExpFactors!F81</f>
        <v>1</v>
      </c>
      <c r="G81" s="1271">
        <f>[1]ExpFactors!G81</f>
        <v>0</v>
      </c>
      <c r="H81" s="1370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0" t="str">
        <f>[1]ExpFactors!A82</f>
        <v>Matches</v>
      </c>
      <c r="B82" s="1370" t="str">
        <f>[1]ExpFactors!B82</f>
        <v>poor</v>
      </c>
      <c r="C82" s="1269"/>
      <c r="D82" s="1270">
        <f>[1]ExpFactors!D82</f>
        <v>1</v>
      </c>
      <c r="E82" s="1269"/>
      <c r="F82" s="1269"/>
      <c r="G82" s="1271">
        <f>[1]ExpFactors!G82</f>
        <v>7.5</v>
      </c>
      <c r="H82" s="1370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2" t="s">
        <v>706</v>
      </c>
      <c r="B83" s="1273"/>
      <c r="C83" s="1606" t="s">
        <v>577</v>
      </c>
      <c r="D83" s="1606"/>
      <c r="E83" s="1606"/>
      <c r="F83" s="1606"/>
      <c r="G83" s="1368" t="str">
        <f>[1]ExpFactors!$G$83</f>
        <v>Addition</v>
      </c>
      <c r="H83" s="1369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0" t="str">
        <f>[1]ExpFactors!A84</f>
        <v>Lower Bound Poverty Line</v>
      </c>
      <c r="B84" s="1370" t="str">
        <f>[1]ExpFactors!B84</f>
        <v>poor</v>
      </c>
      <c r="C84" s="1269"/>
      <c r="D84" s="1270">
        <f>[1]ExpFactors!D84</f>
        <v>1</v>
      </c>
      <c r="E84" s="1269"/>
      <c r="F84" s="1269"/>
      <c r="G84" s="1271">
        <f>[1]ExpFactors!G84</f>
        <v>616.83333333333348</v>
      </c>
      <c r="H84" s="1370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0" t="str">
        <f>[1]ExpFactors!A85</f>
        <v>Upper Bound Poverty Line</v>
      </c>
      <c r="B85" s="1370" t="str">
        <f>[1]ExpFactors!B85</f>
        <v>poor</v>
      </c>
      <c r="C85" s="1269"/>
      <c r="D85" s="1270">
        <f>[1]ExpFactors!D85</f>
        <v>1</v>
      </c>
      <c r="E85" s="1269"/>
      <c r="F85" s="1269"/>
      <c r="G85" s="1271">
        <f>[1]ExpFactors!G85</f>
        <v>3468</v>
      </c>
      <c r="H85" s="1370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2" t="s">
        <v>707</v>
      </c>
      <c r="B86" s="1273"/>
      <c r="C86" s="1606" t="s">
        <v>577</v>
      </c>
      <c r="D86" s="1606"/>
      <c r="E86" s="1606"/>
      <c r="F86" s="1606"/>
      <c r="G86" s="1368" t="str">
        <f>[1]ExpFactors!$G$83</f>
        <v>Addition</v>
      </c>
      <c r="H86" s="1369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2" t="s">
        <v>581</v>
      </c>
      <c r="B87" s="1370" t="str">
        <f>[1]ExpFactors!B87</f>
        <v>WG specific</v>
      </c>
      <c r="C87" s="1270">
        <f>[1]ExpFactors!C87</f>
        <v>1</v>
      </c>
      <c r="D87" s="1270">
        <f>[1]ExpFactors!D87</f>
        <v>1</v>
      </c>
      <c r="E87" s="1270">
        <f>[1]ExpFactors!E87</f>
        <v>1</v>
      </c>
      <c r="F87" s="1270">
        <f>[1]ExpFactors!F87</f>
        <v>1</v>
      </c>
      <c r="G87" s="1271">
        <f>[1]ExpFactors!G87</f>
        <v>0</v>
      </c>
      <c r="H87" s="1370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2" t="s">
        <v>580</v>
      </c>
      <c r="B88" s="1370" t="str">
        <f>[1]ExpFactors!B88</f>
        <v>poor</v>
      </c>
      <c r="C88" s="1269"/>
      <c r="D88" s="1270">
        <f>[1]ExpFactors!D88</f>
        <v>0</v>
      </c>
      <c r="E88" s="1269"/>
      <c r="F88" s="1269"/>
      <c r="G88" s="1271">
        <f>[1]ExpFactors!G88</f>
        <v>0</v>
      </c>
      <c r="H88" s="1370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2" t="s">
        <v>55</v>
      </c>
      <c r="B89" s="1273"/>
      <c r="C89" s="1606" t="s">
        <v>577</v>
      </c>
      <c r="D89" s="1606"/>
      <c r="E89" s="1606"/>
      <c r="F89" s="1606"/>
      <c r="G89" s="1368" t="s">
        <v>578</v>
      </c>
      <c r="H89" s="1369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2" t="s">
        <v>582</v>
      </c>
      <c r="B90" s="1370" t="str">
        <f>[1]ExpFactors!B90</f>
        <v>poor</v>
      </c>
      <c r="C90" s="1269"/>
      <c r="D90" s="1270">
        <f>[1]ExpFactors!D90</f>
        <v>0.38500000000000001</v>
      </c>
      <c r="E90" s="1269"/>
      <c r="F90" s="1269"/>
      <c r="G90" s="1271">
        <f>[1]ExpFactors!G90</f>
        <v>16.666666666666668</v>
      </c>
      <c r="H90" s="1370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1" t="s">
        <v>583</v>
      </c>
      <c r="B91" s="1370" t="str">
        <f>[1]ExpFactors!B91</f>
        <v>WG specific</v>
      </c>
      <c r="C91" s="1270">
        <f>[1]ExpFactors!C91</f>
        <v>1</v>
      </c>
      <c r="D91" s="1270">
        <f>[1]ExpFactors!D91</f>
        <v>1</v>
      </c>
      <c r="E91" s="1270">
        <f>[1]ExpFactors!E91</f>
        <v>1</v>
      </c>
      <c r="F91" s="1270">
        <f>[1]ExpFactors!F91</f>
        <v>1</v>
      </c>
      <c r="G91" s="1271">
        <f>[1]ExpFactors!G91</f>
        <v>0</v>
      </c>
      <c r="H91" s="1370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2" t="s">
        <v>584</v>
      </c>
      <c r="B92" s="1273"/>
      <c r="C92" s="1606" t="s">
        <v>577</v>
      </c>
      <c r="D92" s="1606"/>
      <c r="E92" s="1606"/>
      <c r="F92" s="1606"/>
      <c r="G92" s="1368" t="s">
        <v>578</v>
      </c>
      <c r="H92" s="1369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74" t="s">
        <v>585</v>
      </c>
      <c r="B93" s="1370" t="str">
        <f>[1]ExpFactors!B93</f>
        <v>poor</v>
      </c>
      <c r="C93" s="1270">
        <f>[1]ExpFactors!C93</f>
        <v>1</v>
      </c>
      <c r="D93" s="1270">
        <f>[1]ExpFactors!D93</f>
        <v>0.83333333333333337</v>
      </c>
      <c r="E93" s="1270">
        <f>[1]ExpFactors!E93</f>
        <v>0.33333333333333331</v>
      </c>
      <c r="F93" s="1270">
        <f>[1]ExpFactors!F93</f>
        <v>0.26666666666666666</v>
      </c>
      <c r="G93" s="1271">
        <f>[1]ExpFactors!G93</f>
        <v>150</v>
      </c>
      <c r="H93" s="1370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74" t="s">
        <v>586</v>
      </c>
      <c r="B94" s="1370" t="str">
        <f>[1]ExpFactors!B94</f>
        <v>poor</v>
      </c>
      <c r="C94" s="1269"/>
      <c r="D94" s="1270">
        <f>[1]ExpFactors!D94</f>
        <v>1</v>
      </c>
      <c r="E94" s="1269"/>
      <c r="F94" s="1269"/>
      <c r="G94" s="1271">
        <f>[1]ExpFactors!G94</f>
        <v>70</v>
      </c>
      <c r="H94" s="1370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2" t="s">
        <v>587</v>
      </c>
      <c r="B95" s="1273"/>
      <c r="C95" s="1606" t="s">
        <v>577</v>
      </c>
      <c r="D95" s="1606"/>
      <c r="E95" s="1606"/>
      <c r="F95" s="1606"/>
      <c r="G95" s="1368" t="s">
        <v>578</v>
      </c>
      <c r="H95" s="1369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74" t="s">
        <v>588</v>
      </c>
      <c r="B96" s="1370" t="str">
        <f>[1]ExpFactors!B96</f>
        <v>WG specific</v>
      </c>
      <c r="C96" s="1270">
        <f>[1]ExpFactors!C96</f>
        <v>1</v>
      </c>
      <c r="D96" s="1270">
        <f>[1]ExpFactors!D96</f>
        <v>1</v>
      </c>
      <c r="E96" s="1270">
        <f>[1]ExpFactors!E96</f>
        <v>1</v>
      </c>
      <c r="F96" s="1270">
        <f>[1]ExpFactors!F96</f>
        <v>1</v>
      </c>
      <c r="G96" s="1271">
        <f>[1]ExpFactors!G96</f>
        <v>0</v>
      </c>
      <c r="H96" s="1370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2" t="s">
        <v>589</v>
      </c>
      <c r="B97" s="1370" t="str">
        <f>[1]ExpFactors!B97</f>
        <v>WG specific</v>
      </c>
      <c r="C97" s="1270">
        <f>[1]ExpFactors!C97</f>
        <v>0</v>
      </c>
      <c r="D97" s="1270">
        <f>[1]ExpFactors!D97</f>
        <v>0</v>
      </c>
      <c r="E97" s="1270">
        <f>[1]ExpFactors!E97</f>
        <v>0</v>
      </c>
      <c r="F97" s="1270">
        <f>[1]ExpFactors!F97</f>
        <v>0</v>
      </c>
      <c r="G97" s="1271">
        <f>[1]ExpFactors!G97</f>
        <v>0</v>
      </c>
      <c r="H97" s="1370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74" t="s">
        <v>590</v>
      </c>
      <c r="B98" s="1370" t="str">
        <f>[1]ExpFactors!B98</f>
        <v>WG specific</v>
      </c>
      <c r="C98" s="1270">
        <f>[1]ExpFactors!C98</f>
        <v>1</v>
      </c>
      <c r="D98" s="1270">
        <f>[1]ExpFactors!D98</f>
        <v>1</v>
      </c>
      <c r="E98" s="1270">
        <f>[1]ExpFactors!E98</f>
        <v>1</v>
      </c>
      <c r="F98" s="1270">
        <f>[1]ExpFactors!F98</f>
        <v>1</v>
      </c>
      <c r="G98" s="1271">
        <f>[1]ExpFactors!G98</f>
        <v>0</v>
      </c>
      <c r="H98" s="1370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74" t="s">
        <v>591</v>
      </c>
      <c r="B99" s="1370" t="str">
        <f>[1]ExpFactors!B99</f>
        <v>WG specific</v>
      </c>
      <c r="C99" s="1270">
        <f>[1]ExpFactors!C99</f>
        <v>1</v>
      </c>
      <c r="D99" s="1270">
        <f>[1]ExpFactors!D99</f>
        <v>1</v>
      </c>
      <c r="E99" s="1270">
        <f>[1]ExpFactors!E99</f>
        <v>1</v>
      </c>
      <c r="F99" s="1270">
        <f>[1]ExpFactors!F99</f>
        <v>1</v>
      </c>
      <c r="G99" s="1271">
        <f>[1]ExpFactors!G99</f>
        <v>0</v>
      </c>
      <c r="H99" s="1370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74" t="s">
        <v>592</v>
      </c>
      <c r="B100" s="1370" t="str">
        <f>[1]ExpFactors!B100</f>
        <v>WG specific</v>
      </c>
      <c r="C100" s="1270">
        <f>[1]ExpFactors!C100</f>
        <v>1</v>
      </c>
      <c r="D100" s="1270">
        <f>[1]ExpFactors!D100</f>
        <v>1</v>
      </c>
      <c r="E100" s="1270">
        <f>[1]ExpFactors!E100</f>
        <v>1</v>
      </c>
      <c r="F100" s="1270">
        <f>[1]ExpFactors!F100</f>
        <v>1</v>
      </c>
      <c r="G100" s="1271">
        <f>[1]ExpFactors!G100</f>
        <v>0</v>
      </c>
      <c r="H100" s="1370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74" t="s">
        <v>593</v>
      </c>
      <c r="B101" s="1370" t="str">
        <f>[1]ExpFactors!B101</f>
        <v>WG specific</v>
      </c>
      <c r="C101" s="1270">
        <f>[1]ExpFactors!C101</f>
        <v>1</v>
      </c>
      <c r="D101" s="1270">
        <f>[1]ExpFactors!D101</f>
        <v>1</v>
      </c>
      <c r="E101" s="1270">
        <f>[1]ExpFactors!E101</f>
        <v>1</v>
      </c>
      <c r="F101" s="1270">
        <f>[1]ExpFactors!F101</f>
        <v>1</v>
      </c>
      <c r="G101" s="1271">
        <f>[1]ExpFactors!G101</f>
        <v>0</v>
      </c>
      <c r="H101" s="1370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74" t="s">
        <v>594</v>
      </c>
      <c r="B102" s="1370" t="str">
        <f>[1]ExpFactors!B102</f>
        <v>WG specific</v>
      </c>
      <c r="C102" s="1270">
        <f>[1]ExpFactors!C102</f>
        <v>1</v>
      </c>
      <c r="D102" s="1270">
        <f>[1]ExpFactors!D102</f>
        <v>1</v>
      </c>
      <c r="E102" s="1270">
        <f>[1]ExpFactors!E102</f>
        <v>1</v>
      </c>
      <c r="F102" s="1270">
        <f>[1]ExpFactors!F102</f>
        <v>1</v>
      </c>
      <c r="G102" s="1271">
        <f>[1]ExpFactors!G102</f>
        <v>0</v>
      </c>
      <c r="H102" s="1370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74" t="s">
        <v>595</v>
      </c>
      <c r="B103" s="1370" t="str">
        <f>[1]ExpFactors!B103</f>
        <v>WG specific</v>
      </c>
      <c r="C103" s="1270">
        <f>[1]ExpFactors!C103</f>
        <v>0</v>
      </c>
      <c r="D103" s="1270">
        <f>[1]ExpFactors!D103</f>
        <v>0</v>
      </c>
      <c r="E103" s="1270">
        <f>[1]ExpFactors!E103</f>
        <v>0</v>
      </c>
      <c r="F103" s="1270">
        <f>[1]ExpFactors!F103</f>
        <v>0</v>
      </c>
      <c r="G103" s="1271">
        <f>[1]ExpFactors!G103</f>
        <v>0</v>
      </c>
      <c r="H103" s="1370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2" t="s">
        <v>596</v>
      </c>
      <c r="B104" s="1370" t="str">
        <f>[1]ExpFactors!B104</f>
        <v>WG specific</v>
      </c>
      <c r="C104" s="1270">
        <f>[1]ExpFactors!C104</f>
        <v>1</v>
      </c>
      <c r="D104" s="1270">
        <f>[1]ExpFactors!D104</f>
        <v>1</v>
      </c>
      <c r="E104" s="1270">
        <f>[1]ExpFactors!E104</f>
        <v>1</v>
      </c>
      <c r="F104" s="1270">
        <f>[1]ExpFactors!F104</f>
        <v>1</v>
      </c>
      <c r="G104" s="1271">
        <f>[1]ExpFactors!G104</f>
        <v>0</v>
      </c>
      <c r="H104" s="1370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2" t="s">
        <v>597</v>
      </c>
      <c r="B105" s="1370" t="str">
        <f>[1]ExpFactors!B105</f>
        <v>WG specific</v>
      </c>
      <c r="C105" s="1270">
        <f>[1]ExpFactors!C105</f>
        <v>1</v>
      </c>
      <c r="D105" s="1270">
        <f>[1]ExpFactors!D105</f>
        <v>1</v>
      </c>
      <c r="E105" s="1270">
        <f>[1]ExpFactors!E105</f>
        <v>1</v>
      </c>
      <c r="F105" s="1270">
        <f>[1]ExpFactors!F105</f>
        <v>1</v>
      </c>
      <c r="G105" s="1271">
        <f>[1]ExpFactors!G105</f>
        <v>0</v>
      </c>
      <c r="H105" s="1370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6"/>
      <c r="H106" s="1246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6"/>
      <c r="H107" s="1246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6"/>
      <c r="H108" s="1246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6"/>
      <c r="H109" s="1246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6"/>
      <c r="H110" s="1246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6"/>
      <c r="H111" s="1246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6"/>
      <c r="H112" s="1246"/>
      <c r="I112" s="435"/>
      <c r="J112" s="435"/>
      <c r="K112" s="43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5" customWidth="1"/>
    <col min="3" max="3" width="82.33203125" customWidth="1"/>
  </cols>
  <sheetData>
    <row r="2" spans="2:3" ht="30" customHeight="1">
      <c r="B2" s="1276" t="s">
        <v>598</v>
      </c>
      <c r="C2" s="1277"/>
    </row>
    <row r="3" spans="2:3" ht="15" customHeight="1">
      <c r="B3" s="1276" t="s">
        <v>599</v>
      </c>
      <c r="C3" s="1277" t="s">
        <v>606</v>
      </c>
    </row>
    <row r="4" spans="2:3" ht="15" customHeight="1">
      <c r="B4" s="1276" t="s">
        <v>600</v>
      </c>
      <c r="C4" s="1277" t="s">
        <v>605</v>
      </c>
    </row>
    <row r="5" spans="2:3" ht="36" customHeight="1">
      <c r="B5" s="1276" t="s">
        <v>601</v>
      </c>
      <c r="C5" s="1277"/>
    </row>
    <row r="6" spans="2:3" ht="15" customHeight="1">
      <c r="B6" s="1276" t="s">
        <v>602</v>
      </c>
      <c r="C6" s="1277" t="s">
        <v>607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16" customFormat="1" ht="13" thickBot="1">
      <c r="A1" s="1416" t="s">
        <v>794</v>
      </c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7"/>
      <c r="P1" s="1607"/>
      <c r="Q1" s="1607"/>
      <c r="R1" s="1607"/>
      <c r="S1" s="1607"/>
      <c r="T1" s="1607"/>
      <c r="U1" s="1607"/>
      <c r="V1" s="1607"/>
      <c r="W1" s="1607"/>
      <c r="X1" s="1607"/>
      <c r="Y1" s="1607"/>
      <c r="Z1" s="1607"/>
      <c r="AA1" s="1607"/>
      <c r="AB1" s="1607"/>
      <c r="AC1" s="1607"/>
      <c r="AD1" s="1607"/>
      <c r="AE1" s="1607"/>
      <c r="AF1" s="1607"/>
      <c r="AG1" s="1607"/>
      <c r="AH1" s="1607"/>
      <c r="AI1" s="1607"/>
      <c r="AJ1" s="1607"/>
      <c r="AK1" s="1607"/>
      <c r="AL1" s="1607"/>
      <c r="AM1" s="1607"/>
      <c r="AN1" s="1607"/>
      <c r="AO1" s="1607"/>
      <c r="AP1" s="1607"/>
      <c r="AQ1" s="1607"/>
      <c r="AR1" s="1607"/>
      <c r="AS1" s="1607"/>
      <c r="AT1" s="1607"/>
      <c r="AU1" s="1607"/>
      <c r="AV1" s="1607"/>
      <c r="AW1" s="1607"/>
      <c r="AX1" s="1607"/>
      <c r="AY1" s="1607"/>
      <c r="AZ1" s="1607"/>
      <c r="BA1" s="1607"/>
      <c r="BB1" s="1607"/>
      <c r="BC1" s="1607"/>
      <c r="BD1" s="1607"/>
      <c r="BE1" s="1607"/>
      <c r="BF1" s="1607"/>
      <c r="BG1" s="1607"/>
      <c r="BH1" s="1607"/>
      <c r="BI1" s="1607"/>
      <c r="BJ1" s="1607"/>
      <c r="BK1" s="1607"/>
      <c r="BL1" s="1607"/>
      <c r="BM1" s="1607"/>
      <c r="BN1" s="1607"/>
      <c r="BO1" s="1607"/>
      <c r="BP1" s="1607"/>
      <c r="BQ1" s="1607"/>
      <c r="BR1" s="1607"/>
      <c r="BS1" s="1607"/>
      <c r="BT1" s="1607"/>
      <c r="BU1" s="1607"/>
      <c r="BV1" s="1607"/>
      <c r="BW1" s="1607"/>
      <c r="BX1" s="1607"/>
      <c r="BY1" s="1607"/>
      <c r="BZ1" s="1607"/>
      <c r="CA1" s="1607"/>
      <c r="CB1" s="1607"/>
      <c r="CC1" s="1607"/>
      <c r="CD1" s="1607"/>
      <c r="CE1" s="1607"/>
      <c r="CF1" s="1607"/>
      <c r="CG1" s="1607"/>
      <c r="CH1" s="1607"/>
      <c r="CI1" s="1607"/>
      <c r="CJ1" s="1607"/>
      <c r="CK1" s="1607"/>
      <c r="CL1" s="1607"/>
      <c r="CM1" s="1607"/>
      <c r="CN1" s="1607"/>
      <c r="CO1" s="1607"/>
      <c r="CP1" s="1607"/>
      <c r="CQ1" s="1607"/>
      <c r="CR1" s="1607"/>
      <c r="CS1" s="1607"/>
      <c r="CT1" s="1607"/>
      <c r="CU1" s="1607"/>
      <c r="CV1" s="1607"/>
      <c r="CW1" s="1607"/>
      <c r="CX1" s="1607"/>
      <c r="CY1" s="1607"/>
      <c r="CZ1" s="1607"/>
      <c r="DA1" s="1607"/>
      <c r="DB1" s="1607"/>
      <c r="DC1" s="1607"/>
      <c r="DD1" s="1607"/>
      <c r="DE1" s="1607"/>
      <c r="DF1" s="1607"/>
      <c r="DG1" s="1607"/>
      <c r="DH1" s="1607"/>
      <c r="DI1" s="1607"/>
      <c r="DJ1" s="1607"/>
      <c r="DK1" s="1607"/>
      <c r="DL1" s="1607"/>
      <c r="DM1" s="1607"/>
      <c r="DN1" s="1607"/>
      <c r="DO1" s="1607"/>
      <c r="DP1" s="1607"/>
      <c r="DQ1" s="1607"/>
    </row>
    <row r="2" spans="1:133" ht="13" thickBot="1">
      <c r="A2" t="s">
        <v>41</v>
      </c>
      <c r="B2" s="1607"/>
      <c r="C2" s="1607"/>
      <c r="D2" s="1607"/>
      <c r="E2" s="1607"/>
      <c r="F2" s="1607"/>
      <c r="G2" s="1607"/>
      <c r="H2" s="1607"/>
      <c r="I2" s="1607"/>
      <c r="J2" s="1607"/>
      <c r="K2" s="1607"/>
      <c r="L2" s="1607"/>
      <c r="M2" s="1607"/>
      <c r="N2" s="1607"/>
      <c r="O2" s="1607"/>
      <c r="P2" s="1607"/>
      <c r="Q2" s="1607"/>
      <c r="R2" s="1607"/>
      <c r="S2" s="1607"/>
      <c r="T2" s="1607"/>
      <c r="U2" s="1607"/>
      <c r="V2" s="1607"/>
      <c r="W2" s="1607"/>
      <c r="X2" s="1607"/>
      <c r="Y2" s="1607"/>
      <c r="Z2" s="1607"/>
      <c r="AA2" s="1607"/>
      <c r="AB2" s="1607"/>
      <c r="AC2" s="1607"/>
      <c r="AD2" s="1607"/>
      <c r="AE2" s="1607"/>
      <c r="AF2" s="1607"/>
      <c r="AG2" s="1607"/>
      <c r="AH2" s="1607"/>
      <c r="AI2" s="1607"/>
      <c r="AJ2" s="1607"/>
      <c r="AK2" s="1607"/>
      <c r="AL2" s="1607"/>
      <c r="AM2" s="1607"/>
      <c r="AN2" s="1607"/>
      <c r="AO2" s="1607"/>
      <c r="AP2" s="1607"/>
      <c r="AQ2" s="1607"/>
      <c r="AR2" s="1607"/>
      <c r="AS2" s="1607"/>
      <c r="AT2" s="1607"/>
      <c r="AU2" s="1607"/>
      <c r="AV2" s="1607"/>
      <c r="AW2" s="1607"/>
      <c r="AX2" s="1607"/>
      <c r="AY2" s="1607"/>
      <c r="AZ2" s="1607"/>
      <c r="BA2" s="1607"/>
      <c r="BB2" s="1607"/>
      <c r="BC2" s="1607"/>
      <c r="BD2" s="1607"/>
      <c r="BE2" s="1607"/>
      <c r="BF2" s="1607"/>
      <c r="BG2" s="1607"/>
      <c r="BH2" s="1607"/>
      <c r="BI2" s="1607"/>
      <c r="BJ2" s="1607"/>
      <c r="BK2" s="1607"/>
      <c r="BL2" s="1607"/>
      <c r="BM2" s="1607"/>
      <c r="BN2" s="1607"/>
      <c r="BO2" s="1607"/>
      <c r="BP2" s="1607"/>
      <c r="BQ2" s="1607"/>
      <c r="BR2" s="1607"/>
      <c r="BS2" s="1607"/>
      <c r="BT2" s="1607"/>
      <c r="BU2" s="1607"/>
      <c r="BV2" s="1607"/>
      <c r="BW2" s="1607"/>
      <c r="BX2" s="1607"/>
      <c r="BY2" s="1607"/>
      <c r="BZ2" s="1607"/>
      <c r="CA2" s="1607"/>
      <c r="CB2" s="1607"/>
      <c r="CC2" s="1607"/>
      <c r="CD2" s="1607"/>
      <c r="CE2" s="1607"/>
      <c r="CF2" s="1607"/>
      <c r="CG2" s="1607"/>
      <c r="CH2" s="1607"/>
      <c r="CI2" s="1607"/>
      <c r="CJ2" s="1607"/>
      <c r="CK2" s="1607"/>
      <c r="CL2" s="1607"/>
      <c r="CM2" s="1607"/>
      <c r="CN2" s="1607"/>
      <c r="CO2" s="1607"/>
      <c r="CP2" s="1607"/>
      <c r="CQ2" s="1607"/>
      <c r="CR2" s="1607"/>
      <c r="CS2" s="1607"/>
      <c r="CT2" s="1607"/>
      <c r="CU2" s="1607"/>
      <c r="CV2" s="1607"/>
      <c r="CW2" s="1607"/>
      <c r="CX2" s="1607"/>
      <c r="CY2" s="1607"/>
      <c r="CZ2" s="1607"/>
      <c r="DA2" s="1607"/>
      <c r="DB2" s="1607"/>
      <c r="DC2" s="1607"/>
      <c r="DD2" s="1607"/>
      <c r="DE2" s="1607"/>
      <c r="DF2" s="1607"/>
      <c r="DG2" s="1607"/>
      <c r="DH2" s="1607"/>
      <c r="DI2" s="1607"/>
      <c r="DJ2" s="1607"/>
      <c r="DK2" s="1607"/>
      <c r="DL2" s="1607"/>
      <c r="DM2" s="1607"/>
      <c r="DN2" s="1607"/>
      <c r="DO2" s="1607"/>
      <c r="DP2" s="1607"/>
      <c r="DQ2" s="1607"/>
    </row>
    <row r="3" spans="1:133" ht="13" thickBot="1">
      <c r="A3" s="1433" t="s">
        <v>741</v>
      </c>
      <c r="B3" s="1607"/>
      <c r="C3" s="1607"/>
      <c r="D3" s="1607"/>
      <c r="E3" s="1607"/>
      <c r="F3" s="1607"/>
      <c r="G3" s="1607"/>
      <c r="H3" s="1607"/>
      <c r="I3" s="1607"/>
      <c r="J3" s="1607"/>
      <c r="K3" s="1607"/>
      <c r="L3" s="1607"/>
      <c r="M3" s="1607"/>
      <c r="N3" s="1607"/>
      <c r="O3" s="1607"/>
      <c r="P3" s="1607"/>
      <c r="Q3" s="1607"/>
      <c r="R3" s="1607"/>
      <c r="S3" s="1607"/>
      <c r="T3" s="1607"/>
      <c r="U3" s="1607"/>
      <c r="V3" s="1607"/>
      <c r="W3" s="1607"/>
      <c r="X3" s="1607"/>
      <c r="Y3" s="1607"/>
      <c r="Z3" s="1607"/>
      <c r="AA3" s="1607"/>
      <c r="AB3" s="1607"/>
      <c r="AC3" s="1607"/>
      <c r="AD3" s="1607"/>
      <c r="AE3" s="1607"/>
      <c r="AF3" s="1607"/>
      <c r="AG3" s="1607"/>
      <c r="AH3" s="1607"/>
      <c r="AI3" s="1607"/>
      <c r="AJ3" s="1607"/>
      <c r="AK3" s="1607"/>
      <c r="AL3" s="1607"/>
      <c r="AM3" s="1607"/>
      <c r="AN3" s="1607"/>
      <c r="AO3" s="1607"/>
      <c r="AP3" s="1607"/>
      <c r="AQ3" s="1607"/>
      <c r="AR3" s="1607"/>
      <c r="AS3" s="1607"/>
      <c r="AT3" s="1607"/>
      <c r="AU3" s="1607"/>
      <c r="AV3" s="1607"/>
      <c r="AW3" s="1607"/>
      <c r="AX3" s="1607"/>
      <c r="AY3" s="1607"/>
      <c r="AZ3" s="1607"/>
      <c r="BA3" s="1607"/>
      <c r="BB3" s="1607"/>
      <c r="BC3" s="1607"/>
      <c r="BD3" s="1607"/>
      <c r="BE3" s="1607"/>
      <c r="BF3" s="1607"/>
      <c r="BG3" s="1607"/>
      <c r="BH3" s="1607"/>
      <c r="BI3" s="1607"/>
      <c r="BJ3" s="1607"/>
      <c r="BK3" s="1607"/>
      <c r="BL3" s="1607"/>
      <c r="BM3" s="1607"/>
      <c r="BN3" s="1607"/>
      <c r="BO3" s="1607"/>
      <c r="BP3" s="1607"/>
      <c r="BQ3" s="1607"/>
      <c r="BR3" s="1607"/>
      <c r="BS3" s="1607"/>
      <c r="BT3" s="1607"/>
      <c r="BU3" s="1607"/>
      <c r="BV3" s="1607"/>
      <c r="BW3" s="1607"/>
      <c r="BX3" s="1607"/>
      <c r="BY3" s="1607"/>
      <c r="BZ3" s="1607"/>
      <c r="CA3" s="1607"/>
      <c r="CB3" s="1607"/>
      <c r="CC3" s="1607"/>
      <c r="CD3" s="1607"/>
      <c r="CE3" s="1607"/>
      <c r="CF3" s="1607"/>
      <c r="CG3" s="1607"/>
      <c r="CH3" s="1607"/>
      <c r="CI3" s="1607"/>
      <c r="CJ3" s="1607"/>
      <c r="CK3" s="1607"/>
      <c r="CL3" s="1607"/>
      <c r="CM3" s="1607"/>
      <c r="CN3" s="1607"/>
      <c r="CO3" s="1607"/>
      <c r="CP3" s="1607"/>
      <c r="CQ3" s="1607"/>
      <c r="CR3" s="1607"/>
      <c r="CS3" s="1607"/>
      <c r="CT3" s="1607"/>
      <c r="CU3" s="1607"/>
      <c r="CV3" s="1607"/>
      <c r="CW3" s="1607"/>
      <c r="CX3" s="1607"/>
      <c r="CY3" s="1607"/>
      <c r="CZ3" s="1607"/>
      <c r="DA3" s="1607"/>
      <c r="DB3" s="1607"/>
      <c r="DC3" s="1607"/>
      <c r="DD3" s="1607"/>
      <c r="DE3" s="1607"/>
      <c r="DF3" s="1607"/>
      <c r="DG3" s="1607"/>
      <c r="DH3" s="1607"/>
      <c r="DI3" s="1607"/>
      <c r="DJ3" s="1607"/>
      <c r="DK3" s="1607"/>
      <c r="DL3" s="1607"/>
      <c r="DM3" s="1607"/>
      <c r="DN3" s="1607"/>
      <c r="DO3" s="1607"/>
      <c r="DP3" s="1607"/>
      <c r="DQ3" s="1607"/>
      <c r="DR3" s="1607" t="s">
        <v>742</v>
      </c>
      <c r="DS3" s="1607"/>
      <c r="DT3" s="1607"/>
      <c r="DU3" s="1607"/>
      <c r="DV3" s="1607"/>
      <c r="DW3" s="1607"/>
      <c r="DX3" s="1607"/>
      <c r="DY3" s="1607"/>
      <c r="DZ3" s="1607"/>
      <c r="EA3" s="1607"/>
      <c r="EB3" s="1607"/>
      <c r="EC3" s="1607"/>
    </row>
    <row r="4" spans="1:133">
      <c r="A4" s="1434" t="s">
        <v>743</v>
      </c>
      <c r="B4" s="1435">
        <v>4</v>
      </c>
      <c r="C4" s="1436">
        <v>5</v>
      </c>
      <c r="D4" s="1436">
        <v>6</v>
      </c>
      <c r="E4" s="1436">
        <v>7</v>
      </c>
      <c r="F4" s="1436">
        <v>8</v>
      </c>
      <c r="G4" s="1436">
        <v>9</v>
      </c>
      <c r="H4" s="1436">
        <v>10</v>
      </c>
      <c r="I4" s="1436">
        <v>11</v>
      </c>
      <c r="J4" s="1436">
        <v>12</v>
      </c>
      <c r="K4" s="1436">
        <v>1</v>
      </c>
      <c r="L4" s="1436">
        <v>2</v>
      </c>
      <c r="M4" s="1436">
        <v>3</v>
      </c>
      <c r="N4" s="1435">
        <v>4</v>
      </c>
      <c r="O4" s="1436">
        <v>5</v>
      </c>
      <c r="P4" s="1436">
        <v>6</v>
      </c>
      <c r="Q4" s="1436">
        <v>7</v>
      </c>
      <c r="R4" s="1436">
        <v>8</v>
      </c>
      <c r="S4" s="1436">
        <v>9</v>
      </c>
      <c r="T4" s="1436">
        <v>10</v>
      </c>
      <c r="U4" s="1436">
        <v>11</v>
      </c>
      <c r="V4" s="1436">
        <v>12</v>
      </c>
      <c r="W4" s="1436">
        <v>1</v>
      </c>
      <c r="X4" s="1436">
        <v>2</v>
      </c>
      <c r="Y4" s="1436">
        <v>3</v>
      </c>
      <c r="Z4" s="1435">
        <v>4</v>
      </c>
      <c r="AA4" s="1436">
        <v>5</v>
      </c>
      <c r="AB4" s="1436">
        <v>6</v>
      </c>
      <c r="AC4" s="1436">
        <v>7</v>
      </c>
      <c r="AD4" s="1436">
        <v>8</v>
      </c>
      <c r="AE4" s="1436">
        <v>9</v>
      </c>
      <c r="AF4" s="1436">
        <v>10</v>
      </c>
      <c r="AG4" s="1436">
        <v>11</v>
      </c>
      <c r="AH4" s="1436">
        <v>12</v>
      </c>
      <c r="AI4" s="1436">
        <v>1</v>
      </c>
      <c r="AJ4" s="1436">
        <v>2</v>
      </c>
      <c r="AK4" s="1436">
        <v>3</v>
      </c>
      <c r="AL4" s="1435">
        <v>4</v>
      </c>
      <c r="AM4" s="1436">
        <v>5</v>
      </c>
      <c r="AN4" s="1436">
        <v>6</v>
      </c>
      <c r="AO4" s="1436">
        <v>7</v>
      </c>
      <c r="AP4" s="1436">
        <v>8</v>
      </c>
      <c r="AQ4" s="1436">
        <v>9</v>
      </c>
      <c r="AR4" s="1436">
        <v>10</v>
      </c>
      <c r="AS4" s="1436">
        <v>11</v>
      </c>
      <c r="AT4" s="1436">
        <v>12</v>
      </c>
      <c r="AU4" s="1436">
        <v>1</v>
      </c>
      <c r="AV4" s="1436">
        <v>2</v>
      </c>
      <c r="AW4" s="1436">
        <v>3</v>
      </c>
      <c r="AX4" s="1435">
        <v>4</v>
      </c>
      <c r="AY4" s="1436">
        <v>5</v>
      </c>
      <c r="AZ4" s="1436">
        <v>6</v>
      </c>
      <c r="BA4" s="1436">
        <v>7</v>
      </c>
      <c r="BB4" s="1436">
        <v>8</v>
      </c>
      <c r="BC4" s="1436">
        <v>9</v>
      </c>
      <c r="BD4" s="1436">
        <v>10</v>
      </c>
      <c r="BE4" s="1436">
        <v>11</v>
      </c>
      <c r="BF4" s="1436">
        <v>12</v>
      </c>
      <c r="BG4" s="1436">
        <v>1</v>
      </c>
      <c r="BH4" s="1436">
        <v>2</v>
      </c>
      <c r="BI4" s="1436">
        <v>3</v>
      </c>
      <c r="BJ4" s="1435">
        <v>4</v>
      </c>
      <c r="BK4" s="1436">
        <v>5</v>
      </c>
      <c r="BL4" s="1436">
        <v>6</v>
      </c>
      <c r="BM4" s="1436">
        <v>7</v>
      </c>
      <c r="BN4" s="1436">
        <v>8</v>
      </c>
      <c r="BO4" s="1436">
        <v>9</v>
      </c>
      <c r="BP4" s="1436">
        <v>10</v>
      </c>
      <c r="BQ4" s="1436">
        <v>11</v>
      </c>
      <c r="BR4" s="1436">
        <v>12</v>
      </c>
      <c r="BS4" s="1436">
        <v>1</v>
      </c>
      <c r="BT4" s="1436">
        <v>2</v>
      </c>
      <c r="BU4" s="1436">
        <v>3</v>
      </c>
      <c r="BV4" s="1435">
        <v>4</v>
      </c>
      <c r="BW4" s="1436">
        <v>5</v>
      </c>
      <c r="BX4" s="1436">
        <v>6</v>
      </c>
      <c r="BY4" s="1436">
        <v>7</v>
      </c>
      <c r="BZ4" s="1436">
        <v>8</v>
      </c>
      <c r="CA4" s="1436">
        <v>9</v>
      </c>
      <c r="CB4" s="1436">
        <v>10</v>
      </c>
      <c r="CC4" s="1436">
        <v>11</v>
      </c>
      <c r="CD4" s="1436">
        <v>12</v>
      </c>
      <c r="CE4" s="1436">
        <v>1</v>
      </c>
      <c r="CF4" s="1436">
        <v>2</v>
      </c>
      <c r="CG4" s="1436">
        <v>3</v>
      </c>
      <c r="CH4" s="1435">
        <v>4</v>
      </c>
      <c r="CI4" s="1436">
        <v>5</v>
      </c>
      <c r="CJ4" s="1436">
        <v>6</v>
      </c>
      <c r="CK4" s="1436">
        <v>7</v>
      </c>
      <c r="CL4" s="1436">
        <v>8</v>
      </c>
      <c r="CM4" s="1436">
        <v>9</v>
      </c>
      <c r="CN4" s="1436">
        <v>10</v>
      </c>
      <c r="CO4" s="1436">
        <v>11</v>
      </c>
      <c r="CP4" s="1436">
        <v>12</v>
      </c>
      <c r="CQ4" s="1436">
        <v>1</v>
      </c>
      <c r="CR4" s="1436">
        <v>2</v>
      </c>
      <c r="CS4" s="1436">
        <v>3</v>
      </c>
      <c r="CT4" s="1435">
        <v>4</v>
      </c>
      <c r="CU4" s="1436">
        <v>5</v>
      </c>
      <c r="CV4" s="1436">
        <v>6</v>
      </c>
      <c r="CW4" s="1436">
        <v>7</v>
      </c>
      <c r="CX4" s="1436">
        <v>8</v>
      </c>
      <c r="CY4" s="1436">
        <v>9</v>
      </c>
      <c r="CZ4" s="1436">
        <v>10</v>
      </c>
      <c r="DA4" s="1436">
        <v>11</v>
      </c>
      <c r="DB4" s="1436">
        <v>12</v>
      </c>
      <c r="DC4" s="1436">
        <v>1</v>
      </c>
      <c r="DD4" s="1436">
        <v>2</v>
      </c>
      <c r="DE4" s="1436">
        <v>3</v>
      </c>
      <c r="DF4" s="1435">
        <v>4</v>
      </c>
      <c r="DG4" s="1436">
        <v>5</v>
      </c>
      <c r="DH4" s="1436">
        <v>6</v>
      </c>
      <c r="DI4" s="1436">
        <v>7</v>
      </c>
      <c r="DJ4" s="1436">
        <v>8</v>
      </c>
      <c r="DK4" s="1436">
        <v>9</v>
      </c>
      <c r="DL4" s="1436">
        <v>10</v>
      </c>
      <c r="DM4" s="1436">
        <v>11</v>
      </c>
      <c r="DN4" s="1436">
        <v>12</v>
      </c>
      <c r="DO4" s="1436">
        <v>1</v>
      </c>
      <c r="DP4" s="1436">
        <v>2</v>
      </c>
      <c r="DQ4" s="1436">
        <v>3</v>
      </c>
      <c r="DR4" s="1435">
        <v>4</v>
      </c>
      <c r="DS4" s="1436">
        <v>5</v>
      </c>
      <c r="DT4" s="1436">
        <v>6</v>
      </c>
      <c r="DU4" s="1436">
        <v>7</v>
      </c>
      <c r="DV4" s="1436">
        <v>8</v>
      </c>
      <c r="DW4" s="1436">
        <v>9</v>
      </c>
      <c r="DX4" s="1436">
        <v>10</v>
      </c>
      <c r="DY4" s="1436">
        <v>11</v>
      </c>
      <c r="DZ4" s="1436">
        <v>12</v>
      </c>
      <c r="EA4" s="1436">
        <v>1</v>
      </c>
      <c r="EB4" s="1436">
        <v>2</v>
      </c>
      <c r="EC4" s="1436">
        <v>3</v>
      </c>
    </row>
    <row r="5" spans="1:133">
      <c r="A5" s="1437" t="s">
        <v>744</v>
      </c>
      <c r="B5" s="1438"/>
      <c r="C5" s="1439"/>
      <c r="D5" s="1439"/>
      <c r="E5" s="1439"/>
      <c r="F5" s="1439"/>
      <c r="G5" s="1439"/>
      <c r="H5" s="1439"/>
      <c r="I5" s="1439"/>
      <c r="J5" s="1439"/>
      <c r="K5" s="1439"/>
      <c r="L5" s="1439"/>
      <c r="M5" s="1439"/>
      <c r="N5" s="1439"/>
      <c r="O5" s="1439"/>
      <c r="P5" s="1439"/>
      <c r="Q5" s="1439"/>
      <c r="R5" s="1439"/>
      <c r="S5" s="1439"/>
      <c r="T5" s="1439"/>
      <c r="U5" s="1439"/>
      <c r="V5" s="1439"/>
      <c r="W5" s="1439"/>
      <c r="X5" s="1439"/>
      <c r="Y5" s="1439"/>
      <c r="Z5" s="1439"/>
      <c r="AA5" s="1439"/>
      <c r="AB5" s="1439"/>
      <c r="AC5" s="1439"/>
      <c r="AD5" s="1439"/>
      <c r="AE5" s="1439"/>
      <c r="AF5" s="1439"/>
      <c r="AG5" s="1439"/>
      <c r="AH5" s="1439"/>
      <c r="AI5" s="1439"/>
      <c r="AJ5" s="1439"/>
      <c r="AK5" s="1439"/>
      <c r="AL5" s="1439"/>
      <c r="AM5" s="1439"/>
      <c r="AN5" s="1439"/>
      <c r="AO5" s="1439"/>
      <c r="AP5" s="1439"/>
      <c r="AQ5" s="1439"/>
      <c r="AR5" s="1439"/>
      <c r="AS5" s="1439"/>
      <c r="AT5" s="1439"/>
      <c r="AU5" s="1439"/>
      <c r="AV5" s="1439"/>
      <c r="AW5" s="1439"/>
      <c r="AX5" s="1439"/>
      <c r="AY5" s="1439"/>
      <c r="AZ5" s="1439"/>
      <c r="BA5" s="1439"/>
      <c r="BB5" s="1439"/>
      <c r="BC5" s="1439"/>
      <c r="BD5" s="1439"/>
      <c r="BE5" s="1439"/>
      <c r="BF5" s="1439"/>
      <c r="BG5" s="1439"/>
      <c r="BH5" s="1439"/>
      <c r="BI5" s="1439"/>
      <c r="BJ5" s="1439"/>
      <c r="BK5" s="1439"/>
      <c r="BL5" s="1439"/>
      <c r="BM5" s="1439"/>
      <c r="BN5" s="1439"/>
      <c r="BO5" s="1439"/>
      <c r="BP5" s="1439"/>
      <c r="BQ5" s="1439"/>
      <c r="BR5" s="1439"/>
      <c r="BS5" s="1439"/>
      <c r="BT5" s="1439"/>
      <c r="BU5" s="1439"/>
      <c r="BV5" s="1439"/>
      <c r="BW5" s="1439"/>
      <c r="BX5" s="1439"/>
      <c r="BY5" s="1439"/>
      <c r="BZ5" s="1439"/>
      <c r="CA5" s="1439"/>
      <c r="CB5" s="1439"/>
      <c r="CC5" s="1439"/>
      <c r="CD5" s="1439"/>
      <c r="CE5" s="1439"/>
      <c r="CF5" s="1439"/>
      <c r="CG5" s="1439"/>
      <c r="CH5" s="1439"/>
      <c r="CI5" s="1439"/>
      <c r="CJ5" s="1439"/>
      <c r="CK5" s="1439"/>
      <c r="CL5" s="1439"/>
      <c r="CM5" s="1439"/>
      <c r="CN5" s="1439"/>
      <c r="CO5" s="1439"/>
      <c r="CP5" s="1439"/>
      <c r="CQ5" s="1439"/>
      <c r="CR5" s="1439"/>
      <c r="CS5" s="1439"/>
      <c r="CT5" s="1439"/>
      <c r="CU5" s="1439"/>
      <c r="CV5" s="1439"/>
      <c r="CW5" s="1439"/>
      <c r="CX5" s="1439"/>
      <c r="CY5" s="1439"/>
      <c r="CZ5" s="1439"/>
      <c r="DA5" s="1439"/>
      <c r="DB5" s="1439"/>
      <c r="DC5" s="1439"/>
      <c r="DD5" s="1439"/>
      <c r="DE5" s="1439"/>
      <c r="DF5" s="1439"/>
      <c r="DG5" s="1439"/>
      <c r="DH5" s="1439"/>
      <c r="DI5" s="1439"/>
      <c r="DJ5" s="1439"/>
      <c r="DK5" s="1439"/>
      <c r="DL5" s="1439"/>
      <c r="DM5" s="1439"/>
      <c r="DN5" s="1439"/>
      <c r="DO5" s="1439"/>
      <c r="DP5" s="1439"/>
      <c r="DQ5" s="1439"/>
      <c r="DR5" s="1439"/>
      <c r="DS5" s="1439"/>
      <c r="DT5" s="1439"/>
      <c r="DU5" s="1439"/>
      <c r="DV5" s="1439"/>
      <c r="DW5" s="1439"/>
      <c r="DX5" s="1439"/>
      <c r="DY5" s="1439"/>
      <c r="DZ5" s="1439"/>
      <c r="EA5" s="1439"/>
      <c r="EB5" s="1439"/>
      <c r="EC5" s="1440"/>
    </row>
    <row r="6" spans="1:133">
      <c r="A6" s="1441" t="s">
        <v>745</v>
      </c>
      <c r="B6" s="1442"/>
      <c r="C6" s="1443"/>
      <c r="D6" s="1443"/>
      <c r="E6" s="1443"/>
      <c r="F6" s="1443"/>
      <c r="G6" s="1443"/>
      <c r="H6" s="1443"/>
      <c r="I6" s="1443"/>
      <c r="J6" s="1443"/>
      <c r="K6" s="1443"/>
      <c r="L6" s="1443"/>
      <c r="M6" s="1444"/>
      <c r="N6" s="1442"/>
      <c r="O6" s="1443"/>
      <c r="P6" s="1443"/>
      <c r="Q6" s="1443"/>
      <c r="R6" s="1443"/>
      <c r="S6" s="1443"/>
      <c r="T6" s="1443"/>
      <c r="U6" s="1443"/>
      <c r="V6" s="1443"/>
      <c r="W6" s="1443"/>
      <c r="X6" s="1443"/>
      <c r="Y6" s="1444"/>
      <c r="Z6" s="1442"/>
      <c r="AA6" s="1443"/>
      <c r="AB6" s="1443"/>
      <c r="AC6" s="1443"/>
      <c r="AD6" s="1443"/>
      <c r="AE6" s="1443"/>
      <c r="AF6" s="1443"/>
      <c r="AG6" s="1443"/>
      <c r="AH6" s="1443"/>
      <c r="AI6" s="1443"/>
      <c r="AJ6" s="1443"/>
      <c r="AK6" s="1444"/>
      <c r="AL6" s="1442"/>
      <c r="AM6" s="1443"/>
      <c r="AN6" s="1443"/>
      <c r="AO6" s="1443"/>
      <c r="AP6" s="1443"/>
      <c r="AQ6" s="1443"/>
      <c r="AR6" s="1443"/>
      <c r="AS6" s="1443"/>
      <c r="AT6" s="1443"/>
      <c r="AU6" s="1443"/>
      <c r="AV6" s="1443"/>
      <c r="AW6" s="1444"/>
      <c r="AX6" s="1442"/>
      <c r="AY6" s="1443"/>
      <c r="AZ6" s="1443"/>
      <c r="BA6" s="1443"/>
      <c r="BB6" s="1443"/>
      <c r="BC6" s="1443"/>
      <c r="BD6" s="1443"/>
      <c r="BE6" s="1443"/>
      <c r="BF6" s="1443"/>
      <c r="BG6" s="1443"/>
      <c r="BH6" s="1443"/>
      <c r="BI6" s="1444"/>
      <c r="BJ6" s="1442"/>
      <c r="BK6" s="1443"/>
      <c r="BL6" s="1443"/>
      <c r="BM6" s="1443"/>
      <c r="BN6" s="1443"/>
      <c r="BO6" s="1443"/>
      <c r="BP6" s="1443"/>
      <c r="BQ6" s="1443"/>
      <c r="BR6" s="1443"/>
      <c r="BS6" s="1443"/>
      <c r="BT6" s="1443"/>
      <c r="BU6" s="1444"/>
      <c r="BV6" s="1445"/>
      <c r="BW6" s="1446"/>
      <c r="BX6" s="1446"/>
      <c r="BY6" s="1446"/>
      <c r="BZ6" s="1446"/>
      <c r="CA6" s="1446"/>
      <c r="CB6" s="1446"/>
      <c r="CC6" s="1446"/>
      <c r="CD6" s="1446"/>
      <c r="CE6" s="1446"/>
      <c r="CF6" s="1446"/>
      <c r="CG6" s="1447"/>
      <c r="CH6" s="1445"/>
      <c r="CI6" s="1446"/>
      <c r="CJ6" s="1446"/>
      <c r="CK6" s="1446"/>
      <c r="CL6" s="1446"/>
      <c r="CM6" s="1446"/>
      <c r="CN6" s="1446"/>
      <c r="CO6" s="1446"/>
      <c r="CP6" s="1446"/>
      <c r="CQ6" s="1446"/>
      <c r="CR6" s="1446"/>
      <c r="CS6" s="1447"/>
      <c r="CT6" s="1445"/>
      <c r="CU6" s="1446"/>
      <c r="CV6" s="1446"/>
      <c r="CW6" s="1446"/>
      <c r="CX6" s="1446"/>
      <c r="CY6" s="1446"/>
      <c r="CZ6" s="1446"/>
      <c r="DA6" s="1446"/>
      <c r="DB6" s="1446"/>
      <c r="DC6" s="1446"/>
      <c r="DD6" s="1446"/>
      <c r="DE6" s="1447"/>
      <c r="DF6" s="1445"/>
      <c r="DG6" s="1446"/>
      <c r="DH6" s="1446"/>
      <c r="DI6" s="1446"/>
      <c r="DJ6" s="1446"/>
      <c r="DK6" s="1446"/>
      <c r="DL6" s="1446"/>
      <c r="DM6" s="1446"/>
      <c r="DN6" s="1446"/>
      <c r="DO6" s="1446"/>
      <c r="DP6" s="1446"/>
      <c r="DQ6" s="1447"/>
      <c r="DR6" s="1448">
        <f t="shared" ref="DR6:EC8" si="0">SUM(B6,N6,Z6,AL6,AX6,BJ6,BV6,CH6,CT6,DF6)</f>
        <v>0</v>
      </c>
      <c r="DS6" s="1446">
        <f t="shared" si="0"/>
        <v>0</v>
      </c>
      <c r="DT6" s="1446">
        <f t="shared" si="0"/>
        <v>0</v>
      </c>
      <c r="DU6" s="1446">
        <f t="shared" si="0"/>
        <v>0</v>
      </c>
      <c r="DV6" s="1446">
        <f t="shared" si="0"/>
        <v>0</v>
      </c>
      <c r="DW6" s="1446">
        <f t="shared" si="0"/>
        <v>0</v>
      </c>
      <c r="DX6" s="1446">
        <f t="shared" si="0"/>
        <v>0</v>
      </c>
      <c r="DY6" s="1446">
        <f t="shared" si="0"/>
        <v>0</v>
      </c>
      <c r="DZ6" s="1446">
        <f t="shared" si="0"/>
        <v>0</v>
      </c>
      <c r="EA6" s="1446">
        <f t="shared" si="0"/>
        <v>0</v>
      </c>
      <c r="EB6" s="1446">
        <f t="shared" si="0"/>
        <v>0</v>
      </c>
      <c r="EC6" s="1447">
        <f t="shared" si="0"/>
        <v>0</v>
      </c>
    </row>
    <row r="7" spans="1:133">
      <c r="A7" s="1441" t="s">
        <v>746</v>
      </c>
      <c r="B7" s="1442"/>
      <c r="C7" s="1443"/>
      <c r="D7" s="1443"/>
      <c r="E7" s="1443"/>
      <c r="F7" s="1443"/>
      <c r="G7" s="1443"/>
      <c r="H7" s="1443"/>
      <c r="I7" s="1443"/>
      <c r="J7" s="1443"/>
      <c r="K7" s="1443"/>
      <c r="L7" s="1443"/>
      <c r="M7" s="1444"/>
      <c r="N7" s="1442"/>
      <c r="O7" s="1443"/>
      <c r="P7" s="1443"/>
      <c r="Q7" s="1443"/>
      <c r="R7" s="1443"/>
      <c r="S7" s="1443"/>
      <c r="T7" s="1443"/>
      <c r="U7" s="1443"/>
      <c r="V7" s="1443"/>
      <c r="W7" s="1443"/>
      <c r="X7" s="1443"/>
      <c r="Y7" s="1444"/>
      <c r="Z7" s="1442"/>
      <c r="AA7" s="1443"/>
      <c r="AB7" s="1443"/>
      <c r="AC7" s="1443"/>
      <c r="AD7" s="1443"/>
      <c r="AE7" s="1443"/>
      <c r="AF7" s="1443"/>
      <c r="AG7" s="1443"/>
      <c r="AH7" s="1443"/>
      <c r="AI7" s="1443"/>
      <c r="AJ7" s="1443"/>
      <c r="AK7" s="1444"/>
      <c r="AL7" s="1442"/>
      <c r="AM7" s="1443"/>
      <c r="AN7" s="1443"/>
      <c r="AO7" s="1443"/>
      <c r="AP7" s="1443"/>
      <c r="AQ7" s="1443"/>
      <c r="AR7" s="1443"/>
      <c r="AS7" s="1443"/>
      <c r="AT7" s="1443"/>
      <c r="AU7" s="1443"/>
      <c r="AV7" s="1443"/>
      <c r="AW7" s="1444"/>
      <c r="AX7" s="1442"/>
      <c r="AY7" s="1443"/>
      <c r="AZ7" s="1443"/>
      <c r="BA7" s="1443"/>
      <c r="BB7" s="1443"/>
      <c r="BC7" s="1443"/>
      <c r="BD7" s="1443"/>
      <c r="BE7" s="1443"/>
      <c r="BF7" s="1443"/>
      <c r="BG7" s="1443"/>
      <c r="BH7" s="1443"/>
      <c r="BI7" s="1444"/>
      <c r="BJ7" s="1442"/>
      <c r="BK7" s="1443"/>
      <c r="BL7" s="1443"/>
      <c r="BM7" s="1443"/>
      <c r="BN7" s="1443"/>
      <c r="BO7" s="1443"/>
      <c r="BP7" s="1443"/>
      <c r="BQ7" s="1443"/>
      <c r="BR7" s="1443"/>
      <c r="BS7" s="1443"/>
      <c r="BT7" s="1443"/>
      <c r="BU7" s="1444"/>
      <c r="BV7" s="1442"/>
      <c r="BW7" s="1443"/>
      <c r="BX7" s="1443"/>
      <c r="BY7" s="1443"/>
      <c r="BZ7" s="1443"/>
      <c r="CA7" s="1443"/>
      <c r="CB7" s="1443"/>
      <c r="CC7" s="1443"/>
      <c r="CD7" s="1443"/>
      <c r="CE7" s="1443"/>
      <c r="CF7" s="1443"/>
      <c r="CG7" s="1444"/>
      <c r="CH7" s="1442"/>
      <c r="CI7" s="1443"/>
      <c r="CJ7" s="1443"/>
      <c r="CK7" s="1443"/>
      <c r="CL7" s="1443"/>
      <c r="CM7" s="1443"/>
      <c r="CN7" s="1443"/>
      <c r="CO7" s="1443"/>
      <c r="CP7" s="1443"/>
      <c r="CQ7" s="1443"/>
      <c r="CR7" s="1443"/>
      <c r="CS7" s="1444"/>
      <c r="CT7" s="1442"/>
      <c r="CU7" s="1443"/>
      <c r="CV7" s="1443"/>
      <c r="CW7" s="1443"/>
      <c r="CX7" s="1443"/>
      <c r="CY7" s="1443"/>
      <c r="CZ7" s="1443"/>
      <c r="DA7" s="1443"/>
      <c r="DB7" s="1443"/>
      <c r="DC7" s="1443"/>
      <c r="DD7" s="1443"/>
      <c r="DE7" s="1444"/>
      <c r="DF7" s="1442"/>
      <c r="DG7" s="1443"/>
      <c r="DH7" s="1443"/>
      <c r="DI7" s="1443"/>
      <c r="DJ7" s="1443"/>
      <c r="DK7" s="1443"/>
      <c r="DL7" s="1443"/>
      <c r="DM7" s="1443"/>
      <c r="DN7" s="1443"/>
      <c r="DO7" s="1443"/>
      <c r="DP7" s="1443"/>
      <c r="DQ7" s="1444"/>
      <c r="DR7" s="1448">
        <f t="shared" si="0"/>
        <v>0</v>
      </c>
      <c r="DS7" s="1446">
        <f t="shared" si="0"/>
        <v>0</v>
      </c>
      <c r="DT7" s="1446">
        <f t="shared" si="0"/>
        <v>0</v>
      </c>
      <c r="DU7" s="1446">
        <f t="shared" si="0"/>
        <v>0</v>
      </c>
      <c r="DV7" s="1446">
        <f t="shared" si="0"/>
        <v>0</v>
      </c>
      <c r="DW7" s="1446">
        <f t="shared" si="0"/>
        <v>0</v>
      </c>
      <c r="DX7" s="1446">
        <f t="shared" si="0"/>
        <v>0</v>
      </c>
      <c r="DY7" s="1446">
        <f t="shared" si="0"/>
        <v>0</v>
      </c>
      <c r="DZ7" s="1446">
        <f t="shared" si="0"/>
        <v>0</v>
      </c>
      <c r="EA7" s="1446">
        <f t="shared" si="0"/>
        <v>0</v>
      </c>
      <c r="EB7" s="1446">
        <f t="shared" si="0"/>
        <v>0</v>
      </c>
      <c r="EC7" s="1447">
        <f t="shared" si="0"/>
        <v>0</v>
      </c>
    </row>
    <row r="8" spans="1:133">
      <c r="A8" s="1441" t="s">
        <v>747</v>
      </c>
      <c r="B8" s="1442"/>
      <c r="C8" s="1443"/>
      <c r="D8" s="1443"/>
      <c r="E8" s="1443"/>
      <c r="F8" s="1443"/>
      <c r="G8" s="1443"/>
      <c r="H8" s="1443"/>
      <c r="I8" s="1443"/>
      <c r="J8" s="1443"/>
      <c r="K8" s="1443"/>
      <c r="L8" s="1443"/>
      <c r="M8" s="1444"/>
      <c r="N8" s="1442"/>
      <c r="O8" s="1443"/>
      <c r="P8" s="1443"/>
      <c r="Q8" s="1443"/>
      <c r="R8" s="1443"/>
      <c r="S8" s="1443"/>
      <c r="T8" s="1443"/>
      <c r="U8" s="1443"/>
      <c r="V8" s="1443"/>
      <c r="W8" s="1443"/>
      <c r="X8" s="1443"/>
      <c r="Y8" s="1444"/>
      <c r="Z8" s="1442"/>
      <c r="AA8" s="1443"/>
      <c r="AB8" s="1443"/>
      <c r="AC8" s="1443"/>
      <c r="AD8" s="1443"/>
      <c r="AE8" s="1443"/>
      <c r="AF8" s="1443"/>
      <c r="AG8" s="1443"/>
      <c r="AH8" s="1443"/>
      <c r="AI8" s="1443"/>
      <c r="AJ8" s="1443"/>
      <c r="AK8" s="1444"/>
      <c r="AL8" s="1442"/>
      <c r="AM8" s="1443"/>
      <c r="AN8" s="1443"/>
      <c r="AO8" s="1443"/>
      <c r="AP8" s="1443"/>
      <c r="AQ8" s="1443"/>
      <c r="AR8" s="1443"/>
      <c r="AS8" s="1443"/>
      <c r="AT8" s="1443"/>
      <c r="AU8" s="1443"/>
      <c r="AV8" s="1443"/>
      <c r="AW8" s="1444"/>
      <c r="AX8" s="1442"/>
      <c r="AY8" s="1443"/>
      <c r="AZ8" s="1443"/>
      <c r="BA8" s="1443"/>
      <c r="BB8" s="1443"/>
      <c r="BC8" s="1443"/>
      <c r="BD8" s="1443"/>
      <c r="BE8" s="1443"/>
      <c r="BF8" s="1443"/>
      <c r="BG8" s="1443"/>
      <c r="BH8" s="1443"/>
      <c r="BI8" s="1444"/>
      <c r="BJ8" s="1442"/>
      <c r="BK8" s="1443"/>
      <c r="BL8" s="1443"/>
      <c r="BM8" s="1443"/>
      <c r="BN8" s="1443"/>
      <c r="BO8" s="1443"/>
      <c r="BP8" s="1443"/>
      <c r="BQ8" s="1443"/>
      <c r="BR8" s="1443"/>
      <c r="BS8" s="1443"/>
      <c r="BT8" s="1443"/>
      <c r="BU8" s="1444"/>
      <c r="BV8" s="1442"/>
      <c r="BW8" s="1443"/>
      <c r="BX8" s="1443"/>
      <c r="BY8" s="1443"/>
      <c r="BZ8" s="1443"/>
      <c r="CA8" s="1443"/>
      <c r="CB8" s="1443"/>
      <c r="CC8" s="1443"/>
      <c r="CD8" s="1443"/>
      <c r="CE8" s="1443"/>
      <c r="CF8" s="1443"/>
      <c r="CG8" s="1444"/>
      <c r="CH8" s="1442"/>
      <c r="CI8" s="1443"/>
      <c r="CJ8" s="1443"/>
      <c r="CK8" s="1443"/>
      <c r="CL8" s="1443"/>
      <c r="CM8" s="1443"/>
      <c r="CN8" s="1443"/>
      <c r="CO8" s="1443"/>
      <c r="CP8" s="1443"/>
      <c r="CQ8" s="1443"/>
      <c r="CR8" s="1443"/>
      <c r="CS8" s="1444"/>
      <c r="CT8" s="1442"/>
      <c r="CU8" s="1443"/>
      <c r="CV8" s="1443"/>
      <c r="CW8" s="1443"/>
      <c r="CX8" s="1443"/>
      <c r="CY8" s="1443"/>
      <c r="CZ8" s="1443"/>
      <c r="DA8" s="1443"/>
      <c r="DB8" s="1443"/>
      <c r="DC8" s="1443"/>
      <c r="DD8" s="1443"/>
      <c r="DE8" s="1444"/>
      <c r="DF8" s="1442"/>
      <c r="DG8" s="1443"/>
      <c r="DH8" s="1443"/>
      <c r="DI8" s="1443"/>
      <c r="DJ8" s="1443"/>
      <c r="DK8" s="1443"/>
      <c r="DL8" s="1443"/>
      <c r="DM8" s="1443"/>
      <c r="DN8" s="1443"/>
      <c r="DO8" s="1443"/>
      <c r="DP8" s="1443"/>
      <c r="DQ8" s="1444"/>
      <c r="DR8" s="1448">
        <f t="shared" si="0"/>
        <v>0</v>
      </c>
      <c r="DS8" s="1446">
        <f t="shared" si="0"/>
        <v>0</v>
      </c>
      <c r="DT8" s="1446">
        <f t="shared" si="0"/>
        <v>0</v>
      </c>
      <c r="DU8" s="1446">
        <f t="shared" si="0"/>
        <v>0</v>
      </c>
      <c r="DV8" s="1446">
        <f t="shared" si="0"/>
        <v>0</v>
      </c>
      <c r="DW8" s="1446">
        <f t="shared" si="0"/>
        <v>0</v>
      </c>
      <c r="DX8" s="1446">
        <f t="shared" si="0"/>
        <v>0</v>
      </c>
      <c r="DY8" s="1446">
        <f t="shared" si="0"/>
        <v>0</v>
      </c>
      <c r="DZ8" s="1446">
        <f t="shared" si="0"/>
        <v>0</v>
      </c>
      <c r="EA8" s="1446">
        <f t="shared" si="0"/>
        <v>0</v>
      </c>
      <c r="EB8" s="1446">
        <f t="shared" si="0"/>
        <v>0</v>
      </c>
      <c r="EC8" s="1447">
        <f t="shared" si="0"/>
        <v>0</v>
      </c>
    </row>
    <row r="9" spans="1:133">
      <c r="A9" s="1437" t="s">
        <v>748</v>
      </c>
      <c r="B9" s="1438"/>
      <c r="C9" s="1439"/>
      <c r="D9" s="1439"/>
      <c r="E9" s="1439"/>
      <c r="F9" s="1439"/>
      <c r="G9" s="1439"/>
      <c r="H9" s="1439"/>
      <c r="I9" s="1439"/>
      <c r="J9" s="1439"/>
      <c r="K9" s="1439"/>
      <c r="L9" s="1439"/>
      <c r="M9" s="1439"/>
      <c r="N9" s="1439"/>
      <c r="O9" s="1439"/>
      <c r="P9" s="1439"/>
      <c r="Q9" s="1439"/>
      <c r="R9" s="1439"/>
      <c r="S9" s="1439"/>
      <c r="T9" s="1439"/>
      <c r="U9" s="1439"/>
      <c r="V9" s="1439"/>
      <c r="W9" s="1439"/>
      <c r="X9" s="1439"/>
      <c r="Y9" s="1439"/>
      <c r="Z9" s="1439"/>
      <c r="AA9" s="1439"/>
      <c r="AB9" s="1439"/>
      <c r="AC9" s="1439"/>
      <c r="AD9" s="1439"/>
      <c r="AE9" s="1439"/>
      <c r="AF9" s="1439"/>
      <c r="AG9" s="1439"/>
      <c r="AH9" s="1439"/>
      <c r="AI9" s="1439"/>
      <c r="AJ9" s="1439"/>
      <c r="AK9" s="1439"/>
      <c r="AL9" s="1439"/>
      <c r="AM9" s="1439"/>
      <c r="AN9" s="1439"/>
      <c r="AO9" s="1439"/>
      <c r="AP9" s="1439"/>
      <c r="AQ9" s="1439"/>
      <c r="AR9" s="1439"/>
      <c r="AS9" s="1439"/>
      <c r="AT9" s="1439"/>
      <c r="AU9" s="1439"/>
      <c r="AV9" s="1439"/>
      <c r="AW9" s="1439"/>
      <c r="AX9" s="1439"/>
      <c r="AY9" s="1439"/>
      <c r="AZ9" s="1439"/>
      <c r="BA9" s="1439"/>
      <c r="BB9" s="1439"/>
      <c r="BC9" s="1439"/>
      <c r="BD9" s="1439"/>
      <c r="BE9" s="1439"/>
      <c r="BF9" s="1439"/>
      <c r="BG9" s="1439"/>
      <c r="BH9" s="1439"/>
      <c r="BI9" s="1439"/>
      <c r="BJ9" s="1439"/>
      <c r="BK9" s="1439"/>
      <c r="BL9" s="1439"/>
      <c r="BM9" s="1439"/>
      <c r="BN9" s="1439"/>
      <c r="BO9" s="1439"/>
      <c r="BP9" s="1439"/>
      <c r="BQ9" s="1439"/>
      <c r="BR9" s="1439"/>
      <c r="BS9" s="1439"/>
      <c r="BT9" s="1439"/>
      <c r="BU9" s="1439"/>
      <c r="BV9" s="1439"/>
      <c r="BW9" s="1439"/>
      <c r="BX9" s="1439"/>
      <c r="BY9" s="1439"/>
      <c r="BZ9" s="1439"/>
      <c r="CA9" s="1439"/>
      <c r="CB9" s="1439"/>
      <c r="CC9" s="1439"/>
      <c r="CD9" s="1439"/>
      <c r="CE9" s="1439"/>
      <c r="CF9" s="1439"/>
      <c r="CG9" s="1439"/>
      <c r="CH9" s="1439"/>
      <c r="CI9" s="1439"/>
      <c r="CJ9" s="1439"/>
      <c r="CK9" s="1439"/>
      <c r="CL9" s="1439"/>
      <c r="CM9" s="1439"/>
      <c r="CN9" s="1439"/>
      <c r="CO9" s="1439"/>
      <c r="CP9" s="1439"/>
      <c r="CQ9" s="1439"/>
      <c r="CR9" s="1439"/>
      <c r="CS9" s="1439"/>
      <c r="CT9" s="1439"/>
      <c r="CU9" s="1439"/>
      <c r="CV9" s="1439"/>
      <c r="CW9" s="1439"/>
      <c r="CX9" s="1439"/>
      <c r="CY9" s="1439"/>
      <c r="CZ9" s="1439"/>
      <c r="DA9" s="1439"/>
      <c r="DB9" s="1439"/>
      <c r="DC9" s="1439"/>
      <c r="DD9" s="1439"/>
      <c r="DE9" s="1439"/>
      <c r="DF9" s="1439"/>
      <c r="DG9" s="1439"/>
      <c r="DH9" s="1439"/>
      <c r="DI9" s="1439"/>
      <c r="DJ9" s="1439"/>
      <c r="DK9" s="1439"/>
      <c r="DL9" s="1439"/>
      <c r="DM9" s="1439"/>
      <c r="DN9" s="1439"/>
      <c r="DO9" s="1439"/>
      <c r="DP9" s="1439"/>
      <c r="DQ9" s="1439"/>
      <c r="DR9" s="1439"/>
      <c r="DS9" s="1439"/>
      <c r="DT9" s="1439"/>
      <c r="DU9" s="1439"/>
      <c r="DV9" s="1439"/>
      <c r="DW9" s="1439"/>
      <c r="DX9" s="1439"/>
      <c r="DY9" s="1439"/>
      <c r="DZ9" s="1439"/>
      <c r="EA9" s="1439"/>
      <c r="EB9" s="1439"/>
      <c r="EC9" s="1440"/>
    </row>
    <row r="10" spans="1:133">
      <c r="A10" s="1449" t="s">
        <v>749</v>
      </c>
      <c r="B10" s="1442"/>
      <c r="C10" s="1443"/>
      <c r="D10" s="1443"/>
      <c r="E10" s="1443"/>
      <c r="F10" s="1443"/>
      <c r="G10" s="1443"/>
      <c r="H10" s="1443"/>
      <c r="I10" s="1443"/>
      <c r="J10" s="1443"/>
      <c r="K10" s="1443"/>
      <c r="L10" s="1443"/>
      <c r="M10" s="1444"/>
      <c r="N10" s="1442"/>
      <c r="O10" s="1443"/>
      <c r="P10" s="1443"/>
      <c r="Q10" s="1443"/>
      <c r="R10" s="1443"/>
      <c r="S10" s="1443"/>
      <c r="T10" s="1443"/>
      <c r="U10" s="1443"/>
      <c r="V10" s="1443"/>
      <c r="W10" s="1443"/>
      <c r="X10" s="1443"/>
      <c r="Y10" s="1444"/>
      <c r="Z10" s="1442"/>
      <c r="AA10" s="1443"/>
      <c r="AB10" s="1443"/>
      <c r="AC10" s="1443"/>
      <c r="AD10" s="1443"/>
      <c r="AE10" s="1443"/>
      <c r="AF10" s="1443"/>
      <c r="AG10" s="1443"/>
      <c r="AH10" s="1443"/>
      <c r="AI10" s="1443"/>
      <c r="AJ10" s="1443"/>
      <c r="AK10" s="1444"/>
      <c r="AL10" s="1442"/>
      <c r="AM10" s="1443"/>
      <c r="AN10" s="1443"/>
      <c r="AO10" s="1443"/>
      <c r="AP10" s="1443"/>
      <c r="AQ10" s="1443"/>
      <c r="AR10" s="1443"/>
      <c r="AS10" s="1443"/>
      <c r="AT10" s="1443"/>
      <c r="AU10" s="1443"/>
      <c r="AV10" s="1443"/>
      <c r="AW10" s="1444"/>
      <c r="AX10" s="1442"/>
      <c r="AY10" s="1443"/>
      <c r="AZ10" s="1443"/>
      <c r="BA10" s="1443"/>
      <c r="BB10" s="1443"/>
      <c r="BC10" s="1443"/>
      <c r="BD10" s="1443"/>
      <c r="BE10" s="1443"/>
      <c r="BF10" s="1443"/>
      <c r="BG10" s="1443"/>
      <c r="BH10" s="1443"/>
      <c r="BI10" s="1444"/>
      <c r="BJ10" s="1442"/>
      <c r="BK10" s="1443"/>
      <c r="BL10" s="1443"/>
      <c r="BM10" s="1443"/>
      <c r="BN10" s="1443"/>
      <c r="BO10" s="1443"/>
      <c r="BP10" s="1443"/>
      <c r="BQ10" s="1443"/>
      <c r="BR10" s="1443"/>
      <c r="BS10" s="1443"/>
      <c r="BT10" s="1443"/>
      <c r="BU10" s="1444"/>
      <c r="BV10" s="1442"/>
      <c r="BW10" s="1443"/>
      <c r="BX10" s="1443"/>
      <c r="BY10" s="1443"/>
      <c r="BZ10" s="1443"/>
      <c r="CA10" s="1443"/>
      <c r="CB10" s="1443"/>
      <c r="CC10" s="1443"/>
      <c r="CD10" s="1443"/>
      <c r="CE10" s="1443"/>
      <c r="CF10" s="1443"/>
      <c r="CG10" s="1444"/>
      <c r="CH10" s="1442"/>
      <c r="CI10" s="1443"/>
      <c r="CJ10" s="1443"/>
      <c r="CK10" s="1443"/>
      <c r="CL10" s="1443"/>
      <c r="CM10" s="1443"/>
      <c r="CN10" s="1443"/>
      <c r="CO10" s="1443"/>
      <c r="CP10" s="1443"/>
      <c r="CQ10" s="1443"/>
      <c r="CR10" s="1443"/>
      <c r="CS10" s="1444"/>
      <c r="CT10" s="1442"/>
      <c r="CU10" s="1443"/>
      <c r="CV10" s="1443"/>
      <c r="CW10" s="1443"/>
      <c r="CX10" s="1443"/>
      <c r="CY10" s="1443"/>
      <c r="CZ10" s="1443"/>
      <c r="DA10" s="1443"/>
      <c r="DB10" s="1443"/>
      <c r="DC10" s="1443"/>
      <c r="DD10" s="1443"/>
      <c r="DE10" s="1444"/>
      <c r="DF10" s="1442"/>
      <c r="DG10" s="1443"/>
      <c r="DH10" s="1443"/>
      <c r="DI10" s="1443"/>
      <c r="DJ10" s="1443"/>
      <c r="DK10" s="1443"/>
      <c r="DL10" s="1443"/>
      <c r="DM10" s="1443"/>
      <c r="DN10" s="1443"/>
      <c r="DO10" s="1443"/>
      <c r="DP10" s="1443"/>
      <c r="DQ10" s="1444"/>
      <c r="DR10" s="1448">
        <f t="shared" ref="DR10:EC15" si="1">SUM(B10,N10,Z10,AL10,AX10,BJ10,BV10,CH10,CT10,DF10)</f>
        <v>0</v>
      </c>
      <c r="DS10" s="1446">
        <f t="shared" si="1"/>
        <v>0</v>
      </c>
      <c r="DT10" s="1446">
        <f t="shared" si="1"/>
        <v>0</v>
      </c>
      <c r="DU10" s="1446">
        <f t="shared" si="1"/>
        <v>0</v>
      </c>
      <c r="DV10" s="1446">
        <f t="shared" si="1"/>
        <v>0</v>
      </c>
      <c r="DW10" s="1446">
        <f t="shared" si="1"/>
        <v>0</v>
      </c>
      <c r="DX10" s="1446">
        <f t="shared" si="1"/>
        <v>0</v>
      </c>
      <c r="DY10" s="1446">
        <f t="shared" si="1"/>
        <v>0</v>
      </c>
      <c r="DZ10" s="1446">
        <f t="shared" si="1"/>
        <v>0</v>
      </c>
      <c r="EA10" s="1446">
        <f t="shared" si="1"/>
        <v>0</v>
      </c>
      <c r="EB10" s="1446">
        <f t="shared" si="1"/>
        <v>0</v>
      </c>
      <c r="EC10" s="1447">
        <f t="shared" si="1"/>
        <v>0</v>
      </c>
    </row>
    <row r="11" spans="1:133">
      <c r="A11" s="1449" t="s">
        <v>750</v>
      </c>
      <c r="B11" s="1450"/>
      <c r="C11" s="1451"/>
      <c r="D11" s="1451"/>
      <c r="E11" s="1451"/>
      <c r="F11" s="1451"/>
      <c r="G11" s="1451"/>
      <c r="H11" s="1451"/>
      <c r="I11" s="1451"/>
      <c r="J11" s="1451"/>
      <c r="K11" s="1451"/>
      <c r="L11" s="1451"/>
      <c r="M11" s="1452"/>
      <c r="N11" s="1450"/>
      <c r="O11" s="1451"/>
      <c r="P11" s="1451"/>
      <c r="Q11" s="1451"/>
      <c r="R11" s="1451"/>
      <c r="S11" s="1451"/>
      <c r="T11" s="1451"/>
      <c r="U11" s="1451"/>
      <c r="V11" s="1451"/>
      <c r="W11" s="1451"/>
      <c r="X11" s="1451"/>
      <c r="Y11" s="1452"/>
      <c r="Z11" s="1450"/>
      <c r="AA11" s="1451"/>
      <c r="AB11" s="1451"/>
      <c r="AC11" s="1451"/>
      <c r="AD11" s="1451"/>
      <c r="AE11" s="1451"/>
      <c r="AF11" s="1451"/>
      <c r="AG11" s="1451"/>
      <c r="AH11" s="1451"/>
      <c r="AI11" s="1451"/>
      <c r="AJ11" s="1451"/>
      <c r="AK11" s="1452"/>
      <c r="AL11" s="1450"/>
      <c r="AM11" s="1451"/>
      <c r="AN11" s="1451"/>
      <c r="AO11" s="1451"/>
      <c r="AP11" s="1451"/>
      <c r="AQ11" s="1451"/>
      <c r="AR11" s="1451"/>
      <c r="AS11" s="1451"/>
      <c r="AT11" s="1451"/>
      <c r="AU11" s="1451"/>
      <c r="AV11" s="1451"/>
      <c r="AW11" s="1452"/>
      <c r="AX11" s="1450"/>
      <c r="AY11" s="1451"/>
      <c r="AZ11" s="1451"/>
      <c r="BA11" s="1451"/>
      <c r="BB11" s="1451"/>
      <c r="BC11" s="1451"/>
      <c r="BD11" s="1451"/>
      <c r="BE11" s="1451"/>
      <c r="BF11" s="1451"/>
      <c r="BG11" s="1451"/>
      <c r="BH11" s="1451"/>
      <c r="BI11" s="1452"/>
      <c r="BJ11" s="1450"/>
      <c r="BK11" s="1451"/>
      <c r="BL11" s="1451"/>
      <c r="BM11" s="1451"/>
      <c r="BN11" s="1451"/>
      <c r="BO11" s="1451"/>
      <c r="BP11" s="1451"/>
      <c r="BQ11" s="1451"/>
      <c r="BR11" s="1451"/>
      <c r="BS11" s="1451"/>
      <c r="BT11" s="1451"/>
      <c r="BU11" s="1452"/>
      <c r="BV11" s="1450"/>
      <c r="BW11" s="1451"/>
      <c r="BX11" s="1451"/>
      <c r="BY11" s="1451"/>
      <c r="BZ11" s="1451"/>
      <c r="CA11" s="1451"/>
      <c r="CB11" s="1451"/>
      <c r="CC11" s="1451"/>
      <c r="CD11" s="1451"/>
      <c r="CE11" s="1451"/>
      <c r="CF11" s="1451"/>
      <c r="CG11" s="1452"/>
      <c r="CH11" s="1450"/>
      <c r="CI11" s="1451"/>
      <c r="CJ11" s="1451"/>
      <c r="CK11" s="1451"/>
      <c r="CL11" s="1451"/>
      <c r="CM11" s="1451"/>
      <c r="CN11" s="1451"/>
      <c r="CO11" s="1451"/>
      <c r="CP11" s="1451"/>
      <c r="CQ11" s="1451"/>
      <c r="CR11" s="1451"/>
      <c r="CS11" s="1452"/>
      <c r="CT11" s="1450"/>
      <c r="CU11" s="1451"/>
      <c r="CV11" s="1451"/>
      <c r="CW11" s="1451"/>
      <c r="CX11" s="1451"/>
      <c r="CY11" s="1451"/>
      <c r="CZ11" s="1451"/>
      <c r="DA11" s="1451"/>
      <c r="DB11" s="1451"/>
      <c r="DC11" s="1451"/>
      <c r="DD11" s="1451"/>
      <c r="DE11" s="1452"/>
      <c r="DF11" s="1450"/>
      <c r="DG11" s="1451"/>
      <c r="DH11" s="1451"/>
      <c r="DI11" s="1451"/>
      <c r="DJ11" s="1451"/>
      <c r="DK11" s="1451"/>
      <c r="DL11" s="1451"/>
      <c r="DM11" s="1451"/>
      <c r="DN11" s="1451"/>
      <c r="DO11" s="1451"/>
      <c r="DP11" s="1451"/>
      <c r="DQ11" s="1452"/>
      <c r="DR11" s="1448">
        <f t="shared" si="1"/>
        <v>0</v>
      </c>
      <c r="DS11" s="1446">
        <f t="shared" si="1"/>
        <v>0</v>
      </c>
      <c r="DT11" s="1446">
        <f t="shared" si="1"/>
        <v>0</v>
      </c>
      <c r="DU11" s="1446">
        <f t="shared" si="1"/>
        <v>0</v>
      </c>
      <c r="DV11" s="1446">
        <f t="shared" si="1"/>
        <v>0</v>
      </c>
      <c r="DW11" s="1446">
        <f t="shared" si="1"/>
        <v>0</v>
      </c>
      <c r="DX11" s="1446">
        <f t="shared" si="1"/>
        <v>0</v>
      </c>
      <c r="DY11" s="1446">
        <f t="shared" si="1"/>
        <v>0</v>
      </c>
      <c r="DZ11" s="1446">
        <f t="shared" si="1"/>
        <v>0</v>
      </c>
      <c r="EA11" s="1446">
        <f t="shared" si="1"/>
        <v>0</v>
      </c>
      <c r="EB11" s="1446">
        <f t="shared" si="1"/>
        <v>0</v>
      </c>
      <c r="EC11" s="1447">
        <f t="shared" si="1"/>
        <v>0</v>
      </c>
    </row>
    <row r="12" spans="1:133">
      <c r="A12" s="1449" t="s">
        <v>751</v>
      </c>
      <c r="B12" s="1450"/>
      <c r="C12" s="1451"/>
      <c r="D12" s="1451"/>
      <c r="E12" s="1451"/>
      <c r="F12" s="1451"/>
      <c r="G12" s="1451"/>
      <c r="H12" s="1451"/>
      <c r="I12" s="1451"/>
      <c r="J12" s="1451"/>
      <c r="K12" s="1451"/>
      <c r="L12" s="1451"/>
      <c r="M12" s="1452"/>
      <c r="N12" s="1450"/>
      <c r="O12" s="1451"/>
      <c r="P12" s="1451"/>
      <c r="Q12" s="1451"/>
      <c r="R12" s="1451"/>
      <c r="S12" s="1451"/>
      <c r="T12" s="1451"/>
      <c r="U12" s="1451"/>
      <c r="V12" s="1451"/>
      <c r="W12" s="1451"/>
      <c r="X12" s="1451"/>
      <c r="Y12" s="1452"/>
      <c r="Z12" s="1450"/>
      <c r="AA12" s="1451"/>
      <c r="AB12" s="1451"/>
      <c r="AC12" s="1451"/>
      <c r="AD12" s="1451"/>
      <c r="AE12" s="1451"/>
      <c r="AF12" s="1451"/>
      <c r="AG12" s="1451"/>
      <c r="AH12" s="1451"/>
      <c r="AI12" s="1451"/>
      <c r="AJ12" s="1451"/>
      <c r="AK12" s="1452"/>
      <c r="AL12" s="1450"/>
      <c r="AM12" s="1451"/>
      <c r="AN12" s="1451"/>
      <c r="AO12" s="1451"/>
      <c r="AP12" s="1451"/>
      <c r="AQ12" s="1451"/>
      <c r="AR12" s="1451"/>
      <c r="AS12" s="1451"/>
      <c r="AT12" s="1451"/>
      <c r="AU12" s="1451"/>
      <c r="AV12" s="1451"/>
      <c r="AW12" s="1452"/>
      <c r="AX12" s="1450"/>
      <c r="AY12" s="1451"/>
      <c r="AZ12" s="1451"/>
      <c r="BA12" s="1451"/>
      <c r="BB12" s="1451"/>
      <c r="BC12" s="1451"/>
      <c r="BD12" s="1451"/>
      <c r="BE12" s="1451"/>
      <c r="BF12" s="1451"/>
      <c r="BG12" s="1451"/>
      <c r="BH12" s="1451"/>
      <c r="BI12" s="1452"/>
      <c r="BJ12" s="1450"/>
      <c r="BK12" s="1451"/>
      <c r="BL12" s="1451"/>
      <c r="BM12" s="1451"/>
      <c r="BN12" s="1451"/>
      <c r="BO12" s="1451"/>
      <c r="BP12" s="1451"/>
      <c r="BQ12" s="1451"/>
      <c r="BR12" s="1451"/>
      <c r="BS12" s="1451"/>
      <c r="BT12" s="1451"/>
      <c r="BU12" s="1452"/>
      <c r="BV12" s="1450"/>
      <c r="BW12" s="1451"/>
      <c r="BX12" s="1451"/>
      <c r="BY12" s="1451"/>
      <c r="BZ12" s="1451"/>
      <c r="CA12" s="1451"/>
      <c r="CB12" s="1451"/>
      <c r="CC12" s="1451"/>
      <c r="CD12" s="1451"/>
      <c r="CE12" s="1451"/>
      <c r="CF12" s="1451"/>
      <c r="CG12" s="1452"/>
      <c r="CH12" s="1450"/>
      <c r="CI12" s="1451"/>
      <c r="CJ12" s="1451"/>
      <c r="CK12" s="1451"/>
      <c r="CL12" s="1451"/>
      <c r="CM12" s="1451"/>
      <c r="CN12" s="1451"/>
      <c r="CO12" s="1451"/>
      <c r="CP12" s="1451"/>
      <c r="CQ12" s="1451"/>
      <c r="CR12" s="1451"/>
      <c r="CS12" s="1452"/>
      <c r="CT12" s="1450"/>
      <c r="CU12" s="1451"/>
      <c r="CV12" s="1451"/>
      <c r="CW12" s="1451"/>
      <c r="CX12" s="1451"/>
      <c r="CY12" s="1451"/>
      <c r="CZ12" s="1451"/>
      <c r="DA12" s="1451"/>
      <c r="DB12" s="1451"/>
      <c r="DC12" s="1451"/>
      <c r="DD12" s="1451"/>
      <c r="DE12" s="1452"/>
      <c r="DF12" s="1450"/>
      <c r="DG12" s="1451"/>
      <c r="DH12" s="1451"/>
      <c r="DI12" s="1451"/>
      <c r="DJ12" s="1451"/>
      <c r="DK12" s="1451"/>
      <c r="DL12" s="1451"/>
      <c r="DM12" s="1451"/>
      <c r="DN12" s="1451"/>
      <c r="DO12" s="1451"/>
      <c r="DP12" s="1451"/>
      <c r="DQ12" s="1452"/>
      <c r="DR12" s="1448">
        <f t="shared" si="1"/>
        <v>0</v>
      </c>
      <c r="DS12" s="1446">
        <f t="shared" si="1"/>
        <v>0</v>
      </c>
      <c r="DT12" s="1446">
        <f t="shared" si="1"/>
        <v>0</v>
      </c>
      <c r="DU12" s="1446">
        <f t="shared" si="1"/>
        <v>0</v>
      </c>
      <c r="DV12" s="1446">
        <f t="shared" si="1"/>
        <v>0</v>
      </c>
      <c r="DW12" s="1446">
        <f t="shared" si="1"/>
        <v>0</v>
      </c>
      <c r="DX12" s="1446">
        <f t="shared" si="1"/>
        <v>0</v>
      </c>
      <c r="DY12" s="1446">
        <f t="shared" si="1"/>
        <v>0</v>
      </c>
      <c r="DZ12" s="1446">
        <f t="shared" si="1"/>
        <v>0</v>
      </c>
      <c r="EA12" s="1446">
        <f t="shared" si="1"/>
        <v>0</v>
      </c>
      <c r="EB12" s="1446">
        <f t="shared" si="1"/>
        <v>0</v>
      </c>
      <c r="EC12" s="1447">
        <f t="shared" si="1"/>
        <v>0</v>
      </c>
    </row>
    <row r="13" spans="1:133">
      <c r="A13" s="1449" t="s">
        <v>752</v>
      </c>
      <c r="B13" s="1450"/>
      <c r="C13" s="1451"/>
      <c r="D13" s="1451"/>
      <c r="E13" s="1451"/>
      <c r="F13" s="1451"/>
      <c r="G13" s="1451"/>
      <c r="H13" s="1451"/>
      <c r="I13" s="1451"/>
      <c r="J13" s="1451"/>
      <c r="K13" s="1451"/>
      <c r="L13" s="1451"/>
      <c r="M13" s="1452"/>
      <c r="N13" s="1450"/>
      <c r="O13" s="1451"/>
      <c r="P13" s="1451"/>
      <c r="Q13" s="1451"/>
      <c r="R13" s="1451"/>
      <c r="S13" s="1451"/>
      <c r="T13" s="1451"/>
      <c r="U13" s="1451"/>
      <c r="V13" s="1451"/>
      <c r="W13" s="1451"/>
      <c r="X13" s="1451"/>
      <c r="Y13" s="1452"/>
      <c r="Z13" s="1450"/>
      <c r="AA13" s="1451"/>
      <c r="AB13" s="1451"/>
      <c r="AC13" s="1451"/>
      <c r="AD13" s="1451"/>
      <c r="AE13" s="1451"/>
      <c r="AF13" s="1451"/>
      <c r="AG13" s="1451"/>
      <c r="AH13" s="1451"/>
      <c r="AI13" s="1451"/>
      <c r="AJ13" s="1451"/>
      <c r="AK13" s="1452"/>
      <c r="AL13" s="1450"/>
      <c r="AM13" s="1451"/>
      <c r="AN13" s="1451"/>
      <c r="AO13" s="1451"/>
      <c r="AP13" s="1451"/>
      <c r="AQ13" s="1451"/>
      <c r="AR13" s="1451"/>
      <c r="AS13" s="1451"/>
      <c r="AT13" s="1451"/>
      <c r="AU13" s="1451"/>
      <c r="AV13" s="1451"/>
      <c r="AW13" s="1452"/>
      <c r="AX13" s="1450"/>
      <c r="AY13" s="1451"/>
      <c r="AZ13" s="1451"/>
      <c r="BA13" s="1451"/>
      <c r="BB13" s="1451"/>
      <c r="BC13" s="1451"/>
      <c r="BD13" s="1451"/>
      <c r="BE13" s="1451"/>
      <c r="BF13" s="1451"/>
      <c r="BG13" s="1451"/>
      <c r="BH13" s="1451"/>
      <c r="BI13" s="1452"/>
      <c r="BJ13" s="1450"/>
      <c r="BK13" s="1451"/>
      <c r="BL13" s="1451"/>
      <c r="BM13" s="1451"/>
      <c r="BN13" s="1451"/>
      <c r="BO13" s="1451"/>
      <c r="BP13" s="1451"/>
      <c r="BQ13" s="1451"/>
      <c r="BR13" s="1451"/>
      <c r="BS13" s="1451"/>
      <c r="BT13" s="1451"/>
      <c r="BU13" s="1452"/>
      <c r="BV13" s="1450"/>
      <c r="BW13" s="1451"/>
      <c r="BX13" s="1451"/>
      <c r="BY13" s="1451"/>
      <c r="BZ13" s="1451"/>
      <c r="CA13" s="1451"/>
      <c r="CB13" s="1451"/>
      <c r="CC13" s="1451"/>
      <c r="CD13" s="1451"/>
      <c r="CE13" s="1451"/>
      <c r="CF13" s="1451"/>
      <c r="CG13" s="1452"/>
      <c r="CH13" s="1450"/>
      <c r="CI13" s="1451"/>
      <c r="CJ13" s="1451"/>
      <c r="CK13" s="1451"/>
      <c r="CL13" s="1451"/>
      <c r="CM13" s="1451"/>
      <c r="CN13" s="1451"/>
      <c r="CO13" s="1451"/>
      <c r="CP13" s="1451"/>
      <c r="CQ13" s="1451"/>
      <c r="CR13" s="1451"/>
      <c r="CS13" s="1452"/>
      <c r="CT13" s="1450"/>
      <c r="CU13" s="1451"/>
      <c r="CV13" s="1451"/>
      <c r="CW13" s="1451"/>
      <c r="CX13" s="1451"/>
      <c r="CY13" s="1451"/>
      <c r="CZ13" s="1451"/>
      <c r="DA13" s="1451"/>
      <c r="DB13" s="1451"/>
      <c r="DC13" s="1451"/>
      <c r="DD13" s="1451"/>
      <c r="DE13" s="1452"/>
      <c r="DF13" s="1450"/>
      <c r="DG13" s="1451"/>
      <c r="DH13" s="1451"/>
      <c r="DI13" s="1451"/>
      <c r="DJ13" s="1451"/>
      <c r="DK13" s="1451"/>
      <c r="DL13" s="1451"/>
      <c r="DM13" s="1451"/>
      <c r="DN13" s="1451"/>
      <c r="DO13" s="1451"/>
      <c r="DP13" s="1451"/>
      <c r="DQ13" s="1452"/>
      <c r="DR13" s="1448">
        <f t="shared" si="1"/>
        <v>0</v>
      </c>
      <c r="DS13" s="1446">
        <f t="shared" si="1"/>
        <v>0</v>
      </c>
      <c r="DT13" s="1446">
        <f t="shared" si="1"/>
        <v>0</v>
      </c>
      <c r="DU13" s="1446">
        <f t="shared" si="1"/>
        <v>0</v>
      </c>
      <c r="DV13" s="1446">
        <f t="shared" si="1"/>
        <v>0</v>
      </c>
      <c r="DW13" s="1446">
        <f t="shared" si="1"/>
        <v>0</v>
      </c>
      <c r="DX13" s="1446">
        <f t="shared" si="1"/>
        <v>0</v>
      </c>
      <c r="DY13" s="1446">
        <f t="shared" si="1"/>
        <v>0</v>
      </c>
      <c r="DZ13" s="1446">
        <f t="shared" si="1"/>
        <v>0</v>
      </c>
      <c r="EA13" s="1446">
        <f t="shared" si="1"/>
        <v>0</v>
      </c>
      <c r="EB13" s="1446">
        <f t="shared" si="1"/>
        <v>0</v>
      </c>
      <c r="EC13" s="1447">
        <f t="shared" si="1"/>
        <v>0</v>
      </c>
    </row>
    <row r="14" spans="1:133">
      <c r="A14" s="1449" t="s">
        <v>753</v>
      </c>
      <c r="B14" s="1450"/>
      <c r="C14" s="1451"/>
      <c r="D14" s="1451"/>
      <c r="E14" s="1451"/>
      <c r="F14" s="1451"/>
      <c r="G14" s="1451"/>
      <c r="H14" s="1451"/>
      <c r="I14" s="1451"/>
      <c r="J14" s="1451"/>
      <c r="K14" s="1451"/>
      <c r="L14" s="1451"/>
      <c r="M14" s="1452"/>
      <c r="N14" s="1450"/>
      <c r="O14" s="1451"/>
      <c r="P14" s="1451"/>
      <c r="Q14" s="1451"/>
      <c r="R14" s="1451"/>
      <c r="S14" s="1451"/>
      <c r="T14" s="1451"/>
      <c r="U14" s="1451"/>
      <c r="V14" s="1451"/>
      <c r="W14" s="1451"/>
      <c r="X14" s="1451"/>
      <c r="Y14" s="1452"/>
      <c r="Z14" s="1450"/>
      <c r="AA14" s="1451"/>
      <c r="AB14" s="1451"/>
      <c r="AC14" s="1451"/>
      <c r="AD14" s="1451"/>
      <c r="AE14" s="1451"/>
      <c r="AF14" s="1451"/>
      <c r="AG14" s="1451"/>
      <c r="AH14" s="1451"/>
      <c r="AI14" s="1451"/>
      <c r="AJ14" s="1451"/>
      <c r="AK14" s="1452"/>
      <c r="AL14" s="1450"/>
      <c r="AM14" s="1451"/>
      <c r="AN14" s="1451"/>
      <c r="AO14" s="1451"/>
      <c r="AP14" s="1451"/>
      <c r="AQ14" s="1451"/>
      <c r="AR14" s="1451"/>
      <c r="AS14" s="1451"/>
      <c r="AT14" s="1451"/>
      <c r="AU14" s="1451"/>
      <c r="AV14" s="1451"/>
      <c r="AW14" s="1452"/>
      <c r="AX14" s="1450"/>
      <c r="AY14" s="1451"/>
      <c r="AZ14" s="1451"/>
      <c r="BA14" s="1451"/>
      <c r="BB14" s="1451"/>
      <c r="BC14" s="1451"/>
      <c r="BD14" s="1451"/>
      <c r="BE14" s="1451"/>
      <c r="BF14" s="1451"/>
      <c r="BG14" s="1451"/>
      <c r="BH14" s="1451"/>
      <c r="BI14" s="1452"/>
      <c r="BJ14" s="1450"/>
      <c r="BK14" s="1451"/>
      <c r="BL14" s="1451"/>
      <c r="BM14" s="1451"/>
      <c r="BN14" s="1451"/>
      <c r="BO14" s="1451"/>
      <c r="BP14" s="1451"/>
      <c r="BQ14" s="1451"/>
      <c r="BR14" s="1451"/>
      <c r="BS14" s="1451"/>
      <c r="BT14" s="1451"/>
      <c r="BU14" s="1452"/>
      <c r="BV14" s="1450"/>
      <c r="BW14" s="1451"/>
      <c r="BX14" s="1451"/>
      <c r="BY14" s="1451"/>
      <c r="BZ14" s="1451"/>
      <c r="CA14" s="1451"/>
      <c r="CB14" s="1451"/>
      <c r="CC14" s="1451"/>
      <c r="CD14" s="1451"/>
      <c r="CE14" s="1451"/>
      <c r="CF14" s="1451"/>
      <c r="CG14" s="1452"/>
      <c r="CH14" s="1450"/>
      <c r="CI14" s="1451"/>
      <c r="CJ14" s="1451"/>
      <c r="CK14" s="1451"/>
      <c r="CL14" s="1451"/>
      <c r="CM14" s="1451"/>
      <c r="CN14" s="1451"/>
      <c r="CO14" s="1451"/>
      <c r="CP14" s="1451"/>
      <c r="CQ14" s="1451"/>
      <c r="CR14" s="1451"/>
      <c r="CS14" s="1452"/>
      <c r="CT14" s="1450"/>
      <c r="CU14" s="1451"/>
      <c r="CV14" s="1451"/>
      <c r="CW14" s="1451"/>
      <c r="CX14" s="1451"/>
      <c r="CY14" s="1451"/>
      <c r="CZ14" s="1451"/>
      <c r="DA14" s="1451"/>
      <c r="DB14" s="1451"/>
      <c r="DC14" s="1451"/>
      <c r="DD14" s="1451"/>
      <c r="DE14" s="1452"/>
      <c r="DF14" s="1450"/>
      <c r="DG14" s="1451"/>
      <c r="DH14" s="1451"/>
      <c r="DI14" s="1451"/>
      <c r="DJ14" s="1451"/>
      <c r="DK14" s="1451"/>
      <c r="DL14" s="1451"/>
      <c r="DM14" s="1451"/>
      <c r="DN14" s="1451"/>
      <c r="DO14" s="1451"/>
      <c r="DP14" s="1451"/>
      <c r="DQ14" s="1452"/>
      <c r="DR14" s="1448">
        <f t="shared" si="1"/>
        <v>0</v>
      </c>
      <c r="DS14" s="1446">
        <f t="shared" si="1"/>
        <v>0</v>
      </c>
      <c r="DT14" s="1446">
        <f t="shared" si="1"/>
        <v>0</v>
      </c>
      <c r="DU14" s="1446">
        <f t="shared" si="1"/>
        <v>0</v>
      </c>
      <c r="DV14" s="1446">
        <f t="shared" si="1"/>
        <v>0</v>
      </c>
      <c r="DW14" s="1446">
        <f t="shared" si="1"/>
        <v>0</v>
      </c>
      <c r="DX14" s="1446">
        <f t="shared" si="1"/>
        <v>0</v>
      </c>
      <c r="DY14" s="1446">
        <f t="shared" si="1"/>
        <v>0</v>
      </c>
      <c r="DZ14" s="1446">
        <f t="shared" si="1"/>
        <v>0</v>
      </c>
      <c r="EA14" s="1446">
        <f t="shared" si="1"/>
        <v>0</v>
      </c>
      <c r="EB14" s="1446">
        <f t="shared" si="1"/>
        <v>0</v>
      </c>
      <c r="EC14" s="1447">
        <f t="shared" si="1"/>
        <v>0</v>
      </c>
    </row>
    <row r="15" spans="1:133">
      <c r="A15" s="1449" t="s">
        <v>754</v>
      </c>
      <c r="B15" s="1450"/>
      <c r="C15" s="1451"/>
      <c r="D15" s="1451"/>
      <c r="E15" s="1451"/>
      <c r="F15" s="1451"/>
      <c r="G15" s="1451"/>
      <c r="H15" s="1451"/>
      <c r="I15" s="1451"/>
      <c r="J15" s="1451"/>
      <c r="K15" s="1451"/>
      <c r="L15" s="1451"/>
      <c r="M15" s="1452"/>
      <c r="N15" s="1450"/>
      <c r="O15" s="1451"/>
      <c r="P15" s="1451"/>
      <c r="Q15" s="1451"/>
      <c r="R15" s="1451"/>
      <c r="S15" s="1451"/>
      <c r="T15" s="1451"/>
      <c r="U15" s="1451"/>
      <c r="V15" s="1451"/>
      <c r="W15" s="1451"/>
      <c r="X15" s="1451"/>
      <c r="Y15" s="1452"/>
      <c r="Z15" s="1450"/>
      <c r="AA15" s="1451"/>
      <c r="AB15" s="1451"/>
      <c r="AC15" s="1451"/>
      <c r="AD15" s="1451"/>
      <c r="AE15" s="1451"/>
      <c r="AF15" s="1451"/>
      <c r="AG15" s="1451"/>
      <c r="AH15" s="1451"/>
      <c r="AI15" s="1451"/>
      <c r="AJ15" s="1451"/>
      <c r="AK15" s="1452"/>
      <c r="AL15" s="1450"/>
      <c r="AM15" s="1451"/>
      <c r="AN15" s="1451"/>
      <c r="AO15" s="1451"/>
      <c r="AP15" s="1451"/>
      <c r="AQ15" s="1451"/>
      <c r="AR15" s="1451"/>
      <c r="AS15" s="1451"/>
      <c r="AT15" s="1451"/>
      <c r="AU15" s="1451"/>
      <c r="AV15" s="1451"/>
      <c r="AW15" s="1452"/>
      <c r="AX15" s="1450"/>
      <c r="AY15" s="1451"/>
      <c r="AZ15" s="1451"/>
      <c r="BA15" s="1451"/>
      <c r="BB15" s="1451"/>
      <c r="BC15" s="1451"/>
      <c r="BD15" s="1451"/>
      <c r="BE15" s="1451"/>
      <c r="BF15" s="1451"/>
      <c r="BG15" s="1451"/>
      <c r="BH15" s="1451"/>
      <c r="BI15" s="1452"/>
      <c r="BJ15" s="1450"/>
      <c r="BK15" s="1451"/>
      <c r="BL15" s="1451"/>
      <c r="BM15" s="1451"/>
      <c r="BN15" s="1451"/>
      <c r="BO15" s="1451"/>
      <c r="BP15" s="1451"/>
      <c r="BQ15" s="1451"/>
      <c r="BR15" s="1451"/>
      <c r="BS15" s="1451"/>
      <c r="BT15" s="1451"/>
      <c r="BU15" s="1452"/>
      <c r="BV15" s="1450"/>
      <c r="BW15" s="1451"/>
      <c r="BX15" s="1451"/>
      <c r="BY15" s="1451"/>
      <c r="BZ15" s="1451"/>
      <c r="CA15" s="1451"/>
      <c r="CB15" s="1451"/>
      <c r="CC15" s="1451"/>
      <c r="CD15" s="1451"/>
      <c r="CE15" s="1451"/>
      <c r="CF15" s="1451"/>
      <c r="CG15" s="1452"/>
      <c r="CH15" s="1450"/>
      <c r="CI15" s="1451"/>
      <c r="CJ15" s="1451"/>
      <c r="CK15" s="1451"/>
      <c r="CL15" s="1451"/>
      <c r="CM15" s="1451"/>
      <c r="CN15" s="1451"/>
      <c r="CO15" s="1451"/>
      <c r="CP15" s="1451"/>
      <c r="CQ15" s="1451"/>
      <c r="CR15" s="1451"/>
      <c r="CS15" s="1452"/>
      <c r="CT15" s="1450"/>
      <c r="CU15" s="1451"/>
      <c r="CV15" s="1451"/>
      <c r="CW15" s="1451"/>
      <c r="CX15" s="1451"/>
      <c r="CY15" s="1451"/>
      <c r="CZ15" s="1451"/>
      <c r="DA15" s="1451"/>
      <c r="DB15" s="1451"/>
      <c r="DC15" s="1451"/>
      <c r="DD15" s="1451"/>
      <c r="DE15" s="1452"/>
      <c r="DF15" s="1450"/>
      <c r="DG15" s="1451"/>
      <c r="DH15" s="1451"/>
      <c r="DI15" s="1451"/>
      <c r="DJ15" s="1451"/>
      <c r="DK15" s="1451"/>
      <c r="DL15" s="1451"/>
      <c r="DM15" s="1451"/>
      <c r="DN15" s="1451"/>
      <c r="DO15" s="1451"/>
      <c r="DP15" s="1451"/>
      <c r="DQ15" s="1452"/>
      <c r="DR15" s="1448">
        <f t="shared" si="1"/>
        <v>0</v>
      </c>
      <c r="DS15" s="1446">
        <f t="shared" si="1"/>
        <v>0</v>
      </c>
      <c r="DT15" s="1446">
        <f t="shared" si="1"/>
        <v>0</v>
      </c>
      <c r="DU15" s="1446">
        <f t="shared" si="1"/>
        <v>0</v>
      </c>
      <c r="DV15" s="1446">
        <f t="shared" si="1"/>
        <v>0</v>
      </c>
      <c r="DW15" s="1446">
        <f t="shared" si="1"/>
        <v>0</v>
      </c>
      <c r="DX15" s="1446">
        <f t="shared" si="1"/>
        <v>0</v>
      </c>
      <c r="DY15" s="1446">
        <f t="shared" si="1"/>
        <v>0</v>
      </c>
      <c r="DZ15" s="1446">
        <f t="shared" si="1"/>
        <v>0</v>
      </c>
      <c r="EA15" s="1446">
        <f t="shared" si="1"/>
        <v>0</v>
      </c>
      <c r="EB15" s="1446">
        <f t="shared" si="1"/>
        <v>0</v>
      </c>
      <c r="EC15" s="1447">
        <f t="shared" si="1"/>
        <v>0</v>
      </c>
    </row>
    <row r="16" spans="1:133">
      <c r="A16" s="1437" t="s">
        <v>755</v>
      </c>
      <c r="B16" s="1438"/>
      <c r="C16" s="1439"/>
      <c r="D16" s="1439"/>
      <c r="E16" s="1439"/>
      <c r="F16" s="1439"/>
      <c r="G16" s="1439"/>
      <c r="H16" s="1439"/>
      <c r="I16" s="1439"/>
      <c r="J16" s="1439"/>
      <c r="K16" s="1439"/>
      <c r="L16" s="1439"/>
      <c r="M16" s="1439"/>
      <c r="N16" s="1439"/>
      <c r="O16" s="1439"/>
      <c r="P16" s="1439"/>
      <c r="Q16" s="1439"/>
      <c r="R16" s="1439"/>
      <c r="S16" s="1439"/>
      <c r="T16" s="1439"/>
      <c r="U16" s="1439"/>
      <c r="V16" s="1439"/>
      <c r="W16" s="1439"/>
      <c r="X16" s="1439"/>
      <c r="Y16" s="1439"/>
      <c r="Z16" s="1439"/>
      <c r="AA16" s="1439"/>
      <c r="AB16" s="1439"/>
      <c r="AC16" s="1439"/>
      <c r="AD16" s="1439"/>
      <c r="AE16" s="1439"/>
      <c r="AF16" s="1439"/>
      <c r="AG16" s="1439"/>
      <c r="AH16" s="1439"/>
      <c r="AI16" s="1439"/>
      <c r="AJ16" s="1439"/>
      <c r="AK16" s="1439"/>
      <c r="AL16" s="1439"/>
      <c r="AM16" s="1439"/>
      <c r="AN16" s="1439"/>
      <c r="AO16" s="1439"/>
      <c r="AP16" s="1439"/>
      <c r="AQ16" s="1439"/>
      <c r="AR16" s="1439"/>
      <c r="AS16" s="1439"/>
      <c r="AT16" s="1439"/>
      <c r="AU16" s="1439"/>
      <c r="AV16" s="1439"/>
      <c r="AW16" s="1439"/>
      <c r="AX16" s="1439"/>
      <c r="AY16" s="1439"/>
      <c r="AZ16" s="1439"/>
      <c r="BA16" s="1439"/>
      <c r="BB16" s="1439"/>
      <c r="BC16" s="1439"/>
      <c r="BD16" s="1439"/>
      <c r="BE16" s="1439"/>
      <c r="BF16" s="1439"/>
      <c r="BG16" s="1439"/>
      <c r="BH16" s="1439"/>
      <c r="BI16" s="1439"/>
      <c r="BJ16" s="1439"/>
      <c r="BK16" s="1439"/>
      <c r="BL16" s="1439"/>
      <c r="BM16" s="1439"/>
      <c r="BN16" s="1439"/>
      <c r="BO16" s="1439"/>
      <c r="BP16" s="1439"/>
      <c r="BQ16" s="1439"/>
      <c r="BR16" s="1439"/>
      <c r="BS16" s="1439"/>
      <c r="BT16" s="1439"/>
      <c r="BU16" s="1439"/>
      <c r="BV16" s="1439"/>
      <c r="BW16" s="1439"/>
      <c r="BX16" s="1439"/>
      <c r="BY16" s="1439"/>
      <c r="BZ16" s="1439"/>
      <c r="CA16" s="1439"/>
      <c r="CB16" s="1439"/>
      <c r="CC16" s="1439"/>
      <c r="CD16" s="1439"/>
      <c r="CE16" s="1439"/>
      <c r="CF16" s="1439"/>
      <c r="CG16" s="1439"/>
      <c r="CH16" s="1439"/>
      <c r="CI16" s="1439"/>
      <c r="CJ16" s="1439"/>
      <c r="CK16" s="1439"/>
      <c r="CL16" s="1439"/>
      <c r="CM16" s="1439"/>
      <c r="CN16" s="1439"/>
      <c r="CO16" s="1439"/>
      <c r="CP16" s="1439"/>
      <c r="CQ16" s="1439"/>
      <c r="CR16" s="1439"/>
      <c r="CS16" s="1439"/>
      <c r="CT16" s="1439"/>
      <c r="CU16" s="1439"/>
      <c r="CV16" s="1439"/>
      <c r="CW16" s="1439"/>
      <c r="CX16" s="1439"/>
      <c r="CY16" s="1439"/>
      <c r="CZ16" s="1439"/>
      <c r="DA16" s="1439"/>
      <c r="DB16" s="1439"/>
      <c r="DC16" s="1439"/>
      <c r="DD16" s="1439"/>
      <c r="DE16" s="1439"/>
      <c r="DF16" s="1439"/>
      <c r="DG16" s="1439"/>
      <c r="DH16" s="1439"/>
      <c r="DI16" s="1439"/>
      <c r="DJ16" s="1439"/>
      <c r="DK16" s="1439"/>
      <c r="DL16" s="1439"/>
      <c r="DM16" s="1439"/>
      <c r="DN16" s="1439"/>
      <c r="DO16" s="1439"/>
      <c r="DP16" s="1439"/>
      <c r="DQ16" s="1439"/>
      <c r="DR16" s="1439"/>
      <c r="DS16" s="1439"/>
      <c r="DT16" s="1439"/>
      <c r="DU16" s="1439"/>
      <c r="DV16" s="1439"/>
      <c r="DW16" s="1439"/>
      <c r="DX16" s="1439"/>
      <c r="DY16" s="1439"/>
      <c r="DZ16" s="1439"/>
      <c r="EA16" s="1439"/>
      <c r="EB16" s="1439"/>
      <c r="EC16" s="1440"/>
    </row>
    <row r="17" spans="1:133">
      <c r="A17" s="1449" t="s">
        <v>749</v>
      </c>
      <c r="B17" s="1442"/>
      <c r="C17" s="1443"/>
      <c r="D17" s="1443"/>
      <c r="E17" s="1443"/>
      <c r="F17" s="1443"/>
      <c r="G17" s="1443"/>
      <c r="H17" s="1443"/>
      <c r="I17" s="1443"/>
      <c r="J17" s="1443"/>
      <c r="K17" s="1443"/>
      <c r="L17" s="1443"/>
      <c r="M17" s="1444"/>
      <c r="N17" s="1442"/>
      <c r="O17" s="1443"/>
      <c r="P17" s="1443"/>
      <c r="Q17" s="1443"/>
      <c r="R17" s="1443"/>
      <c r="S17" s="1443"/>
      <c r="T17" s="1443"/>
      <c r="U17" s="1443"/>
      <c r="V17" s="1443"/>
      <c r="W17" s="1443"/>
      <c r="X17" s="1443"/>
      <c r="Y17" s="1444"/>
      <c r="Z17" s="1442"/>
      <c r="AA17" s="1443"/>
      <c r="AB17" s="1443"/>
      <c r="AC17" s="1443"/>
      <c r="AD17" s="1443"/>
      <c r="AE17" s="1443"/>
      <c r="AF17" s="1443"/>
      <c r="AG17" s="1443"/>
      <c r="AH17" s="1443"/>
      <c r="AI17" s="1443"/>
      <c r="AJ17" s="1443"/>
      <c r="AK17" s="1444"/>
      <c r="AL17" s="1442"/>
      <c r="AM17" s="1443"/>
      <c r="AN17" s="1443"/>
      <c r="AO17" s="1443"/>
      <c r="AP17" s="1443"/>
      <c r="AQ17" s="1443"/>
      <c r="AR17" s="1443"/>
      <c r="AS17" s="1443"/>
      <c r="AT17" s="1443"/>
      <c r="AU17" s="1443"/>
      <c r="AV17" s="1443"/>
      <c r="AW17" s="1444"/>
      <c r="AX17" s="1442"/>
      <c r="AY17" s="1443"/>
      <c r="AZ17" s="1443"/>
      <c r="BA17" s="1443"/>
      <c r="BB17" s="1443"/>
      <c r="BC17" s="1443"/>
      <c r="BD17" s="1443"/>
      <c r="BE17" s="1443"/>
      <c r="BF17" s="1443"/>
      <c r="BG17" s="1443"/>
      <c r="BH17" s="1443"/>
      <c r="BI17" s="1444"/>
      <c r="BJ17" s="1442"/>
      <c r="BK17" s="1443"/>
      <c r="BL17" s="1443"/>
      <c r="BM17" s="1443"/>
      <c r="BN17" s="1443"/>
      <c r="BO17" s="1443"/>
      <c r="BP17" s="1443"/>
      <c r="BQ17" s="1443"/>
      <c r="BR17" s="1443"/>
      <c r="BS17" s="1443"/>
      <c r="BT17" s="1443"/>
      <c r="BU17" s="1444"/>
      <c r="BV17" s="1442"/>
      <c r="BW17" s="1443"/>
      <c r="BX17" s="1443"/>
      <c r="BY17" s="1443"/>
      <c r="BZ17" s="1443"/>
      <c r="CA17" s="1443"/>
      <c r="CB17" s="1443"/>
      <c r="CC17" s="1443"/>
      <c r="CD17" s="1443"/>
      <c r="CE17" s="1443"/>
      <c r="CF17" s="1443"/>
      <c r="CG17" s="1444"/>
      <c r="CH17" s="1442"/>
      <c r="CI17" s="1443"/>
      <c r="CJ17" s="1443"/>
      <c r="CK17" s="1443"/>
      <c r="CL17" s="1443"/>
      <c r="CM17" s="1443"/>
      <c r="CN17" s="1443"/>
      <c r="CO17" s="1443"/>
      <c r="CP17" s="1443"/>
      <c r="CQ17" s="1443"/>
      <c r="CR17" s="1443"/>
      <c r="CS17" s="1444"/>
      <c r="CT17" s="1442"/>
      <c r="CU17" s="1443"/>
      <c r="CV17" s="1443"/>
      <c r="CW17" s="1443"/>
      <c r="CX17" s="1443"/>
      <c r="CY17" s="1443"/>
      <c r="CZ17" s="1443"/>
      <c r="DA17" s="1443"/>
      <c r="DB17" s="1443"/>
      <c r="DC17" s="1443"/>
      <c r="DD17" s="1443"/>
      <c r="DE17" s="1444"/>
      <c r="DF17" s="1442"/>
      <c r="DG17" s="1443"/>
      <c r="DH17" s="1443"/>
      <c r="DI17" s="1443"/>
      <c r="DJ17" s="1443"/>
      <c r="DK17" s="1443"/>
      <c r="DL17" s="1443"/>
      <c r="DM17" s="1443"/>
      <c r="DN17" s="1443"/>
      <c r="DO17" s="1443"/>
      <c r="DP17" s="1443"/>
      <c r="DQ17" s="1444"/>
      <c r="DR17" s="1448">
        <f t="shared" ref="DR17:EC22" si="2">SUM(B17,N17,Z17,AL17,AX17,BJ17,BV17,CH17,CT17,DF17)</f>
        <v>0</v>
      </c>
      <c r="DS17" s="1446">
        <f t="shared" si="2"/>
        <v>0</v>
      </c>
      <c r="DT17" s="1446">
        <f t="shared" si="2"/>
        <v>0</v>
      </c>
      <c r="DU17" s="1446">
        <f t="shared" si="2"/>
        <v>0</v>
      </c>
      <c r="DV17" s="1446">
        <f t="shared" si="2"/>
        <v>0</v>
      </c>
      <c r="DW17" s="1446">
        <f t="shared" si="2"/>
        <v>0</v>
      </c>
      <c r="DX17" s="1446">
        <f t="shared" si="2"/>
        <v>0</v>
      </c>
      <c r="DY17" s="1446">
        <f t="shared" si="2"/>
        <v>0</v>
      </c>
      <c r="DZ17" s="1446">
        <f t="shared" si="2"/>
        <v>0</v>
      </c>
      <c r="EA17" s="1446">
        <f t="shared" si="2"/>
        <v>0</v>
      </c>
      <c r="EB17" s="1446">
        <f t="shared" si="2"/>
        <v>0</v>
      </c>
      <c r="EC17" s="1447">
        <f t="shared" si="2"/>
        <v>0</v>
      </c>
    </row>
    <row r="18" spans="1:133">
      <c r="A18" s="1449" t="s">
        <v>750</v>
      </c>
      <c r="B18" s="1450"/>
      <c r="C18" s="1451"/>
      <c r="D18" s="1451"/>
      <c r="E18" s="1451"/>
      <c r="F18" s="1451"/>
      <c r="G18" s="1451"/>
      <c r="H18" s="1451"/>
      <c r="I18" s="1451"/>
      <c r="J18" s="1451"/>
      <c r="K18" s="1451"/>
      <c r="L18" s="1451"/>
      <c r="M18" s="1452"/>
      <c r="N18" s="1450"/>
      <c r="O18" s="1451"/>
      <c r="P18" s="1451"/>
      <c r="Q18" s="1451"/>
      <c r="R18" s="1451"/>
      <c r="S18" s="1451"/>
      <c r="T18" s="1451"/>
      <c r="U18" s="1451"/>
      <c r="V18" s="1451"/>
      <c r="W18" s="1451"/>
      <c r="X18" s="1451"/>
      <c r="Y18" s="1452"/>
      <c r="Z18" s="1450"/>
      <c r="AA18" s="1451"/>
      <c r="AB18" s="1451"/>
      <c r="AC18" s="1451"/>
      <c r="AD18" s="1451"/>
      <c r="AE18" s="1451"/>
      <c r="AF18" s="1451"/>
      <c r="AG18" s="1451"/>
      <c r="AH18" s="1451"/>
      <c r="AI18" s="1451"/>
      <c r="AJ18" s="1451"/>
      <c r="AK18" s="1452"/>
      <c r="AL18" s="1450"/>
      <c r="AM18" s="1451"/>
      <c r="AN18" s="1451"/>
      <c r="AO18" s="1451"/>
      <c r="AP18" s="1451"/>
      <c r="AQ18" s="1451"/>
      <c r="AR18" s="1451"/>
      <c r="AS18" s="1451"/>
      <c r="AT18" s="1451"/>
      <c r="AU18" s="1451"/>
      <c r="AV18" s="1451"/>
      <c r="AW18" s="1452"/>
      <c r="AX18" s="1450"/>
      <c r="AY18" s="1451"/>
      <c r="AZ18" s="1451"/>
      <c r="BA18" s="1451"/>
      <c r="BB18" s="1451"/>
      <c r="BC18" s="1451"/>
      <c r="BD18" s="1451"/>
      <c r="BE18" s="1451"/>
      <c r="BF18" s="1451"/>
      <c r="BG18" s="1451"/>
      <c r="BH18" s="1451"/>
      <c r="BI18" s="1452"/>
      <c r="BJ18" s="1450"/>
      <c r="BK18" s="1451"/>
      <c r="BL18" s="1451"/>
      <c r="BM18" s="1451"/>
      <c r="BN18" s="1451"/>
      <c r="BO18" s="1451"/>
      <c r="BP18" s="1451"/>
      <c r="BQ18" s="1451"/>
      <c r="BR18" s="1451"/>
      <c r="BS18" s="1451"/>
      <c r="BT18" s="1451"/>
      <c r="BU18" s="1452"/>
      <c r="BV18" s="1450"/>
      <c r="BW18" s="1451"/>
      <c r="BX18" s="1451"/>
      <c r="BY18" s="1451"/>
      <c r="BZ18" s="1451"/>
      <c r="CA18" s="1451"/>
      <c r="CB18" s="1451"/>
      <c r="CC18" s="1451"/>
      <c r="CD18" s="1451"/>
      <c r="CE18" s="1451"/>
      <c r="CF18" s="1451"/>
      <c r="CG18" s="1452"/>
      <c r="CH18" s="1450"/>
      <c r="CI18" s="1451"/>
      <c r="CJ18" s="1451"/>
      <c r="CK18" s="1451"/>
      <c r="CL18" s="1451"/>
      <c r="CM18" s="1451"/>
      <c r="CN18" s="1451"/>
      <c r="CO18" s="1451"/>
      <c r="CP18" s="1451"/>
      <c r="CQ18" s="1451"/>
      <c r="CR18" s="1451"/>
      <c r="CS18" s="1452"/>
      <c r="CT18" s="1450"/>
      <c r="CU18" s="1451"/>
      <c r="CV18" s="1451"/>
      <c r="CW18" s="1451"/>
      <c r="CX18" s="1451"/>
      <c r="CY18" s="1451"/>
      <c r="CZ18" s="1451"/>
      <c r="DA18" s="1451"/>
      <c r="DB18" s="1451"/>
      <c r="DC18" s="1451"/>
      <c r="DD18" s="1451"/>
      <c r="DE18" s="1452"/>
      <c r="DF18" s="1450"/>
      <c r="DG18" s="1451"/>
      <c r="DH18" s="1451"/>
      <c r="DI18" s="1451"/>
      <c r="DJ18" s="1451"/>
      <c r="DK18" s="1451"/>
      <c r="DL18" s="1451"/>
      <c r="DM18" s="1451"/>
      <c r="DN18" s="1451"/>
      <c r="DO18" s="1451"/>
      <c r="DP18" s="1451"/>
      <c r="DQ18" s="1452"/>
      <c r="DR18" s="1448">
        <f t="shared" si="2"/>
        <v>0</v>
      </c>
      <c r="DS18" s="1446">
        <f t="shared" si="2"/>
        <v>0</v>
      </c>
      <c r="DT18" s="1446">
        <f t="shared" si="2"/>
        <v>0</v>
      </c>
      <c r="DU18" s="1446">
        <f t="shared" si="2"/>
        <v>0</v>
      </c>
      <c r="DV18" s="1446">
        <f t="shared" si="2"/>
        <v>0</v>
      </c>
      <c r="DW18" s="1446">
        <f t="shared" si="2"/>
        <v>0</v>
      </c>
      <c r="DX18" s="1446">
        <f t="shared" si="2"/>
        <v>0</v>
      </c>
      <c r="DY18" s="1446">
        <f t="shared" si="2"/>
        <v>0</v>
      </c>
      <c r="DZ18" s="1446">
        <f t="shared" si="2"/>
        <v>0</v>
      </c>
      <c r="EA18" s="1446">
        <f t="shared" si="2"/>
        <v>0</v>
      </c>
      <c r="EB18" s="1446">
        <f t="shared" si="2"/>
        <v>0</v>
      </c>
      <c r="EC18" s="1447">
        <f t="shared" si="2"/>
        <v>0</v>
      </c>
    </row>
    <row r="19" spans="1:133">
      <c r="A19" s="1449" t="s">
        <v>751</v>
      </c>
      <c r="B19" s="1450"/>
      <c r="C19" s="1451"/>
      <c r="D19" s="1451"/>
      <c r="E19" s="1451"/>
      <c r="F19" s="1451"/>
      <c r="G19" s="1451"/>
      <c r="H19" s="1451"/>
      <c r="I19" s="1451"/>
      <c r="J19" s="1451"/>
      <c r="K19" s="1451"/>
      <c r="L19" s="1451"/>
      <c r="M19" s="1452"/>
      <c r="N19" s="1450"/>
      <c r="O19" s="1451"/>
      <c r="P19" s="1451"/>
      <c r="Q19" s="1451"/>
      <c r="R19" s="1451"/>
      <c r="S19" s="1451"/>
      <c r="T19" s="1451"/>
      <c r="U19" s="1451"/>
      <c r="V19" s="1451"/>
      <c r="W19" s="1451"/>
      <c r="X19" s="1451"/>
      <c r="Y19" s="1452"/>
      <c r="Z19" s="1450"/>
      <c r="AA19" s="1451"/>
      <c r="AB19" s="1451"/>
      <c r="AC19" s="1451"/>
      <c r="AD19" s="1451"/>
      <c r="AE19" s="1451"/>
      <c r="AF19" s="1451"/>
      <c r="AG19" s="1451"/>
      <c r="AH19" s="1451"/>
      <c r="AI19" s="1451"/>
      <c r="AJ19" s="1451"/>
      <c r="AK19" s="1452"/>
      <c r="AL19" s="1450"/>
      <c r="AM19" s="1451"/>
      <c r="AN19" s="1451"/>
      <c r="AO19" s="1451"/>
      <c r="AP19" s="1451"/>
      <c r="AQ19" s="1451"/>
      <c r="AR19" s="1451"/>
      <c r="AS19" s="1451"/>
      <c r="AT19" s="1451"/>
      <c r="AU19" s="1451"/>
      <c r="AV19" s="1451"/>
      <c r="AW19" s="1452"/>
      <c r="AX19" s="1450"/>
      <c r="AY19" s="1451"/>
      <c r="AZ19" s="1451"/>
      <c r="BA19" s="1451"/>
      <c r="BB19" s="1451"/>
      <c r="BC19" s="1451"/>
      <c r="BD19" s="1451"/>
      <c r="BE19" s="1451"/>
      <c r="BF19" s="1451"/>
      <c r="BG19" s="1451"/>
      <c r="BH19" s="1451"/>
      <c r="BI19" s="1452"/>
      <c r="BJ19" s="1450"/>
      <c r="BK19" s="1451"/>
      <c r="BL19" s="1451"/>
      <c r="BM19" s="1451"/>
      <c r="BN19" s="1451"/>
      <c r="BO19" s="1451"/>
      <c r="BP19" s="1451"/>
      <c r="BQ19" s="1451"/>
      <c r="BR19" s="1451"/>
      <c r="BS19" s="1451"/>
      <c r="BT19" s="1451"/>
      <c r="BU19" s="1452"/>
      <c r="BV19" s="1450"/>
      <c r="BW19" s="1451"/>
      <c r="BX19" s="1451"/>
      <c r="BY19" s="1451"/>
      <c r="BZ19" s="1451"/>
      <c r="CA19" s="1451"/>
      <c r="CB19" s="1451"/>
      <c r="CC19" s="1451"/>
      <c r="CD19" s="1451"/>
      <c r="CE19" s="1451"/>
      <c r="CF19" s="1451"/>
      <c r="CG19" s="1452"/>
      <c r="CH19" s="1450"/>
      <c r="CI19" s="1451"/>
      <c r="CJ19" s="1451"/>
      <c r="CK19" s="1451"/>
      <c r="CL19" s="1451"/>
      <c r="CM19" s="1451"/>
      <c r="CN19" s="1451"/>
      <c r="CO19" s="1451"/>
      <c r="CP19" s="1451"/>
      <c r="CQ19" s="1451"/>
      <c r="CR19" s="1451"/>
      <c r="CS19" s="1452"/>
      <c r="CT19" s="1450"/>
      <c r="CU19" s="1451"/>
      <c r="CV19" s="1451"/>
      <c r="CW19" s="1451"/>
      <c r="CX19" s="1451"/>
      <c r="CY19" s="1451"/>
      <c r="CZ19" s="1451"/>
      <c r="DA19" s="1451"/>
      <c r="DB19" s="1451"/>
      <c r="DC19" s="1451"/>
      <c r="DD19" s="1451"/>
      <c r="DE19" s="1452"/>
      <c r="DF19" s="1450"/>
      <c r="DG19" s="1451"/>
      <c r="DH19" s="1451"/>
      <c r="DI19" s="1451"/>
      <c r="DJ19" s="1451"/>
      <c r="DK19" s="1451"/>
      <c r="DL19" s="1451"/>
      <c r="DM19" s="1451"/>
      <c r="DN19" s="1451"/>
      <c r="DO19" s="1451"/>
      <c r="DP19" s="1451"/>
      <c r="DQ19" s="1452"/>
      <c r="DR19" s="1448">
        <f t="shared" si="2"/>
        <v>0</v>
      </c>
      <c r="DS19" s="1446">
        <f t="shared" si="2"/>
        <v>0</v>
      </c>
      <c r="DT19" s="1446">
        <f t="shared" si="2"/>
        <v>0</v>
      </c>
      <c r="DU19" s="1446">
        <f t="shared" si="2"/>
        <v>0</v>
      </c>
      <c r="DV19" s="1446">
        <f t="shared" si="2"/>
        <v>0</v>
      </c>
      <c r="DW19" s="1446">
        <f t="shared" si="2"/>
        <v>0</v>
      </c>
      <c r="DX19" s="1446">
        <f t="shared" si="2"/>
        <v>0</v>
      </c>
      <c r="DY19" s="1446">
        <f t="shared" si="2"/>
        <v>0</v>
      </c>
      <c r="DZ19" s="1446">
        <f t="shared" si="2"/>
        <v>0</v>
      </c>
      <c r="EA19" s="1446">
        <f t="shared" si="2"/>
        <v>0</v>
      </c>
      <c r="EB19" s="1446">
        <f t="shared" si="2"/>
        <v>0</v>
      </c>
      <c r="EC19" s="1447">
        <f t="shared" si="2"/>
        <v>0</v>
      </c>
    </row>
    <row r="20" spans="1:133">
      <c r="A20" s="1449" t="s">
        <v>752</v>
      </c>
      <c r="B20" s="1450"/>
      <c r="C20" s="1451"/>
      <c r="D20" s="1451"/>
      <c r="E20" s="1451"/>
      <c r="F20" s="1451"/>
      <c r="G20" s="1451"/>
      <c r="H20" s="1451"/>
      <c r="I20" s="1451"/>
      <c r="J20" s="1451"/>
      <c r="K20" s="1451"/>
      <c r="L20" s="1451"/>
      <c r="M20" s="1452"/>
      <c r="N20" s="1450"/>
      <c r="O20" s="1451"/>
      <c r="P20" s="1451"/>
      <c r="Q20" s="1451"/>
      <c r="R20" s="1451"/>
      <c r="S20" s="1451"/>
      <c r="T20" s="1451"/>
      <c r="U20" s="1451"/>
      <c r="V20" s="1451"/>
      <c r="W20" s="1451"/>
      <c r="X20" s="1451"/>
      <c r="Y20" s="1452"/>
      <c r="Z20" s="1450"/>
      <c r="AA20" s="1451"/>
      <c r="AB20" s="1451"/>
      <c r="AC20" s="1451"/>
      <c r="AD20" s="1451"/>
      <c r="AE20" s="1451"/>
      <c r="AF20" s="1451"/>
      <c r="AG20" s="1451"/>
      <c r="AH20" s="1451"/>
      <c r="AI20" s="1451"/>
      <c r="AJ20" s="1451"/>
      <c r="AK20" s="1452"/>
      <c r="AL20" s="1450"/>
      <c r="AM20" s="1451"/>
      <c r="AN20" s="1451"/>
      <c r="AO20" s="1451"/>
      <c r="AP20" s="1451"/>
      <c r="AQ20" s="1451"/>
      <c r="AR20" s="1451"/>
      <c r="AS20" s="1451"/>
      <c r="AT20" s="1451"/>
      <c r="AU20" s="1451"/>
      <c r="AV20" s="1451"/>
      <c r="AW20" s="1452"/>
      <c r="AX20" s="1450"/>
      <c r="AY20" s="1451"/>
      <c r="AZ20" s="1451"/>
      <c r="BA20" s="1451"/>
      <c r="BB20" s="1451"/>
      <c r="BC20" s="1451"/>
      <c r="BD20" s="1451"/>
      <c r="BE20" s="1451"/>
      <c r="BF20" s="1451"/>
      <c r="BG20" s="1451"/>
      <c r="BH20" s="1451"/>
      <c r="BI20" s="1452"/>
      <c r="BJ20" s="1450"/>
      <c r="BK20" s="1451"/>
      <c r="BL20" s="1451"/>
      <c r="BM20" s="1451"/>
      <c r="BN20" s="1451"/>
      <c r="BO20" s="1451"/>
      <c r="BP20" s="1451"/>
      <c r="BQ20" s="1451"/>
      <c r="BR20" s="1451"/>
      <c r="BS20" s="1451"/>
      <c r="BT20" s="1451"/>
      <c r="BU20" s="1452"/>
      <c r="BV20" s="1450"/>
      <c r="BW20" s="1451"/>
      <c r="BX20" s="1451"/>
      <c r="BY20" s="1451"/>
      <c r="BZ20" s="1451"/>
      <c r="CA20" s="1451"/>
      <c r="CB20" s="1451"/>
      <c r="CC20" s="1451"/>
      <c r="CD20" s="1451"/>
      <c r="CE20" s="1451"/>
      <c r="CF20" s="1451"/>
      <c r="CG20" s="1452"/>
      <c r="CH20" s="1450"/>
      <c r="CI20" s="1451"/>
      <c r="CJ20" s="1451"/>
      <c r="CK20" s="1451"/>
      <c r="CL20" s="1451"/>
      <c r="CM20" s="1451"/>
      <c r="CN20" s="1451"/>
      <c r="CO20" s="1451"/>
      <c r="CP20" s="1451"/>
      <c r="CQ20" s="1451"/>
      <c r="CR20" s="1451"/>
      <c r="CS20" s="1452"/>
      <c r="CT20" s="1450"/>
      <c r="CU20" s="1451"/>
      <c r="CV20" s="1451"/>
      <c r="CW20" s="1451"/>
      <c r="CX20" s="1451"/>
      <c r="CY20" s="1451"/>
      <c r="CZ20" s="1451"/>
      <c r="DA20" s="1451"/>
      <c r="DB20" s="1451"/>
      <c r="DC20" s="1451"/>
      <c r="DD20" s="1451"/>
      <c r="DE20" s="1452"/>
      <c r="DF20" s="1450"/>
      <c r="DG20" s="1451"/>
      <c r="DH20" s="1451"/>
      <c r="DI20" s="1451"/>
      <c r="DJ20" s="1451"/>
      <c r="DK20" s="1451"/>
      <c r="DL20" s="1451"/>
      <c r="DM20" s="1451"/>
      <c r="DN20" s="1451"/>
      <c r="DO20" s="1451"/>
      <c r="DP20" s="1451"/>
      <c r="DQ20" s="1452"/>
      <c r="DR20" s="1448">
        <f t="shared" si="2"/>
        <v>0</v>
      </c>
      <c r="DS20" s="1446">
        <f t="shared" si="2"/>
        <v>0</v>
      </c>
      <c r="DT20" s="1446">
        <f t="shared" si="2"/>
        <v>0</v>
      </c>
      <c r="DU20" s="1446">
        <f t="shared" si="2"/>
        <v>0</v>
      </c>
      <c r="DV20" s="1446">
        <f t="shared" si="2"/>
        <v>0</v>
      </c>
      <c r="DW20" s="1446">
        <f t="shared" si="2"/>
        <v>0</v>
      </c>
      <c r="DX20" s="1446">
        <f t="shared" si="2"/>
        <v>0</v>
      </c>
      <c r="DY20" s="1446">
        <f t="shared" si="2"/>
        <v>0</v>
      </c>
      <c r="DZ20" s="1446">
        <f t="shared" si="2"/>
        <v>0</v>
      </c>
      <c r="EA20" s="1446">
        <f t="shared" si="2"/>
        <v>0</v>
      </c>
      <c r="EB20" s="1446">
        <f t="shared" si="2"/>
        <v>0</v>
      </c>
      <c r="EC20" s="1447">
        <f t="shared" si="2"/>
        <v>0</v>
      </c>
    </row>
    <row r="21" spans="1:133">
      <c r="A21" s="1449" t="s">
        <v>753</v>
      </c>
      <c r="B21" s="1450"/>
      <c r="C21" s="1451"/>
      <c r="D21" s="1451"/>
      <c r="E21" s="1451"/>
      <c r="F21" s="1451"/>
      <c r="G21" s="1451"/>
      <c r="H21" s="1451"/>
      <c r="I21" s="1451"/>
      <c r="J21" s="1451"/>
      <c r="K21" s="1451"/>
      <c r="L21" s="1451"/>
      <c r="M21" s="1452"/>
      <c r="N21" s="1450"/>
      <c r="O21" s="1451"/>
      <c r="P21" s="1451"/>
      <c r="Q21" s="1451"/>
      <c r="R21" s="1451"/>
      <c r="S21" s="1451"/>
      <c r="T21" s="1451"/>
      <c r="U21" s="1451"/>
      <c r="V21" s="1451"/>
      <c r="W21" s="1451"/>
      <c r="X21" s="1451"/>
      <c r="Y21" s="1452"/>
      <c r="Z21" s="1450"/>
      <c r="AA21" s="1451"/>
      <c r="AB21" s="1451"/>
      <c r="AC21" s="1451"/>
      <c r="AD21" s="1451"/>
      <c r="AE21" s="1451"/>
      <c r="AF21" s="1451"/>
      <c r="AG21" s="1451"/>
      <c r="AH21" s="1451"/>
      <c r="AI21" s="1451"/>
      <c r="AJ21" s="1451"/>
      <c r="AK21" s="1452"/>
      <c r="AL21" s="1450"/>
      <c r="AM21" s="1451"/>
      <c r="AN21" s="1451"/>
      <c r="AO21" s="1451"/>
      <c r="AP21" s="1451"/>
      <c r="AQ21" s="1451"/>
      <c r="AR21" s="1451"/>
      <c r="AS21" s="1451"/>
      <c r="AT21" s="1451"/>
      <c r="AU21" s="1451"/>
      <c r="AV21" s="1451"/>
      <c r="AW21" s="1452"/>
      <c r="AX21" s="1450"/>
      <c r="AY21" s="1451"/>
      <c r="AZ21" s="1451"/>
      <c r="BA21" s="1451"/>
      <c r="BB21" s="1451"/>
      <c r="BC21" s="1451"/>
      <c r="BD21" s="1451"/>
      <c r="BE21" s="1451"/>
      <c r="BF21" s="1451"/>
      <c r="BG21" s="1451"/>
      <c r="BH21" s="1451"/>
      <c r="BI21" s="1452"/>
      <c r="BJ21" s="1450"/>
      <c r="BK21" s="1451"/>
      <c r="BL21" s="1451"/>
      <c r="BM21" s="1451"/>
      <c r="BN21" s="1451"/>
      <c r="BO21" s="1451"/>
      <c r="BP21" s="1451"/>
      <c r="BQ21" s="1451"/>
      <c r="BR21" s="1451"/>
      <c r="BS21" s="1451"/>
      <c r="BT21" s="1451"/>
      <c r="BU21" s="1452"/>
      <c r="BV21" s="1450"/>
      <c r="BW21" s="1451"/>
      <c r="BX21" s="1451"/>
      <c r="BY21" s="1451"/>
      <c r="BZ21" s="1451"/>
      <c r="CA21" s="1451"/>
      <c r="CB21" s="1451"/>
      <c r="CC21" s="1451"/>
      <c r="CD21" s="1451"/>
      <c r="CE21" s="1451"/>
      <c r="CF21" s="1451"/>
      <c r="CG21" s="1452"/>
      <c r="CH21" s="1450"/>
      <c r="CI21" s="1451"/>
      <c r="CJ21" s="1451"/>
      <c r="CK21" s="1451"/>
      <c r="CL21" s="1451"/>
      <c r="CM21" s="1451"/>
      <c r="CN21" s="1451"/>
      <c r="CO21" s="1451"/>
      <c r="CP21" s="1451"/>
      <c r="CQ21" s="1451"/>
      <c r="CR21" s="1451"/>
      <c r="CS21" s="1452"/>
      <c r="CT21" s="1450"/>
      <c r="CU21" s="1451"/>
      <c r="CV21" s="1451"/>
      <c r="CW21" s="1451"/>
      <c r="CX21" s="1451"/>
      <c r="CY21" s="1451"/>
      <c r="CZ21" s="1451"/>
      <c r="DA21" s="1451"/>
      <c r="DB21" s="1451"/>
      <c r="DC21" s="1451"/>
      <c r="DD21" s="1451"/>
      <c r="DE21" s="1452"/>
      <c r="DF21" s="1450"/>
      <c r="DG21" s="1451"/>
      <c r="DH21" s="1451"/>
      <c r="DI21" s="1451"/>
      <c r="DJ21" s="1451"/>
      <c r="DK21" s="1451"/>
      <c r="DL21" s="1451"/>
      <c r="DM21" s="1451"/>
      <c r="DN21" s="1451"/>
      <c r="DO21" s="1451"/>
      <c r="DP21" s="1451"/>
      <c r="DQ21" s="1452"/>
      <c r="DR21" s="1448">
        <f t="shared" si="2"/>
        <v>0</v>
      </c>
      <c r="DS21" s="1446">
        <f t="shared" si="2"/>
        <v>0</v>
      </c>
      <c r="DT21" s="1446">
        <f t="shared" si="2"/>
        <v>0</v>
      </c>
      <c r="DU21" s="1446">
        <f t="shared" si="2"/>
        <v>0</v>
      </c>
      <c r="DV21" s="1446">
        <f t="shared" si="2"/>
        <v>0</v>
      </c>
      <c r="DW21" s="1446">
        <f t="shared" si="2"/>
        <v>0</v>
      </c>
      <c r="DX21" s="1446">
        <f t="shared" si="2"/>
        <v>0</v>
      </c>
      <c r="DY21" s="1446">
        <f t="shared" si="2"/>
        <v>0</v>
      </c>
      <c r="DZ21" s="1446">
        <f t="shared" si="2"/>
        <v>0</v>
      </c>
      <c r="EA21" s="1446">
        <f t="shared" si="2"/>
        <v>0</v>
      </c>
      <c r="EB21" s="1446">
        <f t="shared" si="2"/>
        <v>0</v>
      </c>
      <c r="EC21" s="1447">
        <f t="shared" si="2"/>
        <v>0</v>
      </c>
    </row>
    <row r="22" spans="1:133">
      <c r="A22" s="1449" t="s">
        <v>754</v>
      </c>
      <c r="B22" s="1450"/>
      <c r="C22" s="1451"/>
      <c r="D22" s="1451"/>
      <c r="E22" s="1451"/>
      <c r="F22" s="1451"/>
      <c r="G22" s="1451"/>
      <c r="H22" s="1451"/>
      <c r="I22" s="1451"/>
      <c r="J22" s="1451"/>
      <c r="K22" s="1451"/>
      <c r="L22" s="1451"/>
      <c r="M22" s="1452"/>
      <c r="N22" s="1450"/>
      <c r="O22" s="1451"/>
      <c r="P22" s="1451"/>
      <c r="Q22" s="1451"/>
      <c r="R22" s="1451"/>
      <c r="S22" s="1451"/>
      <c r="T22" s="1451"/>
      <c r="U22" s="1451"/>
      <c r="V22" s="1451"/>
      <c r="W22" s="1451"/>
      <c r="X22" s="1451"/>
      <c r="Y22" s="1452"/>
      <c r="Z22" s="1450"/>
      <c r="AA22" s="1451"/>
      <c r="AB22" s="1451"/>
      <c r="AC22" s="1451"/>
      <c r="AD22" s="1451"/>
      <c r="AE22" s="1451"/>
      <c r="AF22" s="1451"/>
      <c r="AG22" s="1451"/>
      <c r="AH22" s="1451"/>
      <c r="AI22" s="1451"/>
      <c r="AJ22" s="1451"/>
      <c r="AK22" s="1452"/>
      <c r="AL22" s="1450"/>
      <c r="AM22" s="1451"/>
      <c r="AN22" s="1451"/>
      <c r="AO22" s="1451"/>
      <c r="AP22" s="1451"/>
      <c r="AQ22" s="1451"/>
      <c r="AR22" s="1451"/>
      <c r="AS22" s="1451"/>
      <c r="AT22" s="1451"/>
      <c r="AU22" s="1451"/>
      <c r="AV22" s="1451"/>
      <c r="AW22" s="1452"/>
      <c r="AX22" s="1450"/>
      <c r="AY22" s="1451"/>
      <c r="AZ22" s="1451"/>
      <c r="BA22" s="1451"/>
      <c r="BB22" s="1451"/>
      <c r="BC22" s="1451"/>
      <c r="BD22" s="1451"/>
      <c r="BE22" s="1451"/>
      <c r="BF22" s="1451"/>
      <c r="BG22" s="1451"/>
      <c r="BH22" s="1451"/>
      <c r="BI22" s="1452"/>
      <c r="BJ22" s="1450"/>
      <c r="BK22" s="1451"/>
      <c r="BL22" s="1451"/>
      <c r="BM22" s="1451"/>
      <c r="BN22" s="1451"/>
      <c r="BO22" s="1451"/>
      <c r="BP22" s="1451"/>
      <c r="BQ22" s="1451"/>
      <c r="BR22" s="1451"/>
      <c r="BS22" s="1451"/>
      <c r="BT22" s="1451"/>
      <c r="BU22" s="1452"/>
      <c r="BV22" s="1450"/>
      <c r="BW22" s="1451"/>
      <c r="BX22" s="1451"/>
      <c r="BY22" s="1451"/>
      <c r="BZ22" s="1451"/>
      <c r="CA22" s="1451"/>
      <c r="CB22" s="1451"/>
      <c r="CC22" s="1451"/>
      <c r="CD22" s="1451"/>
      <c r="CE22" s="1451"/>
      <c r="CF22" s="1451"/>
      <c r="CG22" s="1452"/>
      <c r="CH22" s="1450"/>
      <c r="CI22" s="1451"/>
      <c r="CJ22" s="1451"/>
      <c r="CK22" s="1451"/>
      <c r="CL22" s="1451"/>
      <c r="CM22" s="1451"/>
      <c r="CN22" s="1451"/>
      <c r="CO22" s="1451"/>
      <c r="CP22" s="1451"/>
      <c r="CQ22" s="1451"/>
      <c r="CR22" s="1451"/>
      <c r="CS22" s="1452"/>
      <c r="CT22" s="1450"/>
      <c r="CU22" s="1451"/>
      <c r="CV22" s="1451"/>
      <c r="CW22" s="1451"/>
      <c r="CX22" s="1451"/>
      <c r="CY22" s="1451"/>
      <c r="CZ22" s="1451"/>
      <c r="DA22" s="1451"/>
      <c r="DB22" s="1451"/>
      <c r="DC22" s="1451"/>
      <c r="DD22" s="1451"/>
      <c r="DE22" s="1452"/>
      <c r="DF22" s="1450"/>
      <c r="DG22" s="1451"/>
      <c r="DH22" s="1451"/>
      <c r="DI22" s="1451"/>
      <c r="DJ22" s="1451"/>
      <c r="DK22" s="1451"/>
      <c r="DL22" s="1451"/>
      <c r="DM22" s="1451"/>
      <c r="DN22" s="1451"/>
      <c r="DO22" s="1451"/>
      <c r="DP22" s="1451"/>
      <c r="DQ22" s="1452"/>
      <c r="DR22" s="1448">
        <f t="shared" si="2"/>
        <v>0</v>
      </c>
      <c r="DS22" s="1446">
        <f t="shared" si="2"/>
        <v>0</v>
      </c>
      <c r="DT22" s="1446">
        <f t="shared" si="2"/>
        <v>0</v>
      </c>
      <c r="DU22" s="1446">
        <f t="shared" si="2"/>
        <v>0</v>
      </c>
      <c r="DV22" s="1446">
        <f t="shared" si="2"/>
        <v>0</v>
      </c>
      <c r="DW22" s="1446">
        <f t="shared" si="2"/>
        <v>0</v>
      </c>
      <c r="DX22" s="1446">
        <f t="shared" si="2"/>
        <v>0</v>
      </c>
      <c r="DY22" s="1446">
        <f t="shared" si="2"/>
        <v>0</v>
      </c>
      <c r="DZ22" s="1446">
        <f t="shared" si="2"/>
        <v>0</v>
      </c>
      <c r="EA22" s="1446">
        <f t="shared" si="2"/>
        <v>0</v>
      </c>
      <c r="EB22" s="1446">
        <f t="shared" si="2"/>
        <v>0</v>
      </c>
      <c r="EC22" s="1447">
        <f t="shared" si="2"/>
        <v>0</v>
      </c>
    </row>
    <row r="23" spans="1:133">
      <c r="A23" s="1437" t="s">
        <v>756</v>
      </c>
      <c r="B23" s="1438"/>
      <c r="C23" s="1439"/>
      <c r="D23" s="1439"/>
      <c r="E23" s="1439"/>
      <c r="F23" s="1439"/>
      <c r="G23" s="1439"/>
      <c r="H23" s="1439"/>
      <c r="I23" s="1439"/>
      <c r="J23" s="1439"/>
      <c r="K23" s="1439"/>
      <c r="L23" s="1439"/>
      <c r="M23" s="1439"/>
      <c r="N23" s="1439"/>
      <c r="O23" s="1439"/>
      <c r="P23" s="1439"/>
      <c r="Q23" s="1439"/>
      <c r="R23" s="1439"/>
      <c r="S23" s="1439"/>
      <c r="T23" s="1439"/>
      <c r="U23" s="1439"/>
      <c r="V23" s="1439"/>
      <c r="W23" s="1439"/>
      <c r="X23" s="1439"/>
      <c r="Y23" s="1439"/>
      <c r="Z23" s="1439"/>
      <c r="AA23" s="1439"/>
      <c r="AB23" s="1439"/>
      <c r="AC23" s="1439"/>
      <c r="AD23" s="1439"/>
      <c r="AE23" s="1439"/>
      <c r="AF23" s="1439"/>
      <c r="AG23" s="1439"/>
      <c r="AH23" s="1439"/>
      <c r="AI23" s="1439"/>
      <c r="AJ23" s="1439"/>
      <c r="AK23" s="1439"/>
      <c r="AL23" s="1439"/>
      <c r="AM23" s="1439"/>
      <c r="AN23" s="1439"/>
      <c r="AO23" s="1439"/>
      <c r="AP23" s="1439"/>
      <c r="AQ23" s="1439"/>
      <c r="AR23" s="1439"/>
      <c r="AS23" s="1439"/>
      <c r="AT23" s="1439"/>
      <c r="AU23" s="1439"/>
      <c r="AV23" s="1439"/>
      <c r="AW23" s="1439"/>
      <c r="AX23" s="1439"/>
      <c r="AY23" s="1439"/>
      <c r="AZ23" s="1439"/>
      <c r="BA23" s="1439"/>
      <c r="BB23" s="1439"/>
      <c r="BC23" s="1439"/>
      <c r="BD23" s="1439"/>
      <c r="BE23" s="1439"/>
      <c r="BF23" s="1439"/>
      <c r="BG23" s="1439"/>
      <c r="BH23" s="1439"/>
      <c r="BI23" s="1439"/>
      <c r="BJ23" s="1439"/>
      <c r="BK23" s="1439"/>
      <c r="BL23" s="1439"/>
      <c r="BM23" s="1439"/>
      <c r="BN23" s="1439"/>
      <c r="BO23" s="1439"/>
      <c r="BP23" s="1439"/>
      <c r="BQ23" s="1439"/>
      <c r="BR23" s="1439"/>
      <c r="BS23" s="1439"/>
      <c r="BT23" s="1439"/>
      <c r="BU23" s="1439"/>
      <c r="BV23" s="1439"/>
      <c r="BW23" s="1439"/>
      <c r="BX23" s="1439"/>
      <c r="BY23" s="1439"/>
      <c r="BZ23" s="1439"/>
      <c r="CA23" s="1439"/>
      <c r="CB23" s="1439"/>
      <c r="CC23" s="1439"/>
      <c r="CD23" s="1439"/>
      <c r="CE23" s="1439"/>
      <c r="CF23" s="1439"/>
      <c r="CG23" s="1439"/>
      <c r="CH23" s="1439"/>
      <c r="CI23" s="1439"/>
      <c r="CJ23" s="1439"/>
      <c r="CK23" s="1439"/>
      <c r="CL23" s="1439"/>
      <c r="CM23" s="1439"/>
      <c r="CN23" s="1439"/>
      <c r="CO23" s="1439"/>
      <c r="CP23" s="1439"/>
      <c r="CQ23" s="1439"/>
      <c r="CR23" s="1439"/>
      <c r="CS23" s="1439"/>
      <c r="CT23" s="1439"/>
      <c r="CU23" s="1439"/>
      <c r="CV23" s="1439"/>
      <c r="CW23" s="1439"/>
      <c r="CX23" s="1439"/>
      <c r="CY23" s="1439"/>
      <c r="CZ23" s="1439"/>
      <c r="DA23" s="1439"/>
      <c r="DB23" s="1439"/>
      <c r="DC23" s="1439"/>
      <c r="DD23" s="1439"/>
      <c r="DE23" s="1439"/>
      <c r="DF23" s="1439"/>
      <c r="DG23" s="1439"/>
      <c r="DH23" s="1439"/>
      <c r="DI23" s="1439"/>
      <c r="DJ23" s="1439"/>
      <c r="DK23" s="1439"/>
      <c r="DL23" s="1439"/>
      <c r="DM23" s="1439"/>
      <c r="DN23" s="1439"/>
      <c r="DO23" s="1439"/>
      <c r="DP23" s="1439"/>
      <c r="DQ23" s="1439"/>
      <c r="DR23" s="1439"/>
      <c r="DS23" s="1439"/>
      <c r="DT23" s="1439"/>
      <c r="DU23" s="1439"/>
      <c r="DV23" s="1439"/>
      <c r="DW23" s="1439"/>
      <c r="DX23" s="1439"/>
      <c r="DY23" s="1439"/>
      <c r="DZ23" s="1439"/>
      <c r="EA23" s="1439"/>
      <c r="EB23" s="1439"/>
      <c r="EC23" s="1440"/>
    </row>
    <row r="24" spans="1:133">
      <c r="A24" s="1449" t="s">
        <v>749</v>
      </c>
      <c r="B24" s="1442"/>
      <c r="C24" s="1443"/>
      <c r="D24" s="1443"/>
      <c r="E24" s="1443"/>
      <c r="F24" s="1443"/>
      <c r="G24" s="1443"/>
      <c r="H24" s="1443"/>
      <c r="I24" s="1443"/>
      <c r="J24" s="1443"/>
      <c r="K24" s="1443"/>
      <c r="L24" s="1443"/>
      <c r="M24" s="1444"/>
      <c r="N24" s="1442"/>
      <c r="O24" s="1443"/>
      <c r="P24" s="1443"/>
      <c r="Q24" s="1443"/>
      <c r="R24" s="1443"/>
      <c r="S24" s="1443"/>
      <c r="T24" s="1443"/>
      <c r="U24" s="1443"/>
      <c r="V24" s="1443"/>
      <c r="W24" s="1443"/>
      <c r="X24" s="1443"/>
      <c r="Y24" s="1444"/>
      <c r="Z24" s="1442"/>
      <c r="AA24" s="1443"/>
      <c r="AB24" s="1443"/>
      <c r="AC24" s="1443"/>
      <c r="AD24" s="1443"/>
      <c r="AE24" s="1443"/>
      <c r="AF24" s="1443"/>
      <c r="AG24" s="1443"/>
      <c r="AH24" s="1443"/>
      <c r="AI24" s="1443"/>
      <c r="AJ24" s="1443"/>
      <c r="AK24" s="1444"/>
      <c r="AL24" s="1442"/>
      <c r="AM24" s="1443"/>
      <c r="AN24" s="1443"/>
      <c r="AO24" s="1443"/>
      <c r="AP24" s="1443"/>
      <c r="AQ24" s="1443"/>
      <c r="AR24" s="1443"/>
      <c r="AS24" s="1443"/>
      <c r="AT24" s="1443"/>
      <c r="AU24" s="1443"/>
      <c r="AV24" s="1443"/>
      <c r="AW24" s="1444"/>
      <c r="AX24" s="1442"/>
      <c r="AY24" s="1443"/>
      <c r="AZ24" s="1443"/>
      <c r="BA24" s="1443"/>
      <c r="BB24" s="1443"/>
      <c r="BC24" s="1443"/>
      <c r="BD24" s="1443"/>
      <c r="BE24" s="1443"/>
      <c r="BF24" s="1443"/>
      <c r="BG24" s="1443"/>
      <c r="BH24" s="1443"/>
      <c r="BI24" s="1444"/>
      <c r="BJ24" s="1442"/>
      <c r="BK24" s="1443"/>
      <c r="BL24" s="1443"/>
      <c r="BM24" s="1443"/>
      <c r="BN24" s="1443"/>
      <c r="BO24" s="1443"/>
      <c r="BP24" s="1443"/>
      <c r="BQ24" s="1443"/>
      <c r="BR24" s="1443"/>
      <c r="BS24" s="1443"/>
      <c r="BT24" s="1443"/>
      <c r="BU24" s="1444"/>
      <c r="BV24" s="1442"/>
      <c r="BW24" s="1443"/>
      <c r="BX24" s="1443"/>
      <c r="BY24" s="1443"/>
      <c r="BZ24" s="1443"/>
      <c r="CA24" s="1443"/>
      <c r="CB24" s="1443"/>
      <c r="CC24" s="1443"/>
      <c r="CD24" s="1443"/>
      <c r="CE24" s="1443"/>
      <c r="CF24" s="1443"/>
      <c r="CG24" s="1444"/>
      <c r="CH24" s="1442"/>
      <c r="CI24" s="1443"/>
      <c r="CJ24" s="1443"/>
      <c r="CK24" s="1443"/>
      <c r="CL24" s="1443"/>
      <c r="CM24" s="1443"/>
      <c r="CN24" s="1443"/>
      <c r="CO24" s="1443"/>
      <c r="CP24" s="1443"/>
      <c r="CQ24" s="1443"/>
      <c r="CR24" s="1443"/>
      <c r="CS24" s="1444"/>
      <c r="CT24" s="1442"/>
      <c r="CU24" s="1443"/>
      <c r="CV24" s="1443"/>
      <c r="CW24" s="1443"/>
      <c r="CX24" s="1443"/>
      <c r="CY24" s="1443"/>
      <c r="CZ24" s="1443"/>
      <c r="DA24" s="1443"/>
      <c r="DB24" s="1443"/>
      <c r="DC24" s="1443"/>
      <c r="DD24" s="1443"/>
      <c r="DE24" s="1444"/>
      <c r="DF24" s="1442"/>
      <c r="DG24" s="1443"/>
      <c r="DH24" s="1443"/>
      <c r="DI24" s="1443"/>
      <c r="DJ24" s="1443"/>
      <c r="DK24" s="1443"/>
      <c r="DL24" s="1443"/>
      <c r="DM24" s="1443"/>
      <c r="DN24" s="1443"/>
      <c r="DO24" s="1443">
        <v>1</v>
      </c>
      <c r="DP24" s="1443"/>
      <c r="DQ24" s="1444"/>
      <c r="DR24" s="1448"/>
      <c r="DS24" s="1446"/>
      <c r="DT24" s="1446"/>
      <c r="DU24" s="1446"/>
      <c r="DV24" s="1446"/>
      <c r="DW24" s="1446">
        <f t="shared" ref="DR24:EC29" si="3">SUM(G24,S24,AE24,AQ24,BC24,BO24,CA24,CM24,CY24,DK24)</f>
        <v>0</v>
      </c>
      <c r="DX24" s="1446">
        <f t="shared" si="3"/>
        <v>0</v>
      </c>
      <c r="DY24" s="1446">
        <f t="shared" si="3"/>
        <v>0</v>
      </c>
      <c r="DZ24" s="1446">
        <f t="shared" si="3"/>
        <v>0</v>
      </c>
      <c r="EA24" s="1446">
        <f t="shared" si="3"/>
        <v>1</v>
      </c>
      <c r="EB24" s="1446">
        <f t="shared" si="3"/>
        <v>0</v>
      </c>
      <c r="EC24" s="1447">
        <f t="shared" si="3"/>
        <v>0</v>
      </c>
    </row>
    <row r="25" spans="1:133">
      <c r="A25" s="1449" t="s">
        <v>750</v>
      </c>
      <c r="B25" s="1450"/>
      <c r="C25" s="1451"/>
      <c r="D25" s="1451"/>
      <c r="E25" s="1451"/>
      <c r="F25" s="1451"/>
      <c r="G25" s="1451"/>
      <c r="H25" s="1451"/>
      <c r="I25" s="1451"/>
      <c r="J25" s="1451"/>
      <c r="K25" s="1451"/>
      <c r="L25" s="1451"/>
      <c r="M25" s="1452"/>
      <c r="N25" s="1450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2"/>
      <c r="Z25" s="1450"/>
      <c r="AA25" s="1451"/>
      <c r="AB25" s="1451"/>
      <c r="AC25" s="1451"/>
      <c r="AD25" s="1451"/>
      <c r="AE25" s="1451"/>
      <c r="AF25" s="1451"/>
      <c r="AG25" s="1451"/>
      <c r="AH25" s="1451"/>
      <c r="AI25" s="1451"/>
      <c r="AJ25" s="1451"/>
      <c r="AK25" s="1452"/>
      <c r="AL25" s="1450"/>
      <c r="AM25" s="1451"/>
      <c r="AN25" s="1451"/>
      <c r="AO25" s="1451"/>
      <c r="AP25" s="1451"/>
      <c r="AQ25" s="1451"/>
      <c r="AR25" s="1451"/>
      <c r="AS25" s="1451"/>
      <c r="AT25" s="1451"/>
      <c r="AU25" s="1451"/>
      <c r="AV25" s="1451"/>
      <c r="AW25" s="1452"/>
      <c r="AX25" s="1450"/>
      <c r="AY25" s="1451"/>
      <c r="AZ25" s="1451"/>
      <c r="BA25" s="1451"/>
      <c r="BB25" s="1451"/>
      <c r="BC25" s="1451"/>
      <c r="BD25" s="1451"/>
      <c r="BE25" s="1451"/>
      <c r="BF25" s="1451"/>
      <c r="BG25" s="1451"/>
      <c r="BH25" s="1451"/>
      <c r="BI25" s="1452"/>
      <c r="BJ25" s="1450"/>
      <c r="BK25" s="1451"/>
      <c r="BL25" s="1451"/>
      <c r="BM25" s="1451"/>
      <c r="BN25" s="1451"/>
      <c r="BO25" s="1451"/>
      <c r="BP25" s="1451"/>
      <c r="BQ25" s="1451"/>
      <c r="BR25" s="1451"/>
      <c r="BS25" s="1451"/>
      <c r="BT25" s="1451"/>
      <c r="BU25" s="1452"/>
      <c r="BV25" s="1450"/>
      <c r="BW25" s="1451"/>
      <c r="BX25" s="1451"/>
      <c r="BY25" s="1451"/>
      <c r="BZ25" s="1451"/>
      <c r="CA25" s="1451"/>
      <c r="CB25" s="1451"/>
      <c r="CC25" s="1451"/>
      <c r="CD25" s="1451"/>
      <c r="CE25" s="1451"/>
      <c r="CF25" s="1451"/>
      <c r="CG25" s="1452"/>
      <c r="CH25" s="1450"/>
      <c r="CI25" s="1451"/>
      <c r="CJ25" s="1451"/>
      <c r="CK25" s="1451"/>
      <c r="CL25" s="1451"/>
      <c r="CM25" s="1451"/>
      <c r="CN25" s="1451"/>
      <c r="CO25" s="1451"/>
      <c r="CP25" s="1451"/>
      <c r="CQ25" s="1451"/>
      <c r="CR25" s="1451"/>
      <c r="CS25" s="1452"/>
      <c r="CT25" s="1450"/>
      <c r="CU25" s="1451"/>
      <c r="CV25" s="1451"/>
      <c r="CW25" s="1451"/>
      <c r="CX25" s="1451"/>
      <c r="CY25" s="1451"/>
      <c r="CZ25" s="1451"/>
      <c r="DA25" s="1451"/>
      <c r="DB25" s="1451"/>
      <c r="DC25" s="1451"/>
      <c r="DD25" s="1451"/>
      <c r="DE25" s="1452"/>
      <c r="DF25" s="1450"/>
      <c r="DG25" s="1451"/>
      <c r="DH25" s="1451"/>
      <c r="DI25" s="1451"/>
      <c r="DJ25" s="1451"/>
      <c r="DK25" s="1451"/>
      <c r="DL25" s="1451"/>
      <c r="DM25" s="1451"/>
      <c r="DN25" s="1451"/>
      <c r="DO25" s="1451"/>
      <c r="DP25" s="1451"/>
      <c r="DQ25" s="1452"/>
      <c r="DR25" s="1448"/>
      <c r="DS25" s="1446"/>
      <c r="DT25" s="1446"/>
      <c r="DU25" s="1446">
        <f t="shared" si="3"/>
        <v>0</v>
      </c>
      <c r="DV25" s="1446">
        <f t="shared" si="3"/>
        <v>0</v>
      </c>
      <c r="DW25" s="1446">
        <f t="shared" si="3"/>
        <v>0</v>
      </c>
      <c r="DX25" s="1446">
        <f t="shared" si="3"/>
        <v>0</v>
      </c>
      <c r="DY25" s="1446">
        <f t="shared" si="3"/>
        <v>0</v>
      </c>
      <c r="DZ25" s="1446">
        <f t="shared" si="3"/>
        <v>0</v>
      </c>
      <c r="EA25" s="1446">
        <f t="shared" si="3"/>
        <v>0</v>
      </c>
      <c r="EB25" s="1446">
        <f t="shared" si="3"/>
        <v>0</v>
      </c>
      <c r="EC25" s="1447">
        <f t="shared" si="3"/>
        <v>0</v>
      </c>
    </row>
    <row r="26" spans="1:133">
      <c r="A26" s="1449" t="s">
        <v>751</v>
      </c>
      <c r="B26" s="1450"/>
      <c r="C26" s="1451"/>
      <c r="D26" s="1451"/>
      <c r="E26" s="1451"/>
      <c r="F26" s="1451"/>
      <c r="G26" s="1451"/>
      <c r="H26" s="1451"/>
      <c r="I26" s="1451"/>
      <c r="J26" s="1451"/>
      <c r="K26" s="1451"/>
      <c r="L26" s="1451"/>
      <c r="M26" s="1452"/>
      <c r="N26" s="1450"/>
      <c r="O26" s="1451"/>
      <c r="P26" s="1451"/>
      <c r="Q26" s="1451"/>
      <c r="R26" s="1451"/>
      <c r="S26" s="1451"/>
      <c r="T26" s="1451"/>
      <c r="U26" s="1451"/>
      <c r="V26" s="1451"/>
      <c r="W26" s="1451"/>
      <c r="X26" s="1451"/>
      <c r="Y26" s="1452"/>
      <c r="Z26" s="1450"/>
      <c r="AA26" s="1451"/>
      <c r="AB26" s="1451"/>
      <c r="AC26" s="1451"/>
      <c r="AD26" s="1451"/>
      <c r="AE26" s="1451"/>
      <c r="AF26" s="1451"/>
      <c r="AG26" s="1451"/>
      <c r="AH26" s="1451"/>
      <c r="AI26" s="1451"/>
      <c r="AJ26" s="1451"/>
      <c r="AK26" s="1452"/>
      <c r="AL26" s="1450"/>
      <c r="AM26" s="1451"/>
      <c r="AN26" s="1451"/>
      <c r="AO26" s="1451"/>
      <c r="AP26" s="1451"/>
      <c r="AQ26" s="1451"/>
      <c r="AR26" s="1451"/>
      <c r="AS26" s="1451"/>
      <c r="AT26" s="1451"/>
      <c r="AU26" s="1451"/>
      <c r="AV26" s="1451"/>
      <c r="AW26" s="1452"/>
      <c r="AX26" s="1450"/>
      <c r="AY26" s="1451"/>
      <c r="AZ26" s="1451"/>
      <c r="BA26" s="1451"/>
      <c r="BB26" s="1451"/>
      <c r="BC26" s="1451"/>
      <c r="BD26" s="1451"/>
      <c r="BE26" s="1451"/>
      <c r="BF26" s="1451"/>
      <c r="BG26" s="1451"/>
      <c r="BH26" s="1451"/>
      <c r="BI26" s="1452"/>
      <c r="BJ26" s="1450"/>
      <c r="BK26" s="1451"/>
      <c r="BL26" s="1451"/>
      <c r="BM26" s="1451"/>
      <c r="BN26" s="1451"/>
      <c r="BO26" s="1451"/>
      <c r="BP26" s="1451"/>
      <c r="BQ26" s="1451"/>
      <c r="BR26" s="1451"/>
      <c r="BS26" s="1451"/>
      <c r="BT26" s="1451"/>
      <c r="BU26" s="1452"/>
      <c r="BV26" s="1450"/>
      <c r="BW26" s="1451"/>
      <c r="BX26" s="1451"/>
      <c r="BY26" s="1451"/>
      <c r="BZ26" s="1451"/>
      <c r="CA26" s="1451"/>
      <c r="CB26" s="1451"/>
      <c r="CC26" s="1451"/>
      <c r="CD26" s="1451"/>
      <c r="CE26" s="1451"/>
      <c r="CF26" s="1451"/>
      <c r="CG26" s="1452"/>
      <c r="CH26" s="1450"/>
      <c r="CI26" s="1451"/>
      <c r="CJ26" s="1451"/>
      <c r="CK26" s="1451"/>
      <c r="CL26" s="1451"/>
      <c r="CM26" s="1451"/>
      <c r="CN26" s="1451"/>
      <c r="CO26" s="1451"/>
      <c r="CP26" s="1451"/>
      <c r="CQ26" s="1451"/>
      <c r="CR26" s="1451"/>
      <c r="CS26" s="1452"/>
      <c r="CT26" s="1450"/>
      <c r="CU26" s="1451"/>
      <c r="CV26" s="1451"/>
      <c r="CW26" s="1451"/>
      <c r="CX26" s="1451"/>
      <c r="CY26" s="1451"/>
      <c r="CZ26" s="1451"/>
      <c r="DA26" s="1451"/>
      <c r="DB26" s="1451"/>
      <c r="DC26" s="1451"/>
      <c r="DD26" s="1451"/>
      <c r="DE26" s="1452"/>
      <c r="DF26" s="1450"/>
      <c r="DG26" s="1451"/>
      <c r="DH26" s="1451"/>
      <c r="DI26" s="1451"/>
      <c r="DJ26" s="1451"/>
      <c r="DK26" s="1451"/>
      <c r="DL26" s="1451"/>
      <c r="DM26" s="1451"/>
      <c r="DN26" s="1451"/>
      <c r="DO26" s="1451"/>
      <c r="DP26" s="1451"/>
      <c r="DQ26" s="1452"/>
      <c r="DR26" s="1448"/>
      <c r="DS26" s="1446"/>
      <c r="DT26" s="1446"/>
      <c r="DU26" s="1446">
        <f t="shared" si="3"/>
        <v>0</v>
      </c>
      <c r="DV26" s="1446">
        <f t="shared" si="3"/>
        <v>0</v>
      </c>
      <c r="DW26" s="1446">
        <f t="shared" si="3"/>
        <v>0</v>
      </c>
      <c r="DX26" s="1446">
        <f t="shared" si="3"/>
        <v>0</v>
      </c>
      <c r="DY26" s="1446">
        <f t="shared" si="3"/>
        <v>0</v>
      </c>
      <c r="DZ26" s="1446">
        <f t="shared" si="3"/>
        <v>0</v>
      </c>
      <c r="EA26" s="1446">
        <f t="shared" si="3"/>
        <v>0</v>
      </c>
      <c r="EB26" s="1446">
        <f t="shared" si="3"/>
        <v>0</v>
      </c>
      <c r="EC26" s="1447">
        <f t="shared" si="3"/>
        <v>0</v>
      </c>
    </row>
    <row r="27" spans="1:133">
      <c r="A27" s="1449" t="s">
        <v>752</v>
      </c>
      <c r="B27" s="1450"/>
      <c r="C27" s="1451"/>
      <c r="D27" s="1451"/>
      <c r="E27" s="1451"/>
      <c r="F27" s="1451"/>
      <c r="G27" s="1451"/>
      <c r="H27" s="1451"/>
      <c r="I27" s="1451"/>
      <c r="J27" s="1451"/>
      <c r="K27" s="1451"/>
      <c r="L27" s="1451"/>
      <c r="M27" s="1452"/>
      <c r="N27" s="1450"/>
      <c r="O27" s="1451"/>
      <c r="P27" s="1451"/>
      <c r="Q27" s="1451"/>
      <c r="R27" s="1451"/>
      <c r="S27" s="1451"/>
      <c r="T27" s="1451"/>
      <c r="U27" s="1451"/>
      <c r="V27" s="1451"/>
      <c r="W27" s="1451"/>
      <c r="X27" s="1451"/>
      <c r="Y27" s="1452"/>
      <c r="Z27" s="1450"/>
      <c r="AA27" s="1451"/>
      <c r="AB27" s="1451"/>
      <c r="AC27" s="1451"/>
      <c r="AD27" s="1451"/>
      <c r="AE27" s="1451"/>
      <c r="AF27" s="1451"/>
      <c r="AG27" s="1451"/>
      <c r="AH27" s="1451"/>
      <c r="AI27" s="1451"/>
      <c r="AJ27" s="1451"/>
      <c r="AK27" s="1452"/>
      <c r="AL27" s="1450"/>
      <c r="AM27" s="1451"/>
      <c r="AN27" s="1451"/>
      <c r="AO27" s="1451"/>
      <c r="AP27" s="1451"/>
      <c r="AQ27" s="1451"/>
      <c r="AR27" s="1451"/>
      <c r="AS27" s="1451"/>
      <c r="AT27" s="1451"/>
      <c r="AU27" s="1451"/>
      <c r="AV27" s="1451"/>
      <c r="AW27" s="1452"/>
      <c r="AX27" s="1450"/>
      <c r="AY27" s="1451"/>
      <c r="AZ27" s="1451"/>
      <c r="BA27" s="1451"/>
      <c r="BB27" s="1451"/>
      <c r="BC27" s="1451"/>
      <c r="BD27" s="1451"/>
      <c r="BE27" s="1451"/>
      <c r="BF27" s="1451"/>
      <c r="BG27" s="1451"/>
      <c r="BH27" s="1451"/>
      <c r="BI27" s="1452"/>
      <c r="BJ27" s="1450"/>
      <c r="BK27" s="1451"/>
      <c r="BL27" s="1451"/>
      <c r="BM27" s="1451"/>
      <c r="BN27" s="1451"/>
      <c r="BO27" s="1451"/>
      <c r="BP27" s="1451"/>
      <c r="BQ27" s="1451"/>
      <c r="BR27" s="1451"/>
      <c r="BS27" s="1451"/>
      <c r="BT27" s="1451"/>
      <c r="BU27" s="1452"/>
      <c r="BV27" s="1450"/>
      <c r="BW27" s="1451"/>
      <c r="BX27" s="1451"/>
      <c r="BY27" s="1451"/>
      <c r="BZ27" s="1451"/>
      <c r="CA27" s="1451"/>
      <c r="CB27" s="1451"/>
      <c r="CC27" s="1451"/>
      <c r="CD27" s="1451"/>
      <c r="CE27" s="1451"/>
      <c r="CF27" s="1451"/>
      <c r="CG27" s="1452"/>
      <c r="CH27" s="1450"/>
      <c r="CI27" s="1451"/>
      <c r="CJ27" s="1451"/>
      <c r="CK27" s="1451"/>
      <c r="CL27" s="1451"/>
      <c r="CM27" s="1451"/>
      <c r="CN27" s="1451"/>
      <c r="CO27" s="1451"/>
      <c r="CP27" s="1451"/>
      <c r="CQ27" s="1451"/>
      <c r="CR27" s="1451"/>
      <c r="CS27" s="1452"/>
      <c r="CT27" s="1450"/>
      <c r="CU27" s="1451"/>
      <c r="CV27" s="1451"/>
      <c r="CW27" s="1451"/>
      <c r="CX27" s="1451"/>
      <c r="CY27" s="1451"/>
      <c r="CZ27" s="1451"/>
      <c r="DA27" s="1451"/>
      <c r="DB27" s="1451"/>
      <c r="DC27" s="1451"/>
      <c r="DD27" s="1451"/>
      <c r="DE27" s="1452"/>
      <c r="DF27" s="1450"/>
      <c r="DG27" s="1451"/>
      <c r="DH27" s="1451"/>
      <c r="DI27" s="1451"/>
      <c r="DJ27" s="1451"/>
      <c r="DK27" s="1451"/>
      <c r="DL27" s="1451"/>
      <c r="DM27" s="1451"/>
      <c r="DN27" s="1451"/>
      <c r="DO27" s="1451"/>
      <c r="DP27" s="1451"/>
      <c r="DQ27" s="1452"/>
      <c r="DR27" s="1448"/>
      <c r="DS27" s="1446"/>
      <c r="DT27" s="1446"/>
      <c r="DU27" s="1446">
        <f t="shared" si="3"/>
        <v>0</v>
      </c>
      <c r="DV27" s="1446">
        <f t="shared" si="3"/>
        <v>0</v>
      </c>
      <c r="DW27" s="1446">
        <f t="shared" si="3"/>
        <v>0</v>
      </c>
      <c r="DX27" s="1446">
        <f t="shared" si="3"/>
        <v>0</v>
      </c>
      <c r="DY27" s="1446">
        <f t="shared" si="3"/>
        <v>0</v>
      </c>
      <c r="DZ27" s="1446">
        <f t="shared" si="3"/>
        <v>0</v>
      </c>
      <c r="EA27" s="1446">
        <f t="shared" si="3"/>
        <v>0</v>
      </c>
      <c r="EB27" s="1446">
        <f t="shared" si="3"/>
        <v>0</v>
      </c>
      <c r="EC27" s="1447">
        <f t="shared" si="3"/>
        <v>0</v>
      </c>
    </row>
    <row r="28" spans="1:133">
      <c r="A28" s="1449" t="s">
        <v>753</v>
      </c>
      <c r="B28" s="1450"/>
      <c r="C28" s="1451"/>
      <c r="D28" s="1451"/>
      <c r="E28" s="1451"/>
      <c r="F28" s="1451"/>
      <c r="G28" s="1451"/>
      <c r="H28" s="1451"/>
      <c r="I28" s="1451"/>
      <c r="J28" s="1451"/>
      <c r="K28" s="1451"/>
      <c r="L28" s="1451"/>
      <c r="M28" s="1452"/>
      <c r="N28" s="1450"/>
      <c r="O28" s="1451"/>
      <c r="P28" s="1451"/>
      <c r="Q28" s="1451"/>
      <c r="R28" s="1451"/>
      <c r="S28" s="1451"/>
      <c r="T28" s="1451"/>
      <c r="U28" s="1451"/>
      <c r="V28" s="1451"/>
      <c r="W28" s="1451"/>
      <c r="X28" s="1451"/>
      <c r="Y28" s="1452"/>
      <c r="Z28" s="1450"/>
      <c r="AA28" s="1451"/>
      <c r="AB28" s="1451"/>
      <c r="AC28" s="1451"/>
      <c r="AD28" s="1451"/>
      <c r="AE28" s="1451"/>
      <c r="AF28" s="1451"/>
      <c r="AG28" s="1451"/>
      <c r="AH28" s="1451"/>
      <c r="AI28" s="1451"/>
      <c r="AJ28" s="1451"/>
      <c r="AK28" s="1452"/>
      <c r="AL28" s="1450"/>
      <c r="AM28" s="1451"/>
      <c r="AN28" s="1451"/>
      <c r="AO28" s="1451"/>
      <c r="AP28" s="1451"/>
      <c r="AQ28" s="1451"/>
      <c r="AR28" s="1451"/>
      <c r="AS28" s="1451"/>
      <c r="AT28" s="1451"/>
      <c r="AU28" s="1451"/>
      <c r="AV28" s="1451"/>
      <c r="AW28" s="1452"/>
      <c r="AX28" s="1450"/>
      <c r="AY28" s="1451"/>
      <c r="AZ28" s="1451"/>
      <c r="BA28" s="1451"/>
      <c r="BB28" s="1451"/>
      <c r="BC28" s="1451"/>
      <c r="BD28" s="1451"/>
      <c r="BE28" s="1451"/>
      <c r="BF28" s="1451"/>
      <c r="BG28" s="1451"/>
      <c r="BH28" s="1451"/>
      <c r="BI28" s="1452"/>
      <c r="BJ28" s="1450"/>
      <c r="BK28" s="1451"/>
      <c r="BL28" s="1451"/>
      <c r="BM28" s="1451"/>
      <c r="BN28" s="1451"/>
      <c r="BO28" s="1451"/>
      <c r="BP28" s="1451"/>
      <c r="BQ28" s="1451"/>
      <c r="BR28" s="1451"/>
      <c r="BS28" s="1451"/>
      <c r="BT28" s="1451"/>
      <c r="BU28" s="1452"/>
      <c r="BV28" s="1450"/>
      <c r="BW28" s="1451"/>
      <c r="BX28" s="1451"/>
      <c r="BY28" s="1451"/>
      <c r="BZ28" s="1451"/>
      <c r="CA28" s="1451"/>
      <c r="CB28" s="1451"/>
      <c r="CC28" s="1451"/>
      <c r="CD28" s="1451"/>
      <c r="CE28" s="1451"/>
      <c r="CF28" s="1451"/>
      <c r="CG28" s="1452"/>
      <c r="CH28" s="1450"/>
      <c r="CI28" s="1451"/>
      <c r="CJ28" s="1451"/>
      <c r="CK28" s="1451"/>
      <c r="CL28" s="1451"/>
      <c r="CM28" s="1451"/>
      <c r="CN28" s="1451"/>
      <c r="CO28" s="1451"/>
      <c r="CP28" s="1451"/>
      <c r="CQ28" s="1451"/>
      <c r="CR28" s="1451"/>
      <c r="CS28" s="1452"/>
      <c r="CT28" s="1450"/>
      <c r="CU28" s="1451"/>
      <c r="CV28" s="1451"/>
      <c r="CW28" s="1451"/>
      <c r="CX28" s="1451"/>
      <c r="CY28" s="1451"/>
      <c r="CZ28" s="1451"/>
      <c r="DA28" s="1451"/>
      <c r="DB28" s="1451"/>
      <c r="DC28" s="1451"/>
      <c r="DD28" s="1451"/>
      <c r="DE28" s="1452"/>
      <c r="DF28" s="1450"/>
      <c r="DG28" s="1451"/>
      <c r="DH28" s="1451"/>
      <c r="DI28" s="1451"/>
      <c r="DJ28" s="1451"/>
      <c r="DK28" s="1451"/>
      <c r="DL28" s="1451"/>
      <c r="DM28" s="1451"/>
      <c r="DN28" s="1451"/>
      <c r="DO28" s="1451"/>
      <c r="DP28" s="1451"/>
      <c r="DQ28" s="1452"/>
      <c r="DR28" s="1448">
        <f t="shared" si="3"/>
        <v>0</v>
      </c>
      <c r="DS28" s="1446">
        <f t="shared" si="3"/>
        <v>0</v>
      </c>
      <c r="DT28" s="1446">
        <f t="shared" si="3"/>
        <v>0</v>
      </c>
      <c r="DU28" s="1446">
        <f t="shared" si="3"/>
        <v>0</v>
      </c>
      <c r="DV28" s="1446">
        <f t="shared" si="3"/>
        <v>0</v>
      </c>
      <c r="DW28" s="1446">
        <f t="shared" si="3"/>
        <v>0</v>
      </c>
      <c r="DX28" s="1446">
        <f t="shared" si="3"/>
        <v>0</v>
      </c>
      <c r="DY28" s="1446">
        <f t="shared" si="3"/>
        <v>0</v>
      </c>
      <c r="DZ28" s="1446">
        <f t="shared" si="3"/>
        <v>0</v>
      </c>
      <c r="EA28" s="1446">
        <f t="shared" si="3"/>
        <v>0</v>
      </c>
      <c r="EB28" s="1446">
        <f t="shared" si="3"/>
        <v>0</v>
      </c>
      <c r="EC28" s="1447">
        <f t="shared" si="3"/>
        <v>0</v>
      </c>
    </row>
    <row r="29" spans="1:133">
      <c r="A29" s="1449" t="s">
        <v>754</v>
      </c>
      <c r="B29" s="1450"/>
      <c r="C29" s="1451"/>
      <c r="D29" s="1451"/>
      <c r="E29" s="1451"/>
      <c r="F29" s="1451"/>
      <c r="G29" s="1451"/>
      <c r="H29" s="1451"/>
      <c r="I29" s="1451"/>
      <c r="J29" s="1451"/>
      <c r="K29" s="1451"/>
      <c r="L29" s="1451"/>
      <c r="M29" s="1452"/>
      <c r="N29" s="1450"/>
      <c r="O29" s="1451"/>
      <c r="P29" s="1451"/>
      <c r="Q29" s="1451"/>
      <c r="R29" s="1451"/>
      <c r="S29" s="1451"/>
      <c r="T29" s="1451"/>
      <c r="U29" s="1451"/>
      <c r="V29" s="1451"/>
      <c r="W29" s="1451"/>
      <c r="X29" s="1451"/>
      <c r="Y29" s="1452"/>
      <c r="Z29" s="1450"/>
      <c r="AA29" s="1451"/>
      <c r="AB29" s="1451"/>
      <c r="AC29" s="1451"/>
      <c r="AD29" s="1451"/>
      <c r="AE29" s="1451"/>
      <c r="AF29" s="1451"/>
      <c r="AG29" s="1451"/>
      <c r="AH29" s="1451"/>
      <c r="AI29" s="1451"/>
      <c r="AJ29" s="1451"/>
      <c r="AK29" s="1452"/>
      <c r="AL29" s="1450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2"/>
      <c r="AX29" s="1450"/>
      <c r="AY29" s="1451"/>
      <c r="AZ29" s="1451"/>
      <c r="BA29" s="1451"/>
      <c r="BB29" s="1451"/>
      <c r="BC29" s="1451"/>
      <c r="BD29" s="1451"/>
      <c r="BE29" s="1451"/>
      <c r="BF29" s="1451"/>
      <c r="BG29" s="1451"/>
      <c r="BH29" s="1451"/>
      <c r="BI29" s="1452"/>
      <c r="BJ29" s="1450"/>
      <c r="BK29" s="1451"/>
      <c r="BL29" s="1451"/>
      <c r="BM29" s="1451"/>
      <c r="BN29" s="1451"/>
      <c r="BO29" s="1451"/>
      <c r="BP29" s="1451"/>
      <c r="BQ29" s="1451"/>
      <c r="BR29" s="1451"/>
      <c r="BS29" s="1451"/>
      <c r="BT29" s="1451"/>
      <c r="BU29" s="1452"/>
      <c r="BV29" s="1450"/>
      <c r="BW29" s="1451"/>
      <c r="BX29" s="1451"/>
      <c r="BY29" s="1451"/>
      <c r="BZ29" s="1451"/>
      <c r="CA29" s="1451"/>
      <c r="CB29" s="1451"/>
      <c r="CC29" s="1451"/>
      <c r="CD29" s="1451"/>
      <c r="CE29" s="1451"/>
      <c r="CF29" s="1451"/>
      <c r="CG29" s="1452"/>
      <c r="CH29" s="1450"/>
      <c r="CI29" s="1451"/>
      <c r="CJ29" s="1451"/>
      <c r="CK29" s="1451"/>
      <c r="CL29" s="1451"/>
      <c r="CM29" s="1451"/>
      <c r="CN29" s="1451"/>
      <c r="CO29" s="1451"/>
      <c r="CP29" s="1451"/>
      <c r="CQ29" s="1451"/>
      <c r="CR29" s="1451"/>
      <c r="CS29" s="1452"/>
      <c r="CT29" s="1450"/>
      <c r="CU29" s="1451"/>
      <c r="CV29" s="1451"/>
      <c r="CW29" s="1451"/>
      <c r="CX29" s="1451"/>
      <c r="CY29" s="1451"/>
      <c r="CZ29" s="1451"/>
      <c r="DA29" s="1451"/>
      <c r="DB29" s="1451"/>
      <c r="DC29" s="1451"/>
      <c r="DD29" s="1451"/>
      <c r="DE29" s="1452"/>
      <c r="DF29" s="1450"/>
      <c r="DG29" s="1451"/>
      <c r="DH29" s="1451"/>
      <c r="DI29" s="1451"/>
      <c r="DJ29" s="1451"/>
      <c r="DK29" s="1451"/>
      <c r="DL29" s="1451"/>
      <c r="DM29" s="1451"/>
      <c r="DN29" s="1451"/>
      <c r="DO29" s="1451"/>
      <c r="DP29" s="1451"/>
      <c r="DQ29" s="1452"/>
      <c r="DR29" s="1448">
        <f t="shared" si="3"/>
        <v>0</v>
      </c>
      <c r="DS29" s="1446">
        <f t="shared" si="3"/>
        <v>0</v>
      </c>
      <c r="DT29" s="1446">
        <f t="shared" si="3"/>
        <v>0</v>
      </c>
      <c r="DU29" s="1446">
        <f t="shared" si="3"/>
        <v>0</v>
      </c>
      <c r="DV29" s="1446">
        <f t="shared" si="3"/>
        <v>0</v>
      </c>
      <c r="DW29" s="1446">
        <f t="shared" si="3"/>
        <v>0</v>
      </c>
      <c r="DX29" s="1446">
        <f t="shared" si="3"/>
        <v>0</v>
      </c>
      <c r="DY29" s="1446">
        <f t="shared" si="3"/>
        <v>0</v>
      </c>
      <c r="DZ29" s="1446">
        <f t="shared" si="3"/>
        <v>0</v>
      </c>
      <c r="EA29" s="1446">
        <f t="shared" si="3"/>
        <v>0</v>
      </c>
      <c r="EB29" s="1446">
        <f t="shared" si="3"/>
        <v>0</v>
      </c>
      <c r="EC29" s="1447">
        <f t="shared" si="3"/>
        <v>0</v>
      </c>
    </row>
    <row r="30" spans="1:133">
      <c r="A30" s="1437" t="s">
        <v>757</v>
      </c>
      <c r="B30" s="1438"/>
      <c r="C30" s="1439"/>
      <c r="D30" s="1439"/>
      <c r="E30" s="1439"/>
      <c r="F30" s="1439"/>
      <c r="G30" s="1439"/>
      <c r="H30" s="1439"/>
      <c r="I30" s="1439"/>
      <c r="J30" s="1439"/>
      <c r="K30" s="1439"/>
      <c r="L30" s="1439"/>
      <c r="M30" s="1439"/>
      <c r="N30" s="1439"/>
      <c r="O30" s="1439"/>
      <c r="P30" s="1439"/>
      <c r="Q30" s="1439"/>
      <c r="R30" s="1439"/>
      <c r="S30" s="1439"/>
      <c r="T30" s="1439"/>
      <c r="U30" s="1439"/>
      <c r="V30" s="1439"/>
      <c r="W30" s="1439"/>
      <c r="X30" s="1439"/>
      <c r="Y30" s="1439"/>
      <c r="Z30" s="1439"/>
      <c r="AA30" s="1439"/>
      <c r="AB30" s="1439"/>
      <c r="AC30" s="1439"/>
      <c r="AD30" s="1439"/>
      <c r="AE30" s="1439"/>
      <c r="AF30" s="1439"/>
      <c r="AG30" s="1439"/>
      <c r="AH30" s="1439"/>
      <c r="AI30" s="1439"/>
      <c r="AJ30" s="1439"/>
      <c r="AK30" s="1439"/>
      <c r="AL30" s="1439"/>
      <c r="AM30" s="1439"/>
      <c r="AN30" s="1439"/>
      <c r="AO30" s="1439"/>
      <c r="AP30" s="1439"/>
      <c r="AQ30" s="1439"/>
      <c r="AR30" s="1439"/>
      <c r="AS30" s="1439"/>
      <c r="AT30" s="1439"/>
      <c r="AU30" s="1439"/>
      <c r="AV30" s="1439"/>
      <c r="AW30" s="1439"/>
      <c r="AX30" s="1439"/>
      <c r="AY30" s="1439"/>
      <c r="AZ30" s="1439"/>
      <c r="BA30" s="1439"/>
      <c r="BB30" s="1439"/>
      <c r="BC30" s="1439"/>
      <c r="BD30" s="1439"/>
      <c r="BE30" s="1439"/>
      <c r="BF30" s="1439"/>
      <c r="BG30" s="1439"/>
      <c r="BH30" s="1439"/>
      <c r="BI30" s="1439"/>
      <c r="BJ30" s="1439"/>
      <c r="BK30" s="1439"/>
      <c r="BL30" s="1439"/>
      <c r="BM30" s="1439"/>
      <c r="BN30" s="1439"/>
      <c r="BO30" s="1439"/>
      <c r="BP30" s="1439"/>
      <c r="BQ30" s="1439"/>
      <c r="BR30" s="1439"/>
      <c r="BS30" s="1439"/>
      <c r="BT30" s="1439"/>
      <c r="BU30" s="1439"/>
      <c r="BV30" s="1439"/>
      <c r="BW30" s="1439"/>
      <c r="BX30" s="1439"/>
      <c r="BY30" s="1439"/>
      <c r="BZ30" s="1439"/>
      <c r="CA30" s="1439"/>
      <c r="CB30" s="1439"/>
      <c r="CC30" s="1439"/>
      <c r="CD30" s="1439"/>
      <c r="CE30" s="1439"/>
      <c r="CF30" s="1439"/>
      <c r="CG30" s="1439"/>
      <c r="CH30" s="1439"/>
      <c r="CI30" s="1439"/>
      <c r="CJ30" s="1439"/>
      <c r="CK30" s="1439"/>
      <c r="CL30" s="1439"/>
      <c r="CM30" s="1439"/>
      <c r="CN30" s="1439"/>
      <c r="CO30" s="1439"/>
      <c r="CP30" s="1439"/>
      <c r="CQ30" s="1439"/>
      <c r="CR30" s="1439"/>
      <c r="CS30" s="1439"/>
      <c r="CT30" s="1439"/>
      <c r="CU30" s="1439"/>
      <c r="CV30" s="1439"/>
      <c r="CW30" s="1439"/>
      <c r="CX30" s="1439"/>
      <c r="CY30" s="1439"/>
      <c r="CZ30" s="1439"/>
      <c r="DA30" s="1439"/>
      <c r="DB30" s="1439"/>
      <c r="DC30" s="1439"/>
      <c r="DD30" s="1439"/>
      <c r="DE30" s="1439"/>
      <c r="DF30" s="1439"/>
      <c r="DG30" s="1439"/>
      <c r="DH30" s="1439"/>
      <c r="DI30" s="1439"/>
      <c r="DJ30" s="1439"/>
      <c r="DK30" s="1439"/>
      <c r="DL30" s="1439"/>
      <c r="DM30" s="1439"/>
      <c r="DN30" s="1439"/>
      <c r="DO30" s="1439"/>
      <c r="DP30" s="1439"/>
      <c r="DQ30" s="1439"/>
      <c r="DR30" s="1439"/>
      <c r="DS30" s="1439"/>
      <c r="DT30" s="1439"/>
      <c r="DU30" s="1439"/>
      <c r="DV30" s="1439"/>
      <c r="DW30" s="1439"/>
      <c r="DX30" s="1439"/>
      <c r="DY30" s="1439"/>
      <c r="DZ30" s="1439"/>
      <c r="EA30" s="1439"/>
      <c r="EB30" s="1439"/>
      <c r="EC30" s="1440"/>
    </row>
    <row r="31" spans="1:133">
      <c r="A31" s="1449" t="s">
        <v>749</v>
      </c>
      <c r="B31" s="1442"/>
      <c r="C31" s="1443"/>
      <c r="D31" s="1443"/>
      <c r="E31" s="1443"/>
      <c r="F31" s="1443"/>
      <c r="G31" s="1443"/>
      <c r="H31" s="1443"/>
      <c r="I31" s="1443"/>
      <c r="J31" s="1443"/>
      <c r="K31" s="1443"/>
      <c r="L31" s="1443"/>
      <c r="M31" s="1444"/>
      <c r="N31" s="1442"/>
      <c r="O31" s="1443"/>
      <c r="P31" s="1443"/>
      <c r="Q31" s="1443"/>
      <c r="R31" s="1443"/>
      <c r="S31" s="1443"/>
      <c r="T31" s="1443"/>
      <c r="U31" s="1443"/>
      <c r="V31" s="1443"/>
      <c r="W31" s="1443"/>
      <c r="X31" s="1443"/>
      <c r="Y31" s="1444"/>
      <c r="Z31" s="1442"/>
      <c r="AA31" s="1443"/>
      <c r="AB31" s="1443"/>
      <c r="AC31" s="1443"/>
      <c r="AD31" s="1443"/>
      <c r="AE31" s="1443"/>
      <c r="AF31" s="1443"/>
      <c r="AG31" s="1443"/>
      <c r="AH31" s="1443"/>
      <c r="AI31" s="1443"/>
      <c r="AJ31" s="1443"/>
      <c r="AK31" s="1444"/>
      <c r="AL31" s="1442"/>
      <c r="AM31" s="1443"/>
      <c r="AN31" s="1443"/>
      <c r="AO31" s="1443"/>
      <c r="AP31" s="1443"/>
      <c r="AQ31" s="1443"/>
      <c r="AR31" s="1443"/>
      <c r="AS31" s="1443"/>
      <c r="AT31" s="1443"/>
      <c r="AU31" s="1443"/>
      <c r="AV31" s="1443"/>
      <c r="AW31" s="1444"/>
      <c r="AX31" s="1442"/>
      <c r="AY31" s="1443"/>
      <c r="AZ31" s="1443"/>
      <c r="BA31" s="1443"/>
      <c r="BB31" s="1443"/>
      <c r="BC31" s="1443"/>
      <c r="BD31" s="1443"/>
      <c r="BE31" s="1443"/>
      <c r="BF31" s="1443"/>
      <c r="BG31" s="1443"/>
      <c r="BH31" s="1443"/>
      <c r="BI31" s="1444"/>
      <c r="BJ31" s="1442"/>
      <c r="BK31" s="1443"/>
      <c r="BL31" s="1443"/>
      <c r="BM31" s="1443"/>
      <c r="BN31" s="1443"/>
      <c r="BO31" s="1443"/>
      <c r="BP31" s="1443"/>
      <c r="BQ31" s="1443"/>
      <c r="BR31" s="1443"/>
      <c r="BS31" s="1443"/>
      <c r="BT31" s="1443"/>
      <c r="BU31" s="1444"/>
      <c r="BV31" s="1442"/>
      <c r="BW31" s="1443"/>
      <c r="BX31" s="1443"/>
      <c r="BY31" s="1443"/>
      <c r="BZ31" s="1443"/>
      <c r="CA31" s="1443"/>
      <c r="CB31" s="1443"/>
      <c r="CC31" s="1443"/>
      <c r="CD31" s="1443"/>
      <c r="CE31" s="1443"/>
      <c r="CF31" s="1443"/>
      <c r="CG31" s="1444"/>
      <c r="CH31" s="1442"/>
      <c r="CI31" s="1443"/>
      <c r="CJ31" s="1443"/>
      <c r="CK31" s="1443"/>
      <c r="CL31" s="1443"/>
      <c r="CM31" s="1443"/>
      <c r="CN31" s="1443"/>
      <c r="CO31" s="1443"/>
      <c r="CP31" s="1443"/>
      <c r="CQ31" s="1443"/>
      <c r="CR31" s="1443"/>
      <c r="CS31" s="1444"/>
      <c r="CT31" s="1442"/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4"/>
      <c r="DF31" s="1442"/>
      <c r="DG31" s="1443"/>
      <c r="DH31" s="1443"/>
      <c r="DI31" s="1443"/>
      <c r="DJ31" s="1443"/>
      <c r="DK31" s="1443"/>
      <c r="DL31" s="1443"/>
      <c r="DM31" s="1443"/>
      <c r="DN31" s="1443"/>
      <c r="DO31" s="1443"/>
      <c r="DP31" s="1443"/>
      <c r="DQ31" s="1444"/>
      <c r="DR31" s="1448">
        <f t="shared" ref="DR31:EC36" si="4">SUM(B31,N31,Z31,AL31,AX31,BJ31,BV31,CH31,CT31,DF31)</f>
        <v>0</v>
      </c>
      <c r="DS31" s="1446">
        <f t="shared" si="4"/>
        <v>0</v>
      </c>
      <c r="DT31" s="1446">
        <f t="shared" si="4"/>
        <v>0</v>
      </c>
      <c r="DU31" s="1446">
        <f t="shared" si="4"/>
        <v>0</v>
      </c>
      <c r="DV31" s="1446">
        <f t="shared" si="4"/>
        <v>0</v>
      </c>
      <c r="DW31" s="1446">
        <f t="shared" si="4"/>
        <v>0</v>
      </c>
      <c r="DX31" s="1446">
        <f t="shared" si="4"/>
        <v>0</v>
      </c>
      <c r="DY31" s="1446">
        <f t="shared" si="4"/>
        <v>0</v>
      </c>
      <c r="DZ31" s="1446">
        <f t="shared" si="4"/>
        <v>0</v>
      </c>
      <c r="EA31" s="1446">
        <f t="shared" si="4"/>
        <v>0</v>
      </c>
      <c r="EB31" s="1446">
        <f t="shared" si="4"/>
        <v>0</v>
      </c>
      <c r="EC31" s="1447">
        <f t="shared" si="4"/>
        <v>0</v>
      </c>
    </row>
    <row r="32" spans="1:133">
      <c r="A32" s="1449" t="s">
        <v>750</v>
      </c>
      <c r="B32" s="1450"/>
      <c r="C32" s="1451"/>
      <c r="D32" s="1451"/>
      <c r="E32" s="1451"/>
      <c r="F32" s="1451"/>
      <c r="G32" s="1451"/>
      <c r="H32" s="1451"/>
      <c r="I32" s="1451"/>
      <c r="J32" s="1451"/>
      <c r="K32" s="1451"/>
      <c r="L32" s="1451"/>
      <c r="M32" s="1452"/>
      <c r="N32" s="1450"/>
      <c r="O32" s="1451"/>
      <c r="P32" s="1451"/>
      <c r="Q32" s="1451"/>
      <c r="R32" s="1451"/>
      <c r="S32" s="1451"/>
      <c r="T32" s="1451"/>
      <c r="U32" s="1451"/>
      <c r="V32" s="1451"/>
      <c r="W32" s="1451"/>
      <c r="X32" s="1451"/>
      <c r="Y32" s="1452"/>
      <c r="Z32" s="1450"/>
      <c r="AA32" s="1451"/>
      <c r="AB32" s="1451"/>
      <c r="AC32" s="1451"/>
      <c r="AD32" s="1451"/>
      <c r="AE32" s="1451"/>
      <c r="AF32" s="1451"/>
      <c r="AG32" s="1451"/>
      <c r="AH32" s="1451"/>
      <c r="AI32" s="1451"/>
      <c r="AJ32" s="1451"/>
      <c r="AK32" s="1452"/>
      <c r="AL32" s="1450"/>
      <c r="AM32" s="1451"/>
      <c r="AN32" s="1451"/>
      <c r="AO32" s="1451"/>
      <c r="AP32" s="1451"/>
      <c r="AQ32" s="1451"/>
      <c r="AR32" s="1451"/>
      <c r="AS32" s="1451"/>
      <c r="AT32" s="1451"/>
      <c r="AU32" s="1451"/>
      <c r="AV32" s="1451"/>
      <c r="AW32" s="1452"/>
      <c r="AX32" s="1450"/>
      <c r="AY32" s="1451"/>
      <c r="AZ32" s="1451"/>
      <c r="BA32" s="1451"/>
      <c r="BB32" s="1451"/>
      <c r="BC32" s="1451"/>
      <c r="BD32" s="1451"/>
      <c r="BE32" s="1451"/>
      <c r="BF32" s="1451"/>
      <c r="BG32" s="1451"/>
      <c r="BH32" s="1451"/>
      <c r="BI32" s="1452"/>
      <c r="BJ32" s="1450"/>
      <c r="BK32" s="1451"/>
      <c r="BL32" s="1451"/>
      <c r="BM32" s="1451"/>
      <c r="BN32" s="1451"/>
      <c r="BO32" s="1451"/>
      <c r="BP32" s="1451"/>
      <c r="BQ32" s="1451"/>
      <c r="BR32" s="1451"/>
      <c r="BS32" s="1451"/>
      <c r="BT32" s="1451"/>
      <c r="BU32" s="1452"/>
      <c r="BV32" s="1450"/>
      <c r="BW32" s="1451"/>
      <c r="BX32" s="1451"/>
      <c r="BY32" s="1451"/>
      <c r="BZ32" s="1451"/>
      <c r="CA32" s="1451"/>
      <c r="CB32" s="1451"/>
      <c r="CC32" s="1451"/>
      <c r="CD32" s="1451"/>
      <c r="CE32" s="1451"/>
      <c r="CF32" s="1451"/>
      <c r="CG32" s="1452"/>
      <c r="CH32" s="1450"/>
      <c r="CI32" s="1451"/>
      <c r="CJ32" s="1451"/>
      <c r="CK32" s="1451"/>
      <c r="CL32" s="1451"/>
      <c r="CM32" s="1451"/>
      <c r="CN32" s="1451"/>
      <c r="CO32" s="1451"/>
      <c r="CP32" s="1451"/>
      <c r="CQ32" s="1451"/>
      <c r="CR32" s="1451"/>
      <c r="CS32" s="1452"/>
      <c r="CT32" s="1450"/>
      <c r="CU32" s="1451"/>
      <c r="CV32" s="1451"/>
      <c r="CW32" s="1451"/>
      <c r="CX32" s="1451"/>
      <c r="CY32" s="1451"/>
      <c r="CZ32" s="1451"/>
      <c r="DA32" s="1451"/>
      <c r="DB32" s="1451"/>
      <c r="DC32" s="1451"/>
      <c r="DD32" s="1451"/>
      <c r="DE32" s="1452"/>
      <c r="DF32" s="1450"/>
      <c r="DG32" s="1451"/>
      <c r="DH32" s="1451"/>
      <c r="DI32" s="1451"/>
      <c r="DJ32" s="1451"/>
      <c r="DK32" s="1451"/>
      <c r="DL32" s="1451"/>
      <c r="DM32" s="1451"/>
      <c r="DN32" s="1451"/>
      <c r="DO32" s="1451"/>
      <c r="DP32" s="1451"/>
      <c r="DQ32" s="1452"/>
      <c r="DR32" s="1448">
        <f t="shared" si="4"/>
        <v>0</v>
      </c>
      <c r="DS32" s="1446">
        <f t="shared" si="4"/>
        <v>0</v>
      </c>
      <c r="DT32" s="1446">
        <f t="shared" si="4"/>
        <v>0</v>
      </c>
      <c r="DU32" s="1446">
        <f t="shared" si="4"/>
        <v>0</v>
      </c>
      <c r="DV32" s="1446">
        <f t="shared" si="4"/>
        <v>0</v>
      </c>
      <c r="DW32" s="1446">
        <f t="shared" si="4"/>
        <v>0</v>
      </c>
      <c r="DX32" s="1446">
        <f t="shared" si="4"/>
        <v>0</v>
      </c>
      <c r="DY32" s="1446">
        <f t="shared" si="4"/>
        <v>0</v>
      </c>
      <c r="DZ32" s="1446">
        <f t="shared" si="4"/>
        <v>0</v>
      </c>
      <c r="EA32" s="1446">
        <f t="shared" si="4"/>
        <v>0</v>
      </c>
      <c r="EB32" s="1446">
        <f t="shared" si="4"/>
        <v>0</v>
      </c>
      <c r="EC32" s="1447">
        <f t="shared" si="4"/>
        <v>0</v>
      </c>
    </row>
    <row r="33" spans="1:133">
      <c r="A33" s="1449" t="s">
        <v>751</v>
      </c>
      <c r="B33" s="1450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2"/>
      <c r="N33" s="1450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2"/>
      <c r="Z33" s="1450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2"/>
      <c r="AL33" s="1450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2"/>
      <c r="AX33" s="1450"/>
      <c r="AY33" s="1451"/>
      <c r="AZ33" s="1451"/>
      <c r="BA33" s="1451"/>
      <c r="BB33" s="1451"/>
      <c r="BC33" s="1451"/>
      <c r="BD33" s="1451"/>
      <c r="BE33" s="1451"/>
      <c r="BF33" s="1451"/>
      <c r="BG33" s="1451"/>
      <c r="BH33" s="1451"/>
      <c r="BI33" s="1452"/>
      <c r="BJ33" s="1450"/>
      <c r="BK33" s="1451"/>
      <c r="BL33" s="1451"/>
      <c r="BM33" s="1451"/>
      <c r="BN33" s="1451"/>
      <c r="BO33" s="1451"/>
      <c r="BP33" s="1451"/>
      <c r="BQ33" s="1451"/>
      <c r="BR33" s="1451"/>
      <c r="BS33" s="1451"/>
      <c r="BT33" s="1451"/>
      <c r="BU33" s="1452"/>
      <c r="BV33" s="1450"/>
      <c r="BW33" s="1451"/>
      <c r="BX33" s="1451"/>
      <c r="BY33" s="1451"/>
      <c r="BZ33" s="1451"/>
      <c r="CA33" s="1451"/>
      <c r="CB33" s="1451"/>
      <c r="CC33" s="1451"/>
      <c r="CD33" s="1451"/>
      <c r="CE33" s="1451"/>
      <c r="CF33" s="1451"/>
      <c r="CG33" s="1452"/>
      <c r="CH33" s="1450"/>
      <c r="CI33" s="1451"/>
      <c r="CJ33" s="1451"/>
      <c r="CK33" s="1451"/>
      <c r="CL33" s="1451"/>
      <c r="CM33" s="1451"/>
      <c r="CN33" s="1451"/>
      <c r="CO33" s="1451"/>
      <c r="CP33" s="1451"/>
      <c r="CQ33" s="1451"/>
      <c r="CR33" s="1451"/>
      <c r="CS33" s="1452"/>
      <c r="CT33" s="1450"/>
      <c r="CU33" s="1451"/>
      <c r="CV33" s="1451"/>
      <c r="CW33" s="1451"/>
      <c r="CX33" s="1451"/>
      <c r="CY33" s="1451"/>
      <c r="CZ33" s="1451"/>
      <c r="DA33" s="1451"/>
      <c r="DB33" s="1451"/>
      <c r="DC33" s="1451"/>
      <c r="DD33" s="1451"/>
      <c r="DE33" s="1452"/>
      <c r="DF33" s="1450"/>
      <c r="DG33" s="1451"/>
      <c r="DH33" s="1451"/>
      <c r="DI33" s="1451"/>
      <c r="DJ33" s="1451"/>
      <c r="DK33" s="1451"/>
      <c r="DL33" s="1451"/>
      <c r="DM33" s="1451"/>
      <c r="DN33" s="1451"/>
      <c r="DO33" s="1451"/>
      <c r="DP33" s="1451"/>
      <c r="DQ33" s="1452"/>
      <c r="DR33" s="1448">
        <f t="shared" si="4"/>
        <v>0</v>
      </c>
      <c r="DS33" s="1446">
        <f t="shared" si="4"/>
        <v>0</v>
      </c>
      <c r="DT33" s="1446">
        <f t="shared" si="4"/>
        <v>0</v>
      </c>
      <c r="DU33" s="1446">
        <f t="shared" si="4"/>
        <v>0</v>
      </c>
      <c r="DV33" s="1446">
        <f t="shared" si="4"/>
        <v>0</v>
      </c>
      <c r="DW33" s="1446">
        <f t="shared" si="4"/>
        <v>0</v>
      </c>
      <c r="DX33" s="1446">
        <f t="shared" si="4"/>
        <v>0</v>
      </c>
      <c r="DY33" s="1446">
        <f t="shared" si="4"/>
        <v>0</v>
      </c>
      <c r="DZ33" s="1446">
        <f t="shared" si="4"/>
        <v>0</v>
      </c>
      <c r="EA33" s="1446">
        <f t="shared" si="4"/>
        <v>0</v>
      </c>
      <c r="EB33" s="1446">
        <f t="shared" si="4"/>
        <v>0</v>
      </c>
      <c r="EC33" s="1447">
        <f t="shared" si="4"/>
        <v>0</v>
      </c>
    </row>
    <row r="34" spans="1:133">
      <c r="A34" s="1449" t="s">
        <v>752</v>
      </c>
      <c r="B34" s="1450"/>
      <c r="C34" s="1451"/>
      <c r="D34" s="1451"/>
      <c r="E34" s="1451"/>
      <c r="F34" s="1451"/>
      <c r="G34" s="1451"/>
      <c r="H34" s="1451"/>
      <c r="I34" s="1451"/>
      <c r="J34" s="1451"/>
      <c r="K34" s="1451"/>
      <c r="L34" s="1451"/>
      <c r="M34" s="1452"/>
      <c r="N34" s="1450"/>
      <c r="O34" s="1451"/>
      <c r="P34" s="1451"/>
      <c r="Q34" s="1451"/>
      <c r="R34" s="1451"/>
      <c r="S34" s="1451"/>
      <c r="T34" s="1451"/>
      <c r="U34" s="1451"/>
      <c r="V34" s="1451"/>
      <c r="W34" s="1451"/>
      <c r="X34" s="1451"/>
      <c r="Y34" s="1452"/>
      <c r="Z34" s="1450"/>
      <c r="AA34" s="1451"/>
      <c r="AB34" s="1451"/>
      <c r="AC34" s="1451"/>
      <c r="AD34" s="1451"/>
      <c r="AE34" s="1451"/>
      <c r="AF34" s="1451"/>
      <c r="AG34" s="1451"/>
      <c r="AH34" s="1451"/>
      <c r="AI34" s="1451"/>
      <c r="AJ34" s="1451"/>
      <c r="AK34" s="1452"/>
      <c r="AL34" s="1450"/>
      <c r="AM34" s="1451"/>
      <c r="AN34" s="1451"/>
      <c r="AO34" s="1451"/>
      <c r="AP34" s="1451"/>
      <c r="AQ34" s="1451"/>
      <c r="AR34" s="1451"/>
      <c r="AS34" s="1451"/>
      <c r="AT34" s="1451"/>
      <c r="AU34" s="1451"/>
      <c r="AV34" s="1451"/>
      <c r="AW34" s="1452"/>
      <c r="AX34" s="1450"/>
      <c r="AY34" s="1451"/>
      <c r="AZ34" s="1451"/>
      <c r="BA34" s="1451"/>
      <c r="BB34" s="1451"/>
      <c r="BC34" s="1451"/>
      <c r="BD34" s="1451"/>
      <c r="BE34" s="1451"/>
      <c r="BF34" s="1451"/>
      <c r="BG34" s="1451"/>
      <c r="BH34" s="1451"/>
      <c r="BI34" s="1452"/>
      <c r="BJ34" s="1450"/>
      <c r="BK34" s="1451"/>
      <c r="BL34" s="1451"/>
      <c r="BM34" s="1451"/>
      <c r="BN34" s="1451"/>
      <c r="BO34" s="1451"/>
      <c r="BP34" s="1451"/>
      <c r="BQ34" s="1451"/>
      <c r="BR34" s="1451"/>
      <c r="BS34" s="1451"/>
      <c r="BT34" s="1451"/>
      <c r="BU34" s="1452"/>
      <c r="BV34" s="1450"/>
      <c r="BW34" s="1451"/>
      <c r="BX34" s="1451"/>
      <c r="BY34" s="1451"/>
      <c r="BZ34" s="1451"/>
      <c r="CA34" s="1451"/>
      <c r="CB34" s="1451"/>
      <c r="CC34" s="1451"/>
      <c r="CD34" s="1451"/>
      <c r="CE34" s="1451"/>
      <c r="CF34" s="1451"/>
      <c r="CG34" s="1452"/>
      <c r="CH34" s="1450"/>
      <c r="CI34" s="1451"/>
      <c r="CJ34" s="1451"/>
      <c r="CK34" s="1451"/>
      <c r="CL34" s="1451"/>
      <c r="CM34" s="1451"/>
      <c r="CN34" s="1451"/>
      <c r="CO34" s="1451"/>
      <c r="CP34" s="1451"/>
      <c r="CQ34" s="1451"/>
      <c r="CR34" s="1451"/>
      <c r="CS34" s="1452"/>
      <c r="CT34" s="1450"/>
      <c r="CU34" s="1451"/>
      <c r="CV34" s="1451"/>
      <c r="CW34" s="1451"/>
      <c r="CX34" s="1451"/>
      <c r="CY34" s="1451"/>
      <c r="CZ34" s="1451"/>
      <c r="DA34" s="1451"/>
      <c r="DB34" s="1451"/>
      <c r="DC34" s="1451"/>
      <c r="DD34" s="1451"/>
      <c r="DE34" s="1452"/>
      <c r="DF34" s="1450"/>
      <c r="DG34" s="1451"/>
      <c r="DH34" s="1451"/>
      <c r="DI34" s="1451"/>
      <c r="DJ34" s="1451"/>
      <c r="DK34" s="1451"/>
      <c r="DL34" s="1451"/>
      <c r="DM34" s="1451"/>
      <c r="DN34" s="1451"/>
      <c r="DO34" s="1451"/>
      <c r="DP34" s="1451"/>
      <c r="DQ34" s="1452"/>
      <c r="DR34" s="1448">
        <f t="shared" si="4"/>
        <v>0</v>
      </c>
      <c r="DS34" s="1446">
        <f t="shared" si="4"/>
        <v>0</v>
      </c>
      <c r="DT34" s="1446">
        <f t="shared" si="4"/>
        <v>0</v>
      </c>
      <c r="DU34" s="1446">
        <f t="shared" si="4"/>
        <v>0</v>
      </c>
      <c r="DV34" s="1446">
        <f t="shared" si="4"/>
        <v>0</v>
      </c>
      <c r="DW34" s="1446">
        <f t="shared" si="4"/>
        <v>0</v>
      </c>
      <c r="DX34" s="1446">
        <f t="shared" si="4"/>
        <v>0</v>
      </c>
      <c r="DY34" s="1446">
        <f t="shared" si="4"/>
        <v>0</v>
      </c>
      <c r="DZ34" s="1446">
        <f t="shared" si="4"/>
        <v>0</v>
      </c>
      <c r="EA34" s="1446">
        <f t="shared" si="4"/>
        <v>0</v>
      </c>
      <c r="EB34" s="1446">
        <f t="shared" si="4"/>
        <v>0</v>
      </c>
      <c r="EC34" s="1447">
        <f t="shared" si="4"/>
        <v>0</v>
      </c>
    </row>
    <row r="35" spans="1:133">
      <c r="A35" s="1449" t="s">
        <v>753</v>
      </c>
      <c r="B35" s="1450"/>
      <c r="C35" s="1451"/>
      <c r="D35" s="1451"/>
      <c r="E35" s="1451"/>
      <c r="F35" s="1451"/>
      <c r="G35" s="1451"/>
      <c r="H35" s="1451"/>
      <c r="I35" s="1451"/>
      <c r="J35" s="1451"/>
      <c r="K35" s="1451"/>
      <c r="L35" s="1451"/>
      <c r="M35" s="1452"/>
      <c r="N35" s="1450"/>
      <c r="O35" s="1451"/>
      <c r="P35" s="1451"/>
      <c r="Q35" s="1451"/>
      <c r="R35" s="1451"/>
      <c r="S35" s="1451"/>
      <c r="T35" s="1451"/>
      <c r="U35" s="1451"/>
      <c r="V35" s="1451"/>
      <c r="W35" s="1451"/>
      <c r="X35" s="1451"/>
      <c r="Y35" s="1452"/>
      <c r="Z35" s="1450"/>
      <c r="AA35" s="1451"/>
      <c r="AB35" s="1451"/>
      <c r="AC35" s="1451"/>
      <c r="AD35" s="1451"/>
      <c r="AE35" s="1451"/>
      <c r="AF35" s="1451"/>
      <c r="AG35" s="1451"/>
      <c r="AH35" s="1451"/>
      <c r="AI35" s="1451"/>
      <c r="AJ35" s="1451"/>
      <c r="AK35" s="1452"/>
      <c r="AL35" s="1450"/>
      <c r="AM35" s="1451"/>
      <c r="AN35" s="1451"/>
      <c r="AO35" s="1451"/>
      <c r="AP35" s="1451"/>
      <c r="AQ35" s="1451"/>
      <c r="AR35" s="1451"/>
      <c r="AS35" s="1451"/>
      <c r="AT35" s="1451"/>
      <c r="AU35" s="1451"/>
      <c r="AV35" s="1451"/>
      <c r="AW35" s="1452"/>
      <c r="AX35" s="1450"/>
      <c r="AY35" s="1451"/>
      <c r="AZ35" s="1451"/>
      <c r="BA35" s="1451"/>
      <c r="BB35" s="1451"/>
      <c r="BC35" s="1451"/>
      <c r="BD35" s="1451"/>
      <c r="BE35" s="1451"/>
      <c r="BF35" s="1451"/>
      <c r="BG35" s="1451"/>
      <c r="BH35" s="1451"/>
      <c r="BI35" s="1452"/>
      <c r="BJ35" s="1450"/>
      <c r="BK35" s="1451"/>
      <c r="BL35" s="1451"/>
      <c r="BM35" s="1451"/>
      <c r="BN35" s="1451"/>
      <c r="BO35" s="1451"/>
      <c r="BP35" s="1451"/>
      <c r="BQ35" s="1451"/>
      <c r="BR35" s="1451"/>
      <c r="BS35" s="1451"/>
      <c r="BT35" s="1451"/>
      <c r="BU35" s="1452"/>
      <c r="BV35" s="1450"/>
      <c r="BW35" s="1451"/>
      <c r="BX35" s="1451"/>
      <c r="BY35" s="1451"/>
      <c r="BZ35" s="1451"/>
      <c r="CA35" s="1451"/>
      <c r="CB35" s="1451"/>
      <c r="CC35" s="1451"/>
      <c r="CD35" s="1451"/>
      <c r="CE35" s="1451"/>
      <c r="CF35" s="1451"/>
      <c r="CG35" s="1452"/>
      <c r="CH35" s="1450"/>
      <c r="CI35" s="1451"/>
      <c r="CJ35" s="1451"/>
      <c r="CK35" s="1451"/>
      <c r="CL35" s="1451"/>
      <c r="CM35" s="1451"/>
      <c r="CN35" s="1451"/>
      <c r="CO35" s="1451"/>
      <c r="CP35" s="1451"/>
      <c r="CQ35" s="1451"/>
      <c r="CR35" s="1451"/>
      <c r="CS35" s="1452"/>
      <c r="CT35" s="1450"/>
      <c r="CU35" s="1451"/>
      <c r="CV35" s="1451"/>
      <c r="CW35" s="1451"/>
      <c r="CX35" s="1451"/>
      <c r="CY35" s="1451"/>
      <c r="CZ35" s="1451"/>
      <c r="DA35" s="1451"/>
      <c r="DB35" s="1451"/>
      <c r="DC35" s="1451"/>
      <c r="DD35" s="1451"/>
      <c r="DE35" s="1452"/>
      <c r="DF35" s="1450"/>
      <c r="DG35" s="1451"/>
      <c r="DH35" s="1451"/>
      <c r="DI35" s="1451"/>
      <c r="DJ35" s="1451"/>
      <c r="DK35" s="1451"/>
      <c r="DL35" s="1451"/>
      <c r="DM35" s="1451"/>
      <c r="DN35" s="1451"/>
      <c r="DO35" s="1451"/>
      <c r="DP35" s="1451"/>
      <c r="DQ35" s="1452"/>
      <c r="DR35" s="1448">
        <f t="shared" si="4"/>
        <v>0</v>
      </c>
      <c r="DS35" s="1446">
        <f t="shared" si="4"/>
        <v>0</v>
      </c>
      <c r="DT35" s="1446">
        <f t="shared" si="4"/>
        <v>0</v>
      </c>
      <c r="DU35" s="1446">
        <f t="shared" si="4"/>
        <v>0</v>
      </c>
      <c r="DV35" s="1446">
        <f t="shared" si="4"/>
        <v>0</v>
      </c>
      <c r="DW35" s="1446">
        <f t="shared" si="4"/>
        <v>0</v>
      </c>
      <c r="DX35" s="1446">
        <f t="shared" si="4"/>
        <v>0</v>
      </c>
      <c r="DY35" s="1446">
        <f t="shared" si="4"/>
        <v>0</v>
      </c>
      <c r="DZ35" s="1446">
        <f t="shared" si="4"/>
        <v>0</v>
      </c>
      <c r="EA35" s="1446">
        <f t="shared" si="4"/>
        <v>0</v>
      </c>
      <c r="EB35" s="1446">
        <f t="shared" si="4"/>
        <v>0</v>
      </c>
      <c r="EC35" s="1447">
        <f t="shared" si="4"/>
        <v>0</v>
      </c>
    </row>
    <row r="36" spans="1:133">
      <c r="A36" s="1449" t="s">
        <v>754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2"/>
      <c r="N36" s="1450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2"/>
      <c r="Z36" s="1450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2"/>
      <c r="AL36" s="1450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2"/>
      <c r="AX36" s="1450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2"/>
      <c r="BJ36" s="1450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2"/>
      <c r="BV36" s="1450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2"/>
      <c r="CH36" s="1450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2"/>
      <c r="CT36" s="1450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2"/>
      <c r="DF36" s="1450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2"/>
      <c r="DR36" s="1448">
        <f t="shared" si="4"/>
        <v>0</v>
      </c>
      <c r="DS36" s="1446">
        <f t="shared" si="4"/>
        <v>0</v>
      </c>
      <c r="DT36" s="1446">
        <f t="shared" si="4"/>
        <v>0</v>
      </c>
      <c r="DU36" s="1446">
        <f t="shared" si="4"/>
        <v>0</v>
      </c>
      <c r="DV36" s="1446">
        <f t="shared" si="4"/>
        <v>0</v>
      </c>
      <c r="DW36" s="1446">
        <f t="shared" si="4"/>
        <v>0</v>
      </c>
      <c r="DX36" s="1446">
        <f t="shared" si="4"/>
        <v>0</v>
      </c>
      <c r="DY36" s="1446">
        <f t="shared" si="4"/>
        <v>0</v>
      </c>
      <c r="DZ36" s="1446">
        <f t="shared" si="4"/>
        <v>0</v>
      </c>
      <c r="EA36" s="1446">
        <f t="shared" si="4"/>
        <v>0</v>
      </c>
      <c r="EB36" s="1446">
        <f t="shared" si="4"/>
        <v>0</v>
      </c>
      <c r="EC36" s="1447">
        <f t="shared" si="4"/>
        <v>0</v>
      </c>
    </row>
    <row r="37" spans="1:133">
      <c r="A37" s="1437" t="s">
        <v>758</v>
      </c>
      <c r="B37" s="1438"/>
      <c r="C37" s="1439"/>
      <c r="D37" s="1439"/>
      <c r="E37" s="1439"/>
      <c r="F37" s="1439"/>
      <c r="G37" s="1439"/>
      <c r="H37" s="1439"/>
      <c r="I37" s="1439"/>
      <c r="J37" s="1439"/>
      <c r="K37" s="1439"/>
      <c r="L37" s="1439"/>
      <c r="M37" s="1439"/>
      <c r="N37" s="1439"/>
      <c r="O37" s="1439"/>
      <c r="P37" s="1439"/>
      <c r="Q37" s="1439"/>
      <c r="R37" s="1439"/>
      <c r="S37" s="1439"/>
      <c r="T37" s="1439"/>
      <c r="U37" s="1439"/>
      <c r="V37" s="1439"/>
      <c r="W37" s="1439"/>
      <c r="X37" s="1439"/>
      <c r="Y37" s="1439"/>
      <c r="Z37" s="1439"/>
      <c r="AA37" s="1439"/>
      <c r="AB37" s="1439"/>
      <c r="AC37" s="1439"/>
      <c r="AD37" s="1439"/>
      <c r="AE37" s="1439"/>
      <c r="AF37" s="1439"/>
      <c r="AG37" s="1439"/>
      <c r="AH37" s="1439"/>
      <c r="AI37" s="1439"/>
      <c r="AJ37" s="1439"/>
      <c r="AK37" s="1439"/>
      <c r="AL37" s="1439"/>
      <c r="AM37" s="1439"/>
      <c r="AN37" s="1439"/>
      <c r="AO37" s="1439"/>
      <c r="AP37" s="1439"/>
      <c r="AQ37" s="1439"/>
      <c r="AR37" s="1439"/>
      <c r="AS37" s="1439"/>
      <c r="AT37" s="1439"/>
      <c r="AU37" s="1439"/>
      <c r="AV37" s="1439"/>
      <c r="AW37" s="1439"/>
      <c r="AX37" s="1439"/>
      <c r="AY37" s="1439"/>
      <c r="AZ37" s="1439"/>
      <c r="BA37" s="1439"/>
      <c r="BB37" s="1439"/>
      <c r="BC37" s="1439"/>
      <c r="BD37" s="1439"/>
      <c r="BE37" s="1439"/>
      <c r="BF37" s="1439"/>
      <c r="BG37" s="1439"/>
      <c r="BH37" s="1439"/>
      <c r="BI37" s="1439"/>
      <c r="BJ37" s="1439"/>
      <c r="BK37" s="1439"/>
      <c r="BL37" s="1439"/>
      <c r="BM37" s="1439"/>
      <c r="BN37" s="1439"/>
      <c r="BO37" s="1439"/>
      <c r="BP37" s="1439"/>
      <c r="BQ37" s="1439"/>
      <c r="BR37" s="1439"/>
      <c r="BS37" s="1439"/>
      <c r="BT37" s="1439"/>
      <c r="BU37" s="1439"/>
      <c r="BV37" s="1439"/>
      <c r="BW37" s="1439"/>
      <c r="BX37" s="1439"/>
      <c r="BY37" s="1439"/>
      <c r="BZ37" s="1439"/>
      <c r="CA37" s="1439"/>
      <c r="CB37" s="1439"/>
      <c r="CC37" s="1439"/>
      <c r="CD37" s="1439"/>
      <c r="CE37" s="1439"/>
      <c r="CF37" s="1439"/>
      <c r="CG37" s="1439"/>
      <c r="CH37" s="1439"/>
      <c r="CI37" s="1439"/>
      <c r="CJ37" s="1439"/>
      <c r="CK37" s="1439"/>
      <c r="CL37" s="1439"/>
      <c r="CM37" s="1439"/>
      <c r="CN37" s="1439"/>
      <c r="CO37" s="1439"/>
      <c r="CP37" s="1439"/>
      <c r="CQ37" s="1439"/>
      <c r="CR37" s="1439"/>
      <c r="CS37" s="1439"/>
      <c r="CT37" s="1439"/>
      <c r="CU37" s="1439"/>
      <c r="CV37" s="1439"/>
      <c r="CW37" s="1439"/>
      <c r="CX37" s="1439"/>
      <c r="CY37" s="1439"/>
      <c r="CZ37" s="1439"/>
      <c r="DA37" s="1439"/>
      <c r="DB37" s="1439"/>
      <c r="DC37" s="1439"/>
      <c r="DD37" s="1439"/>
      <c r="DE37" s="1439"/>
      <c r="DF37" s="1439"/>
      <c r="DG37" s="1439"/>
      <c r="DH37" s="1439"/>
      <c r="DI37" s="1439"/>
      <c r="DJ37" s="1439"/>
      <c r="DK37" s="1439"/>
      <c r="DL37" s="1439"/>
      <c r="DM37" s="1439"/>
      <c r="DN37" s="1439"/>
      <c r="DO37" s="1439"/>
      <c r="DP37" s="1439"/>
      <c r="DQ37" s="1439"/>
      <c r="DR37" s="1439"/>
      <c r="DS37" s="1439"/>
      <c r="DT37" s="1439"/>
      <c r="DU37" s="1439"/>
      <c r="DV37" s="1439"/>
      <c r="DW37" s="1439"/>
      <c r="DX37" s="1439"/>
      <c r="DY37" s="1439"/>
      <c r="DZ37" s="1439"/>
      <c r="EA37" s="1439"/>
      <c r="EB37" s="1439"/>
      <c r="EC37" s="1440"/>
    </row>
    <row r="38" spans="1:133">
      <c r="A38" s="1449" t="s">
        <v>749</v>
      </c>
      <c r="B38" s="1450"/>
      <c r="C38" s="1451"/>
      <c r="D38" s="1451"/>
      <c r="E38" s="1451"/>
      <c r="F38" s="1451"/>
      <c r="G38" s="1451"/>
      <c r="H38" s="1451"/>
      <c r="I38" s="1451"/>
      <c r="J38" s="1451"/>
      <c r="K38" s="1451"/>
      <c r="L38" s="1451"/>
      <c r="M38" s="1452"/>
      <c r="N38" s="1450"/>
      <c r="O38" s="1451"/>
      <c r="P38" s="1451"/>
      <c r="Q38" s="1451"/>
      <c r="R38" s="1451"/>
      <c r="S38" s="1451"/>
      <c r="T38" s="1451"/>
      <c r="U38" s="1451"/>
      <c r="V38" s="1451"/>
      <c r="W38" s="1451"/>
      <c r="X38" s="1451"/>
      <c r="Y38" s="1452"/>
      <c r="Z38" s="1450"/>
      <c r="AA38" s="1451"/>
      <c r="AB38" s="1451"/>
      <c r="AC38" s="1451"/>
      <c r="AD38" s="1451"/>
      <c r="AE38" s="1451"/>
      <c r="AF38" s="1451"/>
      <c r="AG38" s="1451"/>
      <c r="AH38" s="1451"/>
      <c r="AI38" s="1451"/>
      <c r="AJ38" s="1451"/>
      <c r="AK38" s="1452"/>
      <c r="AL38" s="1450"/>
      <c r="AM38" s="1451"/>
      <c r="AN38" s="1451"/>
      <c r="AO38" s="1451"/>
      <c r="AP38" s="1451"/>
      <c r="AQ38" s="1451"/>
      <c r="AR38" s="1451"/>
      <c r="AS38" s="1451"/>
      <c r="AT38" s="1451"/>
      <c r="AU38" s="1451"/>
      <c r="AV38" s="1451"/>
      <c r="AW38" s="1452"/>
      <c r="AX38" s="1450"/>
      <c r="AY38" s="1451"/>
      <c r="AZ38" s="1451"/>
      <c r="BA38" s="1451"/>
      <c r="BB38" s="1451"/>
      <c r="BC38" s="1451"/>
      <c r="BD38" s="1451"/>
      <c r="BE38" s="1451"/>
      <c r="BF38" s="1451"/>
      <c r="BG38" s="1451"/>
      <c r="BH38" s="1451"/>
      <c r="BI38" s="1452"/>
      <c r="BJ38" s="1450"/>
      <c r="BK38" s="1451"/>
      <c r="BL38" s="1451"/>
      <c r="BM38" s="1451"/>
      <c r="BN38" s="1451"/>
      <c r="BO38" s="1451"/>
      <c r="BP38" s="1451"/>
      <c r="BQ38" s="1451"/>
      <c r="BR38" s="1451"/>
      <c r="BS38" s="1451"/>
      <c r="BT38" s="1451"/>
      <c r="BU38" s="1452"/>
      <c r="BV38" s="1450"/>
      <c r="BW38" s="1451"/>
      <c r="BX38" s="1451"/>
      <c r="BY38" s="1451"/>
      <c r="BZ38" s="1451"/>
      <c r="CA38" s="1451"/>
      <c r="CB38" s="1451"/>
      <c r="CC38" s="1451"/>
      <c r="CD38" s="1451"/>
      <c r="CE38" s="1451"/>
      <c r="CF38" s="1451"/>
      <c r="CG38" s="1452"/>
      <c r="CH38" s="1450"/>
      <c r="CI38" s="1451"/>
      <c r="CJ38" s="1451"/>
      <c r="CK38" s="1451"/>
      <c r="CL38" s="1451"/>
      <c r="CM38" s="1451"/>
      <c r="CN38" s="1451"/>
      <c r="CO38" s="1451"/>
      <c r="CP38" s="1451"/>
      <c r="CQ38" s="1451"/>
      <c r="CR38" s="1451"/>
      <c r="CS38" s="1452"/>
      <c r="CT38" s="1450"/>
      <c r="CU38" s="1451"/>
      <c r="CV38" s="1451"/>
      <c r="CW38" s="1451"/>
      <c r="CX38" s="1451"/>
      <c r="CY38" s="1451"/>
      <c r="CZ38" s="1451"/>
      <c r="DA38" s="1451"/>
      <c r="DB38" s="1451"/>
      <c r="DC38" s="1451"/>
      <c r="DD38" s="1451"/>
      <c r="DE38" s="1452"/>
      <c r="DF38" s="1450"/>
      <c r="DG38" s="1451"/>
      <c r="DH38" s="1451"/>
      <c r="DI38" s="1451"/>
      <c r="DJ38" s="1451"/>
      <c r="DK38" s="1451"/>
      <c r="DL38" s="1451"/>
      <c r="DM38" s="1451"/>
      <c r="DN38" s="1451"/>
      <c r="DO38" s="1451"/>
      <c r="DP38" s="1451"/>
      <c r="DQ38" s="1452"/>
      <c r="DR38" s="1448">
        <f t="shared" ref="DR38:EC42" si="5">SUM(B38,N38,Z38,AL38,AX38,BJ38,BV38,CH38,CT38,DF38)</f>
        <v>0</v>
      </c>
      <c r="DS38" s="1446">
        <f t="shared" si="5"/>
        <v>0</v>
      </c>
      <c r="DT38" s="1446">
        <f t="shared" si="5"/>
        <v>0</v>
      </c>
      <c r="DU38" s="1446">
        <f t="shared" si="5"/>
        <v>0</v>
      </c>
      <c r="DV38" s="1446">
        <f t="shared" si="5"/>
        <v>0</v>
      </c>
      <c r="DW38" s="1446">
        <f t="shared" si="5"/>
        <v>0</v>
      </c>
      <c r="DX38" s="1446">
        <f t="shared" si="5"/>
        <v>0</v>
      </c>
      <c r="DY38" s="1446">
        <f t="shared" si="5"/>
        <v>0</v>
      </c>
      <c r="DZ38" s="1446">
        <f t="shared" si="5"/>
        <v>0</v>
      </c>
      <c r="EA38" s="1446">
        <f t="shared" si="5"/>
        <v>0</v>
      </c>
      <c r="EB38" s="1446">
        <f t="shared" si="5"/>
        <v>0</v>
      </c>
      <c r="EC38" s="1447">
        <f t="shared" si="5"/>
        <v>0</v>
      </c>
    </row>
    <row r="39" spans="1:133">
      <c r="A39" s="1449" t="s">
        <v>750</v>
      </c>
      <c r="B39" s="1442"/>
      <c r="C39" s="1443"/>
      <c r="D39" s="1443"/>
      <c r="E39" s="1443"/>
      <c r="F39" s="1443"/>
      <c r="G39" s="1443"/>
      <c r="H39" s="1443"/>
      <c r="I39" s="1443"/>
      <c r="J39" s="1443"/>
      <c r="K39" s="1443"/>
      <c r="L39" s="1443"/>
      <c r="M39" s="1444"/>
      <c r="N39" s="1442"/>
      <c r="O39" s="1443"/>
      <c r="P39" s="1443"/>
      <c r="Q39" s="1443"/>
      <c r="R39" s="1443"/>
      <c r="S39" s="1443"/>
      <c r="T39" s="1443"/>
      <c r="U39" s="1443"/>
      <c r="V39" s="1443"/>
      <c r="W39" s="1443"/>
      <c r="X39" s="1443"/>
      <c r="Y39" s="1444"/>
      <c r="Z39" s="1442"/>
      <c r="AA39" s="1443"/>
      <c r="AB39" s="1443"/>
      <c r="AC39" s="1443"/>
      <c r="AD39" s="1443"/>
      <c r="AE39" s="1443"/>
      <c r="AF39" s="1443"/>
      <c r="AG39" s="1443"/>
      <c r="AH39" s="1443"/>
      <c r="AI39" s="1443"/>
      <c r="AJ39" s="1443"/>
      <c r="AK39" s="1444"/>
      <c r="AL39" s="1442"/>
      <c r="AM39" s="1443"/>
      <c r="AN39" s="1443"/>
      <c r="AO39" s="1443"/>
      <c r="AP39" s="1443"/>
      <c r="AQ39" s="1443"/>
      <c r="AR39" s="1443"/>
      <c r="AS39" s="1443"/>
      <c r="AT39" s="1443"/>
      <c r="AU39" s="1443"/>
      <c r="AV39" s="1443"/>
      <c r="AW39" s="1444"/>
      <c r="AX39" s="1442"/>
      <c r="AY39" s="1443"/>
      <c r="AZ39" s="1443"/>
      <c r="BA39" s="1443"/>
      <c r="BB39" s="1443"/>
      <c r="BC39" s="1443"/>
      <c r="BD39" s="1443"/>
      <c r="BE39" s="1443"/>
      <c r="BF39" s="1443"/>
      <c r="BG39" s="1443"/>
      <c r="BH39" s="1443"/>
      <c r="BI39" s="1444"/>
      <c r="BJ39" s="1442"/>
      <c r="BK39" s="1443"/>
      <c r="BL39" s="1443"/>
      <c r="BM39" s="1443"/>
      <c r="BN39" s="1443"/>
      <c r="BO39" s="1443"/>
      <c r="BP39" s="1443"/>
      <c r="BQ39" s="1443"/>
      <c r="BR39" s="1443"/>
      <c r="BS39" s="1443"/>
      <c r="BT39" s="1443"/>
      <c r="BU39" s="1444"/>
      <c r="BV39" s="1442"/>
      <c r="BW39" s="1443"/>
      <c r="BX39" s="1443"/>
      <c r="BY39" s="1443"/>
      <c r="BZ39" s="1443"/>
      <c r="CA39" s="1443"/>
      <c r="CB39" s="1443"/>
      <c r="CC39" s="1443"/>
      <c r="CD39" s="1443"/>
      <c r="CE39" s="1443"/>
      <c r="CF39" s="1443"/>
      <c r="CG39" s="1444"/>
      <c r="CH39" s="1442"/>
      <c r="CI39" s="1443"/>
      <c r="CJ39" s="1443"/>
      <c r="CK39" s="1443"/>
      <c r="CL39" s="1443"/>
      <c r="CM39" s="1443"/>
      <c r="CN39" s="1443"/>
      <c r="CO39" s="1443"/>
      <c r="CP39" s="1443"/>
      <c r="CQ39" s="1443"/>
      <c r="CR39" s="1443"/>
      <c r="CS39" s="1444"/>
      <c r="CT39" s="1442"/>
      <c r="CU39" s="1443"/>
      <c r="CV39" s="1443"/>
      <c r="CW39" s="1443"/>
      <c r="CX39" s="1443"/>
      <c r="CY39" s="1443"/>
      <c r="CZ39" s="1443"/>
      <c r="DA39" s="1443"/>
      <c r="DB39" s="1443"/>
      <c r="DC39" s="1443"/>
      <c r="DD39" s="1443"/>
      <c r="DE39" s="1444"/>
      <c r="DF39" s="1442"/>
      <c r="DG39" s="1443"/>
      <c r="DH39" s="1443"/>
      <c r="DI39" s="1443"/>
      <c r="DJ39" s="1443"/>
      <c r="DK39" s="1443"/>
      <c r="DL39" s="1443"/>
      <c r="DM39" s="1443"/>
      <c r="DN39" s="1443"/>
      <c r="DO39" s="1443"/>
      <c r="DP39" s="1443"/>
      <c r="DQ39" s="1444"/>
      <c r="DR39" s="1448">
        <f t="shared" si="5"/>
        <v>0</v>
      </c>
      <c r="DS39" s="1446">
        <f t="shared" si="5"/>
        <v>0</v>
      </c>
      <c r="DT39" s="1446">
        <f t="shared" si="5"/>
        <v>0</v>
      </c>
      <c r="DU39" s="1446">
        <f t="shared" si="5"/>
        <v>0</v>
      </c>
      <c r="DV39" s="1446">
        <f t="shared" si="5"/>
        <v>0</v>
      </c>
      <c r="DW39" s="1446">
        <f t="shared" si="5"/>
        <v>0</v>
      </c>
      <c r="DX39" s="1446">
        <f t="shared" si="5"/>
        <v>0</v>
      </c>
      <c r="DY39" s="1446">
        <f t="shared" si="5"/>
        <v>0</v>
      </c>
      <c r="DZ39" s="1446">
        <f t="shared" si="5"/>
        <v>0</v>
      </c>
      <c r="EA39" s="1446">
        <f t="shared" si="5"/>
        <v>0</v>
      </c>
      <c r="EB39" s="1446">
        <f t="shared" si="5"/>
        <v>0</v>
      </c>
      <c r="EC39" s="1447">
        <f t="shared" si="5"/>
        <v>0</v>
      </c>
    </row>
    <row r="40" spans="1:133">
      <c r="A40" s="1449" t="s">
        <v>751</v>
      </c>
      <c r="B40" s="1442"/>
      <c r="C40" s="1443"/>
      <c r="D40" s="1443"/>
      <c r="E40" s="1443"/>
      <c r="F40" s="1443"/>
      <c r="G40" s="1443"/>
      <c r="H40" s="1443"/>
      <c r="I40" s="1443"/>
      <c r="J40" s="1443"/>
      <c r="K40" s="1443"/>
      <c r="L40" s="1443"/>
      <c r="M40" s="1444"/>
      <c r="N40" s="1442"/>
      <c r="O40" s="1443"/>
      <c r="P40" s="1443"/>
      <c r="Q40" s="1443"/>
      <c r="R40" s="1443"/>
      <c r="S40" s="1443"/>
      <c r="T40" s="1443"/>
      <c r="U40" s="1443"/>
      <c r="V40" s="1443"/>
      <c r="W40" s="1443"/>
      <c r="X40" s="1443"/>
      <c r="Y40" s="1444"/>
      <c r="Z40" s="1442"/>
      <c r="AA40" s="1443"/>
      <c r="AB40" s="1443"/>
      <c r="AC40" s="1443"/>
      <c r="AD40" s="1443"/>
      <c r="AE40" s="1443"/>
      <c r="AF40" s="1443"/>
      <c r="AG40" s="1443"/>
      <c r="AH40" s="1443"/>
      <c r="AI40" s="1443"/>
      <c r="AJ40" s="1443"/>
      <c r="AK40" s="1444"/>
      <c r="AL40" s="1442"/>
      <c r="AM40" s="1443"/>
      <c r="AN40" s="1443"/>
      <c r="AO40" s="1443"/>
      <c r="AP40" s="1443"/>
      <c r="AQ40" s="1443"/>
      <c r="AR40" s="1443"/>
      <c r="AS40" s="1443"/>
      <c r="AT40" s="1443"/>
      <c r="AU40" s="1443"/>
      <c r="AV40" s="1443"/>
      <c r="AW40" s="1444"/>
      <c r="AX40" s="1442"/>
      <c r="AY40" s="1443"/>
      <c r="AZ40" s="1443"/>
      <c r="BA40" s="1443"/>
      <c r="BB40" s="1443"/>
      <c r="BC40" s="1443"/>
      <c r="BD40" s="1443"/>
      <c r="BE40" s="1443"/>
      <c r="BF40" s="1443"/>
      <c r="BG40" s="1443"/>
      <c r="BH40" s="1443"/>
      <c r="BI40" s="1444"/>
      <c r="BJ40" s="1442"/>
      <c r="BK40" s="1443"/>
      <c r="BL40" s="1443"/>
      <c r="BM40" s="1443"/>
      <c r="BN40" s="1443"/>
      <c r="BO40" s="1443"/>
      <c r="BP40" s="1443"/>
      <c r="BQ40" s="1443"/>
      <c r="BR40" s="1443"/>
      <c r="BS40" s="1443"/>
      <c r="BT40" s="1443"/>
      <c r="BU40" s="1444"/>
      <c r="BV40" s="1442"/>
      <c r="BW40" s="1443"/>
      <c r="BX40" s="1443"/>
      <c r="BY40" s="1443"/>
      <c r="BZ40" s="1443"/>
      <c r="CA40" s="1443"/>
      <c r="CB40" s="1443"/>
      <c r="CC40" s="1443"/>
      <c r="CD40" s="1443"/>
      <c r="CE40" s="1443"/>
      <c r="CF40" s="1443"/>
      <c r="CG40" s="1444"/>
      <c r="CH40" s="1442"/>
      <c r="CI40" s="1443"/>
      <c r="CJ40" s="1443"/>
      <c r="CK40" s="1443"/>
      <c r="CL40" s="1443"/>
      <c r="CM40" s="1443"/>
      <c r="CN40" s="1443"/>
      <c r="CO40" s="1443"/>
      <c r="CP40" s="1443"/>
      <c r="CQ40" s="1443"/>
      <c r="CR40" s="1443"/>
      <c r="CS40" s="1444"/>
      <c r="CT40" s="1442"/>
      <c r="CU40" s="1443"/>
      <c r="CV40" s="1443"/>
      <c r="CW40" s="1443"/>
      <c r="CX40" s="1443"/>
      <c r="CY40" s="1443"/>
      <c r="CZ40" s="1443"/>
      <c r="DA40" s="1443"/>
      <c r="DB40" s="1443"/>
      <c r="DC40" s="1443"/>
      <c r="DD40" s="1443"/>
      <c r="DE40" s="1444"/>
      <c r="DF40" s="1442"/>
      <c r="DG40" s="1443"/>
      <c r="DH40" s="1443"/>
      <c r="DI40" s="1443"/>
      <c r="DJ40" s="1443"/>
      <c r="DK40" s="1443"/>
      <c r="DL40" s="1443"/>
      <c r="DM40" s="1443"/>
      <c r="DN40" s="1443"/>
      <c r="DO40" s="1443"/>
      <c r="DP40" s="1443"/>
      <c r="DQ40" s="1444"/>
      <c r="DR40" s="1448">
        <f t="shared" si="5"/>
        <v>0</v>
      </c>
      <c r="DS40" s="1446">
        <f t="shared" si="5"/>
        <v>0</v>
      </c>
      <c r="DT40" s="1446">
        <f t="shared" si="5"/>
        <v>0</v>
      </c>
      <c r="DU40" s="1446">
        <f t="shared" si="5"/>
        <v>0</v>
      </c>
      <c r="DV40" s="1446">
        <f t="shared" si="5"/>
        <v>0</v>
      </c>
      <c r="DW40" s="1446">
        <f t="shared" si="5"/>
        <v>0</v>
      </c>
      <c r="DX40" s="1446">
        <f t="shared" si="5"/>
        <v>0</v>
      </c>
      <c r="DY40" s="1446">
        <f t="shared" si="5"/>
        <v>0</v>
      </c>
      <c r="DZ40" s="1446">
        <f t="shared" si="5"/>
        <v>0</v>
      </c>
      <c r="EA40" s="1446">
        <f t="shared" si="5"/>
        <v>0</v>
      </c>
      <c r="EB40" s="1446">
        <f t="shared" si="5"/>
        <v>0</v>
      </c>
      <c r="EC40" s="1447">
        <f t="shared" si="5"/>
        <v>0</v>
      </c>
    </row>
    <row r="41" spans="1:133">
      <c r="A41" s="1449" t="s">
        <v>753</v>
      </c>
      <c r="B41" s="1442"/>
      <c r="C41" s="1443"/>
      <c r="D41" s="1443"/>
      <c r="E41" s="1443"/>
      <c r="F41" s="1443"/>
      <c r="G41" s="1443"/>
      <c r="H41" s="1443"/>
      <c r="I41" s="1443"/>
      <c r="J41" s="1443"/>
      <c r="K41" s="1443"/>
      <c r="L41" s="1443"/>
      <c r="M41" s="1444"/>
      <c r="N41" s="1442"/>
      <c r="O41" s="1443"/>
      <c r="P41" s="1443"/>
      <c r="Q41" s="1443"/>
      <c r="R41" s="1443"/>
      <c r="S41" s="1443"/>
      <c r="T41" s="1443"/>
      <c r="U41" s="1443"/>
      <c r="V41" s="1443"/>
      <c r="W41" s="1443"/>
      <c r="X41" s="1443"/>
      <c r="Y41" s="1444"/>
      <c r="Z41" s="1442"/>
      <c r="AA41" s="1443"/>
      <c r="AB41" s="1443"/>
      <c r="AC41" s="1443"/>
      <c r="AD41" s="1443"/>
      <c r="AE41" s="1443"/>
      <c r="AF41" s="1443"/>
      <c r="AG41" s="1443"/>
      <c r="AH41" s="1443"/>
      <c r="AI41" s="1443"/>
      <c r="AJ41" s="1443"/>
      <c r="AK41" s="1444"/>
      <c r="AL41" s="1442"/>
      <c r="AM41" s="1443"/>
      <c r="AN41" s="1443"/>
      <c r="AO41" s="1443"/>
      <c r="AP41" s="1443"/>
      <c r="AQ41" s="1443"/>
      <c r="AR41" s="1443"/>
      <c r="AS41" s="1443"/>
      <c r="AT41" s="1443"/>
      <c r="AU41" s="1443"/>
      <c r="AV41" s="1443"/>
      <c r="AW41" s="1444"/>
      <c r="AX41" s="1442"/>
      <c r="AY41" s="1443"/>
      <c r="AZ41" s="1443"/>
      <c r="BA41" s="1443"/>
      <c r="BB41" s="1443"/>
      <c r="BC41" s="1443"/>
      <c r="BD41" s="1443"/>
      <c r="BE41" s="1443"/>
      <c r="BF41" s="1443"/>
      <c r="BG41" s="1443"/>
      <c r="BH41" s="1443"/>
      <c r="BI41" s="1444"/>
      <c r="BJ41" s="1442"/>
      <c r="BK41" s="1443"/>
      <c r="BL41" s="1443"/>
      <c r="BM41" s="1443"/>
      <c r="BN41" s="1443"/>
      <c r="BO41" s="1443"/>
      <c r="BP41" s="1443"/>
      <c r="BQ41" s="1443"/>
      <c r="BR41" s="1443"/>
      <c r="BS41" s="1443"/>
      <c r="BT41" s="1443"/>
      <c r="BU41" s="1444"/>
      <c r="BV41" s="1442"/>
      <c r="BW41" s="1443"/>
      <c r="BX41" s="1443"/>
      <c r="BY41" s="1443"/>
      <c r="BZ41" s="1443"/>
      <c r="CA41" s="1443"/>
      <c r="CB41" s="1443"/>
      <c r="CC41" s="1443"/>
      <c r="CD41" s="1443"/>
      <c r="CE41" s="1443"/>
      <c r="CF41" s="1443"/>
      <c r="CG41" s="1444"/>
      <c r="CH41" s="1442"/>
      <c r="CI41" s="1443"/>
      <c r="CJ41" s="1443"/>
      <c r="CK41" s="1443"/>
      <c r="CL41" s="1443"/>
      <c r="CM41" s="1443"/>
      <c r="CN41" s="1443"/>
      <c r="CO41" s="1443"/>
      <c r="CP41" s="1443"/>
      <c r="CQ41" s="1443"/>
      <c r="CR41" s="1443"/>
      <c r="CS41" s="1444"/>
      <c r="CT41" s="1442"/>
      <c r="CU41" s="1443"/>
      <c r="CV41" s="1443"/>
      <c r="CW41" s="1443"/>
      <c r="CX41" s="1443"/>
      <c r="CY41" s="1443"/>
      <c r="CZ41" s="1443"/>
      <c r="DA41" s="1443"/>
      <c r="DB41" s="1443"/>
      <c r="DC41" s="1443"/>
      <c r="DD41" s="1443"/>
      <c r="DE41" s="1444"/>
      <c r="DF41" s="1442"/>
      <c r="DG41" s="1443"/>
      <c r="DH41" s="1443"/>
      <c r="DI41" s="1443"/>
      <c r="DJ41" s="1443"/>
      <c r="DK41" s="1443"/>
      <c r="DL41" s="1443"/>
      <c r="DM41" s="1443"/>
      <c r="DN41" s="1443"/>
      <c r="DO41" s="1443"/>
      <c r="DP41" s="1443"/>
      <c r="DQ41" s="1444"/>
      <c r="DR41" s="1448">
        <f t="shared" si="5"/>
        <v>0</v>
      </c>
      <c r="DS41" s="1446">
        <f t="shared" si="5"/>
        <v>0</v>
      </c>
      <c r="DT41" s="1446">
        <f t="shared" si="5"/>
        <v>0</v>
      </c>
      <c r="DU41" s="1446">
        <f t="shared" si="5"/>
        <v>0</v>
      </c>
      <c r="DV41" s="1446">
        <f t="shared" si="5"/>
        <v>0</v>
      </c>
      <c r="DW41" s="1446">
        <f t="shared" si="5"/>
        <v>0</v>
      </c>
      <c r="DX41" s="1446">
        <f t="shared" si="5"/>
        <v>0</v>
      </c>
      <c r="DY41" s="1446">
        <f t="shared" si="5"/>
        <v>0</v>
      </c>
      <c r="DZ41" s="1446">
        <f t="shared" si="5"/>
        <v>0</v>
      </c>
      <c r="EA41" s="1446">
        <f t="shared" si="5"/>
        <v>0</v>
      </c>
      <c r="EB41" s="1446">
        <f t="shared" si="5"/>
        <v>0</v>
      </c>
      <c r="EC41" s="1447">
        <f t="shared" si="5"/>
        <v>0</v>
      </c>
    </row>
    <row r="42" spans="1:133">
      <c r="A42" s="1449" t="s">
        <v>754</v>
      </c>
      <c r="B42" s="1442"/>
      <c r="C42" s="1443"/>
      <c r="D42" s="1443"/>
      <c r="E42" s="1443"/>
      <c r="F42" s="1443"/>
      <c r="G42" s="1443"/>
      <c r="H42" s="1443"/>
      <c r="I42" s="1443"/>
      <c r="J42" s="1443"/>
      <c r="K42" s="1443"/>
      <c r="L42" s="1443"/>
      <c r="M42" s="1444"/>
      <c r="N42" s="1442"/>
      <c r="O42" s="1443"/>
      <c r="P42" s="1443"/>
      <c r="Q42" s="1443"/>
      <c r="R42" s="1443"/>
      <c r="S42" s="1443"/>
      <c r="T42" s="1443"/>
      <c r="U42" s="1443"/>
      <c r="V42" s="1443"/>
      <c r="W42" s="1443"/>
      <c r="X42" s="1443"/>
      <c r="Y42" s="1444"/>
      <c r="Z42" s="1442"/>
      <c r="AA42" s="1443"/>
      <c r="AB42" s="1443"/>
      <c r="AC42" s="1443"/>
      <c r="AD42" s="1443"/>
      <c r="AE42" s="1443"/>
      <c r="AF42" s="1443"/>
      <c r="AG42" s="1443"/>
      <c r="AH42" s="1443"/>
      <c r="AI42" s="1443"/>
      <c r="AJ42" s="1443"/>
      <c r="AK42" s="1444"/>
      <c r="AL42" s="1442"/>
      <c r="AM42" s="1443"/>
      <c r="AN42" s="1443"/>
      <c r="AO42" s="1443"/>
      <c r="AP42" s="1443"/>
      <c r="AQ42" s="1443"/>
      <c r="AR42" s="1443"/>
      <c r="AS42" s="1443"/>
      <c r="AT42" s="1443"/>
      <c r="AU42" s="1443"/>
      <c r="AV42" s="1443"/>
      <c r="AW42" s="1444"/>
      <c r="AX42" s="1442"/>
      <c r="AY42" s="1443"/>
      <c r="AZ42" s="1443"/>
      <c r="BA42" s="1443"/>
      <c r="BB42" s="1443"/>
      <c r="BC42" s="1443"/>
      <c r="BD42" s="1443"/>
      <c r="BE42" s="1443"/>
      <c r="BF42" s="1443"/>
      <c r="BG42" s="1443"/>
      <c r="BH42" s="1443"/>
      <c r="BI42" s="1444"/>
      <c r="BJ42" s="1442"/>
      <c r="BK42" s="1443"/>
      <c r="BL42" s="1443"/>
      <c r="BM42" s="1443"/>
      <c r="BN42" s="1443"/>
      <c r="BO42" s="1443"/>
      <c r="BP42" s="1443"/>
      <c r="BQ42" s="1443"/>
      <c r="BR42" s="1443"/>
      <c r="BS42" s="1443"/>
      <c r="BT42" s="1443"/>
      <c r="BU42" s="1444"/>
      <c r="BV42" s="1442"/>
      <c r="BW42" s="1443"/>
      <c r="BX42" s="1443"/>
      <c r="BY42" s="1443"/>
      <c r="BZ42" s="1443"/>
      <c r="CA42" s="1443"/>
      <c r="CB42" s="1443"/>
      <c r="CC42" s="1443"/>
      <c r="CD42" s="1443"/>
      <c r="CE42" s="1443"/>
      <c r="CF42" s="1443"/>
      <c r="CG42" s="1444"/>
      <c r="CH42" s="1442"/>
      <c r="CI42" s="1443"/>
      <c r="CJ42" s="1443"/>
      <c r="CK42" s="1443"/>
      <c r="CL42" s="1443"/>
      <c r="CM42" s="1443"/>
      <c r="CN42" s="1443"/>
      <c r="CO42" s="1443"/>
      <c r="CP42" s="1443"/>
      <c r="CQ42" s="1443"/>
      <c r="CR42" s="1443"/>
      <c r="CS42" s="1444"/>
      <c r="CT42" s="1442"/>
      <c r="CU42" s="1443"/>
      <c r="CV42" s="1443"/>
      <c r="CW42" s="1443"/>
      <c r="CX42" s="1443"/>
      <c r="CY42" s="1443"/>
      <c r="CZ42" s="1443"/>
      <c r="DA42" s="1443"/>
      <c r="DB42" s="1443"/>
      <c r="DC42" s="1443"/>
      <c r="DD42" s="1443"/>
      <c r="DE42" s="1444"/>
      <c r="DF42" s="1442"/>
      <c r="DG42" s="1443"/>
      <c r="DH42" s="1443"/>
      <c r="DI42" s="1443"/>
      <c r="DJ42" s="1443"/>
      <c r="DK42" s="1443"/>
      <c r="DL42" s="1443"/>
      <c r="DM42" s="1443"/>
      <c r="DN42" s="1443"/>
      <c r="DO42" s="1443"/>
      <c r="DP42" s="1443"/>
      <c r="DQ42" s="1444"/>
      <c r="DR42" s="1448">
        <f t="shared" si="5"/>
        <v>0</v>
      </c>
      <c r="DS42" s="1446">
        <f t="shared" si="5"/>
        <v>0</v>
      </c>
      <c r="DT42" s="1446">
        <f t="shared" si="5"/>
        <v>0</v>
      </c>
      <c r="DU42" s="1446">
        <f t="shared" si="5"/>
        <v>0</v>
      </c>
      <c r="DV42" s="1446">
        <f t="shared" si="5"/>
        <v>0</v>
      </c>
      <c r="DW42" s="1446">
        <f t="shared" si="5"/>
        <v>0</v>
      </c>
      <c r="DX42" s="1446">
        <f t="shared" si="5"/>
        <v>0</v>
      </c>
      <c r="DY42" s="1446">
        <f t="shared" si="5"/>
        <v>0</v>
      </c>
      <c r="DZ42" s="1446">
        <f t="shared" si="5"/>
        <v>0</v>
      </c>
      <c r="EA42" s="1446">
        <f t="shared" si="5"/>
        <v>0</v>
      </c>
      <c r="EB42" s="1446">
        <f t="shared" si="5"/>
        <v>0</v>
      </c>
      <c r="EC42" s="1447">
        <f t="shared" si="5"/>
        <v>0</v>
      </c>
    </row>
    <row r="43" spans="1:133">
      <c r="A43" s="1437" t="s">
        <v>759</v>
      </c>
      <c r="B43" s="1438"/>
      <c r="C43" s="1439"/>
      <c r="D43" s="1439"/>
      <c r="E43" s="1439"/>
      <c r="F43" s="1439"/>
      <c r="G43" s="1439"/>
      <c r="H43" s="1439"/>
      <c r="I43" s="1439"/>
      <c r="J43" s="1439"/>
      <c r="K43" s="1439"/>
      <c r="L43" s="1439"/>
      <c r="M43" s="1439"/>
      <c r="N43" s="1439"/>
      <c r="O43" s="1439"/>
      <c r="P43" s="1439"/>
      <c r="Q43" s="1439"/>
      <c r="R43" s="1439"/>
      <c r="S43" s="1439"/>
      <c r="T43" s="1439"/>
      <c r="U43" s="1439"/>
      <c r="V43" s="1439"/>
      <c r="W43" s="1439"/>
      <c r="X43" s="1439"/>
      <c r="Y43" s="1439"/>
      <c r="Z43" s="1439"/>
      <c r="AA43" s="1439"/>
      <c r="AB43" s="1439"/>
      <c r="AC43" s="1439"/>
      <c r="AD43" s="1439"/>
      <c r="AE43" s="1439"/>
      <c r="AF43" s="1439"/>
      <c r="AG43" s="1439"/>
      <c r="AH43" s="1439"/>
      <c r="AI43" s="1439"/>
      <c r="AJ43" s="1439"/>
      <c r="AK43" s="1439"/>
      <c r="AL43" s="1439"/>
      <c r="AM43" s="1439"/>
      <c r="AN43" s="1439"/>
      <c r="AO43" s="1439"/>
      <c r="AP43" s="1439"/>
      <c r="AQ43" s="1439"/>
      <c r="AR43" s="1439"/>
      <c r="AS43" s="1439"/>
      <c r="AT43" s="1439"/>
      <c r="AU43" s="1439"/>
      <c r="AV43" s="1439"/>
      <c r="AW43" s="1439"/>
      <c r="AX43" s="1439"/>
      <c r="AY43" s="1439"/>
      <c r="AZ43" s="1439"/>
      <c r="BA43" s="1439"/>
      <c r="BB43" s="1439"/>
      <c r="BC43" s="1439"/>
      <c r="BD43" s="1439"/>
      <c r="BE43" s="1439"/>
      <c r="BF43" s="1439"/>
      <c r="BG43" s="1439"/>
      <c r="BH43" s="1439"/>
      <c r="BI43" s="1439"/>
      <c r="BJ43" s="1439"/>
      <c r="BK43" s="1439"/>
      <c r="BL43" s="1439"/>
      <c r="BM43" s="1439"/>
      <c r="BN43" s="1439"/>
      <c r="BO43" s="1439"/>
      <c r="BP43" s="1439"/>
      <c r="BQ43" s="1439"/>
      <c r="BR43" s="1439"/>
      <c r="BS43" s="1439"/>
      <c r="BT43" s="1439"/>
      <c r="BU43" s="1439"/>
      <c r="BV43" s="1439"/>
      <c r="BW43" s="1439"/>
      <c r="BX43" s="1439"/>
      <c r="BY43" s="1439"/>
      <c r="BZ43" s="1439"/>
      <c r="CA43" s="1439"/>
      <c r="CB43" s="1439"/>
      <c r="CC43" s="1439"/>
      <c r="CD43" s="1439"/>
      <c r="CE43" s="1439"/>
      <c r="CF43" s="1439"/>
      <c r="CG43" s="1439"/>
      <c r="CH43" s="1439"/>
      <c r="CI43" s="1439"/>
      <c r="CJ43" s="1439"/>
      <c r="CK43" s="1439"/>
      <c r="CL43" s="1439"/>
      <c r="CM43" s="1439"/>
      <c r="CN43" s="1439"/>
      <c r="CO43" s="1439"/>
      <c r="CP43" s="1439"/>
      <c r="CQ43" s="1439"/>
      <c r="CR43" s="1439"/>
      <c r="CS43" s="1439"/>
      <c r="CT43" s="1439"/>
      <c r="CU43" s="1439"/>
      <c r="CV43" s="1439"/>
      <c r="CW43" s="1439"/>
      <c r="CX43" s="1439"/>
      <c r="CY43" s="1439"/>
      <c r="CZ43" s="1439"/>
      <c r="DA43" s="1439"/>
      <c r="DB43" s="1439"/>
      <c r="DC43" s="1439"/>
      <c r="DD43" s="1439"/>
      <c r="DE43" s="1439"/>
      <c r="DF43" s="1439"/>
      <c r="DG43" s="1439"/>
      <c r="DH43" s="1439"/>
      <c r="DI43" s="1439"/>
      <c r="DJ43" s="1439"/>
      <c r="DK43" s="1439"/>
      <c r="DL43" s="1439"/>
      <c r="DM43" s="1439"/>
      <c r="DN43" s="1439"/>
      <c r="DO43" s="1439"/>
      <c r="DP43" s="1439"/>
      <c r="DQ43" s="1439"/>
      <c r="DR43" s="1439"/>
      <c r="DS43" s="1439"/>
      <c r="DT43" s="1439"/>
      <c r="DU43" s="1439"/>
      <c r="DV43" s="1439"/>
      <c r="DW43" s="1439"/>
      <c r="DX43" s="1439"/>
      <c r="DY43" s="1439"/>
      <c r="DZ43" s="1439"/>
      <c r="EA43" s="1439"/>
      <c r="EB43" s="1439"/>
      <c r="EC43" s="1440"/>
    </row>
    <row r="44" spans="1:133">
      <c r="A44" s="1449" t="s">
        <v>749</v>
      </c>
      <c r="B44" s="1442"/>
      <c r="C44" s="1451"/>
      <c r="D44" s="1451"/>
      <c r="E44" s="1451"/>
      <c r="F44" s="1451"/>
      <c r="G44" s="1451"/>
      <c r="H44" s="1451"/>
      <c r="I44" s="1451"/>
      <c r="J44" s="1451"/>
      <c r="K44" s="1451"/>
      <c r="L44" s="1451"/>
      <c r="M44" s="1452"/>
      <c r="N44" s="1442"/>
      <c r="O44" s="1443"/>
      <c r="P44" s="1443"/>
      <c r="Q44" s="1443"/>
      <c r="R44" s="1443"/>
      <c r="S44" s="1443"/>
      <c r="T44" s="1443"/>
      <c r="U44" s="1443"/>
      <c r="V44" s="1443"/>
      <c r="W44" s="1443"/>
      <c r="X44" s="1443"/>
      <c r="Y44" s="1444"/>
      <c r="Z44" s="1442"/>
      <c r="AA44" s="1443"/>
      <c r="AB44" s="1443"/>
      <c r="AC44" s="1443"/>
      <c r="AD44" s="1443"/>
      <c r="AE44" s="1443"/>
      <c r="AF44" s="1443"/>
      <c r="AG44" s="1443"/>
      <c r="AH44" s="1443"/>
      <c r="AI44" s="1443"/>
      <c r="AJ44" s="1443"/>
      <c r="AK44" s="1444"/>
      <c r="AL44" s="1442"/>
      <c r="AM44" s="1443"/>
      <c r="AN44" s="1443"/>
      <c r="AO44" s="1443"/>
      <c r="AP44" s="1443"/>
      <c r="AQ44" s="1443"/>
      <c r="AR44" s="1443"/>
      <c r="AS44" s="1443"/>
      <c r="AT44" s="1443"/>
      <c r="AU44" s="1443"/>
      <c r="AV44" s="1443"/>
      <c r="AW44" s="1444"/>
      <c r="AX44" s="1442"/>
      <c r="AY44" s="1443"/>
      <c r="AZ44" s="1443"/>
      <c r="BA44" s="1443"/>
      <c r="BB44" s="1443"/>
      <c r="BC44" s="1443"/>
      <c r="BD44" s="1443"/>
      <c r="BE44" s="1443"/>
      <c r="BF44" s="1443"/>
      <c r="BG44" s="1443"/>
      <c r="BH44" s="1443"/>
      <c r="BI44" s="1444"/>
      <c r="BJ44" s="1442"/>
      <c r="BK44" s="1443"/>
      <c r="BL44" s="1443"/>
      <c r="BM44" s="1443"/>
      <c r="BN44" s="1443"/>
      <c r="BO44" s="1443"/>
      <c r="BP44" s="1443"/>
      <c r="BQ44" s="1443"/>
      <c r="BR44" s="1443"/>
      <c r="BS44" s="1443"/>
      <c r="BT44" s="1443"/>
      <c r="BU44" s="1444"/>
      <c r="BV44" s="1442"/>
      <c r="BW44" s="1443"/>
      <c r="BX44" s="1443"/>
      <c r="BY44" s="1443"/>
      <c r="BZ44" s="1443"/>
      <c r="CA44" s="1443"/>
      <c r="CB44" s="1443"/>
      <c r="CC44" s="1443"/>
      <c r="CD44" s="1443"/>
      <c r="CE44" s="1443"/>
      <c r="CF44" s="1443"/>
      <c r="CG44" s="1444"/>
      <c r="CH44" s="1442"/>
      <c r="CI44" s="1443"/>
      <c r="CJ44" s="1443"/>
      <c r="CK44" s="1443"/>
      <c r="CL44" s="1443"/>
      <c r="CM44" s="1443"/>
      <c r="CN44" s="1443"/>
      <c r="CO44" s="1443"/>
      <c r="CP44" s="1443"/>
      <c r="CQ44" s="1443"/>
      <c r="CR44" s="1443"/>
      <c r="CS44" s="1444"/>
      <c r="CT44" s="1442"/>
      <c r="CU44" s="1443"/>
      <c r="CV44" s="1443"/>
      <c r="CW44" s="1443"/>
      <c r="CX44" s="1443"/>
      <c r="CY44" s="1443"/>
      <c r="CZ44" s="1443"/>
      <c r="DA44" s="1443"/>
      <c r="DB44" s="1443"/>
      <c r="DC44" s="1443"/>
      <c r="DD44" s="1443"/>
      <c r="DE44" s="1444"/>
      <c r="DF44" s="1442"/>
      <c r="DG44" s="1443"/>
      <c r="DH44" s="1443"/>
      <c r="DI44" s="1443"/>
      <c r="DJ44" s="1443"/>
      <c r="DK44" s="1443"/>
      <c r="DL44" s="1443"/>
      <c r="DM44" s="1443"/>
      <c r="DN44" s="1443"/>
      <c r="DO44" s="1443"/>
      <c r="DP44" s="1443"/>
      <c r="DQ44" s="1444"/>
      <c r="DR44" s="1448">
        <f t="shared" ref="DR44:EC48" si="6">SUM(B44,N44,Z44,AL44,AX44,BJ44,BV44,CH44,CT44,DF44)</f>
        <v>0</v>
      </c>
      <c r="DS44" s="1446">
        <f t="shared" si="6"/>
        <v>0</v>
      </c>
      <c r="DT44" s="1446">
        <f t="shared" si="6"/>
        <v>0</v>
      </c>
      <c r="DU44" s="1446">
        <f t="shared" si="6"/>
        <v>0</v>
      </c>
      <c r="DV44" s="1446">
        <f t="shared" si="6"/>
        <v>0</v>
      </c>
      <c r="DW44" s="1446">
        <f t="shared" si="6"/>
        <v>0</v>
      </c>
      <c r="DX44" s="1446">
        <f t="shared" si="6"/>
        <v>0</v>
      </c>
      <c r="DY44" s="1446">
        <f t="shared" si="6"/>
        <v>0</v>
      </c>
      <c r="DZ44" s="1446">
        <f t="shared" si="6"/>
        <v>0</v>
      </c>
      <c r="EA44" s="1446">
        <f t="shared" si="6"/>
        <v>0</v>
      </c>
      <c r="EB44" s="1446">
        <f t="shared" si="6"/>
        <v>0</v>
      </c>
      <c r="EC44" s="1447">
        <f t="shared" si="6"/>
        <v>0</v>
      </c>
    </row>
    <row r="45" spans="1:133">
      <c r="A45" s="1449" t="s">
        <v>750</v>
      </c>
      <c r="B45" s="1442"/>
      <c r="C45" s="1443"/>
      <c r="D45" s="1443"/>
      <c r="E45" s="1443"/>
      <c r="F45" s="1443"/>
      <c r="G45" s="1443"/>
      <c r="H45" s="1443"/>
      <c r="I45" s="1443"/>
      <c r="J45" s="1443"/>
      <c r="K45" s="1443"/>
      <c r="L45" s="1443"/>
      <c r="M45" s="1444"/>
      <c r="N45" s="1442"/>
      <c r="O45" s="1443"/>
      <c r="P45" s="1443"/>
      <c r="Q45" s="1443"/>
      <c r="R45" s="1443"/>
      <c r="S45" s="1443"/>
      <c r="T45" s="1443"/>
      <c r="U45" s="1443"/>
      <c r="V45" s="1443"/>
      <c r="W45" s="1443"/>
      <c r="X45" s="1443"/>
      <c r="Y45" s="1444"/>
      <c r="Z45" s="1442"/>
      <c r="AA45" s="1443"/>
      <c r="AB45" s="1443"/>
      <c r="AC45" s="1443"/>
      <c r="AD45" s="1443"/>
      <c r="AE45" s="1443"/>
      <c r="AF45" s="1443"/>
      <c r="AG45" s="1443"/>
      <c r="AH45" s="1443"/>
      <c r="AI45" s="1443"/>
      <c r="AJ45" s="1443"/>
      <c r="AK45" s="1444"/>
      <c r="AL45" s="1442"/>
      <c r="AM45" s="1443"/>
      <c r="AN45" s="1443"/>
      <c r="AO45" s="1443"/>
      <c r="AP45" s="1443"/>
      <c r="AQ45" s="1443"/>
      <c r="AR45" s="1443"/>
      <c r="AS45" s="1443"/>
      <c r="AT45" s="1443"/>
      <c r="AU45" s="1443"/>
      <c r="AV45" s="1443"/>
      <c r="AW45" s="1444"/>
      <c r="AX45" s="1442"/>
      <c r="AY45" s="1443"/>
      <c r="AZ45" s="1443"/>
      <c r="BA45" s="1443"/>
      <c r="BB45" s="1443"/>
      <c r="BC45" s="1443"/>
      <c r="BD45" s="1443"/>
      <c r="BE45" s="1443"/>
      <c r="BF45" s="1443"/>
      <c r="BG45" s="1443"/>
      <c r="BH45" s="1443"/>
      <c r="BI45" s="1444"/>
      <c r="BJ45" s="1442"/>
      <c r="BK45" s="1443"/>
      <c r="BL45" s="1443"/>
      <c r="BM45" s="1443"/>
      <c r="BN45" s="1443"/>
      <c r="BO45" s="1443"/>
      <c r="BP45" s="1443"/>
      <c r="BQ45" s="1443"/>
      <c r="BR45" s="1443"/>
      <c r="BS45" s="1443"/>
      <c r="BT45" s="1443"/>
      <c r="BU45" s="1444"/>
      <c r="BV45" s="1442"/>
      <c r="BW45" s="1443"/>
      <c r="BX45" s="1443"/>
      <c r="BY45" s="1443"/>
      <c r="BZ45" s="1443"/>
      <c r="CA45" s="1443"/>
      <c r="CB45" s="1443"/>
      <c r="CC45" s="1443"/>
      <c r="CD45" s="1443"/>
      <c r="CE45" s="1443"/>
      <c r="CF45" s="1443"/>
      <c r="CG45" s="1444"/>
      <c r="CH45" s="1442"/>
      <c r="CI45" s="1443"/>
      <c r="CJ45" s="1443"/>
      <c r="CK45" s="1443"/>
      <c r="CL45" s="1443"/>
      <c r="CM45" s="1443"/>
      <c r="CN45" s="1443"/>
      <c r="CO45" s="1443"/>
      <c r="CP45" s="1443"/>
      <c r="CQ45" s="1443"/>
      <c r="CR45" s="1443"/>
      <c r="CS45" s="1444"/>
      <c r="CT45" s="1442"/>
      <c r="CU45" s="1443"/>
      <c r="CV45" s="1443"/>
      <c r="CW45" s="1443"/>
      <c r="CX45" s="1443"/>
      <c r="CY45" s="1443"/>
      <c r="CZ45" s="1443"/>
      <c r="DA45" s="1443"/>
      <c r="DB45" s="1443"/>
      <c r="DC45" s="1443"/>
      <c r="DD45" s="1443"/>
      <c r="DE45" s="1444"/>
      <c r="DF45" s="1442"/>
      <c r="DG45" s="1443"/>
      <c r="DH45" s="1443"/>
      <c r="DI45" s="1443"/>
      <c r="DJ45" s="1443"/>
      <c r="DK45" s="1443"/>
      <c r="DL45" s="1443"/>
      <c r="DM45" s="1443"/>
      <c r="DN45" s="1443"/>
      <c r="DO45" s="1443"/>
      <c r="DP45" s="1443"/>
      <c r="DQ45" s="1444"/>
      <c r="DR45" s="1448">
        <f t="shared" si="6"/>
        <v>0</v>
      </c>
      <c r="DS45" s="1446">
        <f t="shared" si="6"/>
        <v>0</v>
      </c>
      <c r="DT45" s="1446">
        <f t="shared" si="6"/>
        <v>0</v>
      </c>
      <c r="DU45" s="1446">
        <f t="shared" si="6"/>
        <v>0</v>
      </c>
      <c r="DV45" s="1446">
        <f t="shared" si="6"/>
        <v>0</v>
      </c>
      <c r="DW45" s="1446">
        <f t="shared" si="6"/>
        <v>0</v>
      </c>
      <c r="DX45" s="1446">
        <f t="shared" si="6"/>
        <v>0</v>
      </c>
      <c r="DY45" s="1446">
        <f t="shared" si="6"/>
        <v>0</v>
      </c>
      <c r="DZ45" s="1446">
        <f t="shared" si="6"/>
        <v>0</v>
      </c>
      <c r="EA45" s="1446">
        <f t="shared" si="6"/>
        <v>0</v>
      </c>
      <c r="EB45" s="1446">
        <f t="shared" si="6"/>
        <v>0</v>
      </c>
      <c r="EC45" s="1447">
        <f t="shared" si="6"/>
        <v>0</v>
      </c>
    </row>
    <row r="46" spans="1:133">
      <c r="A46" s="1449" t="s">
        <v>751</v>
      </c>
      <c r="B46" s="1442"/>
      <c r="C46" s="1443"/>
      <c r="D46" s="1443"/>
      <c r="E46" s="1443"/>
      <c r="F46" s="1443"/>
      <c r="G46" s="1443"/>
      <c r="H46" s="1443"/>
      <c r="I46" s="1443"/>
      <c r="J46" s="1443"/>
      <c r="K46" s="1443"/>
      <c r="L46" s="1443"/>
      <c r="M46" s="1444"/>
      <c r="N46" s="1442"/>
      <c r="O46" s="1443"/>
      <c r="P46" s="1443"/>
      <c r="Q46" s="1443"/>
      <c r="R46" s="1443"/>
      <c r="S46" s="1443"/>
      <c r="T46" s="1443"/>
      <c r="U46" s="1443"/>
      <c r="V46" s="1443"/>
      <c r="W46" s="1443"/>
      <c r="X46" s="1443"/>
      <c r="Y46" s="1444"/>
      <c r="Z46" s="1442"/>
      <c r="AA46" s="1443"/>
      <c r="AB46" s="1443"/>
      <c r="AC46" s="1443"/>
      <c r="AD46" s="1443"/>
      <c r="AE46" s="1443"/>
      <c r="AF46" s="1443"/>
      <c r="AG46" s="1443"/>
      <c r="AH46" s="1443"/>
      <c r="AI46" s="1443"/>
      <c r="AJ46" s="1443"/>
      <c r="AK46" s="1444"/>
      <c r="AL46" s="1442"/>
      <c r="AM46" s="1443"/>
      <c r="AN46" s="1443"/>
      <c r="AO46" s="1443"/>
      <c r="AP46" s="1443"/>
      <c r="AQ46" s="1443"/>
      <c r="AR46" s="1443"/>
      <c r="AS46" s="1443"/>
      <c r="AT46" s="1443"/>
      <c r="AU46" s="1443"/>
      <c r="AV46" s="1443"/>
      <c r="AW46" s="1444"/>
      <c r="AX46" s="1442"/>
      <c r="AY46" s="1443"/>
      <c r="AZ46" s="1443"/>
      <c r="BA46" s="1443"/>
      <c r="BB46" s="1443"/>
      <c r="BC46" s="1443"/>
      <c r="BD46" s="1443"/>
      <c r="BE46" s="1443"/>
      <c r="BF46" s="1443"/>
      <c r="BG46" s="1443"/>
      <c r="BH46" s="1443"/>
      <c r="BI46" s="1444"/>
      <c r="BJ46" s="1442"/>
      <c r="BK46" s="1443"/>
      <c r="BL46" s="1443"/>
      <c r="BM46" s="1443"/>
      <c r="BN46" s="1443"/>
      <c r="BO46" s="1443"/>
      <c r="BP46" s="1443"/>
      <c r="BQ46" s="1443"/>
      <c r="BR46" s="1443"/>
      <c r="BS46" s="1443"/>
      <c r="BT46" s="1443"/>
      <c r="BU46" s="1444"/>
      <c r="BV46" s="1442"/>
      <c r="BW46" s="1443"/>
      <c r="BX46" s="1443"/>
      <c r="BY46" s="1443"/>
      <c r="BZ46" s="1443"/>
      <c r="CA46" s="1443"/>
      <c r="CB46" s="1443"/>
      <c r="CC46" s="1443"/>
      <c r="CD46" s="1443"/>
      <c r="CE46" s="1443"/>
      <c r="CF46" s="1443"/>
      <c r="CG46" s="1444"/>
      <c r="CH46" s="1442"/>
      <c r="CI46" s="1443"/>
      <c r="CJ46" s="1443"/>
      <c r="CK46" s="1443"/>
      <c r="CL46" s="1443"/>
      <c r="CM46" s="1443"/>
      <c r="CN46" s="1443"/>
      <c r="CO46" s="1443"/>
      <c r="CP46" s="1443"/>
      <c r="CQ46" s="1443"/>
      <c r="CR46" s="1443"/>
      <c r="CS46" s="1444"/>
      <c r="CT46" s="1442"/>
      <c r="CU46" s="1443"/>
      <c r="CV46" s="1443"/>
      <c r="CW46" s="1443"/>
      <c r="CX46" s="1443"/>
      <c r="CY46" s="1443"/>
      <c r="CZ46" s="1443"/>
      <c r="DA46" s="1443"/>
      <c r="DB46" s="1443"/>
      <c r="DC46" s="1443"/>
      <c r="DD46" s="1443"/>
      <c r="DE46" s="1444"/>
      <c r="DF46" s="1442"/>
      <c r="DG46" s="1443"/>
      <c r="DH46" s="1443"/>
      <c r="DI46" s="1443"/>
      <c r="DJ46" s="1443"/>
      <c r="DK46" s="1443"/>
      <c r="DL46" s="1443"/>
      <c r="DM46" s="1443"/>
      <c r="DN46" s="1443"/>
      <c r="DO46" s="1443"/>
      <c r="DP46" s="1443"/>
      <c r="DQ46" s="1444"/>
      <c r="DR46" s="1448">
        <f t="shared" si="6"/>
        <v>0</v>
      </c>
      <c r="DS46" s="1446">
        <f t="shared" si="6"/>
        <v>0</v>
      </c>
      <c r="DT46" s="1446">
        <f t="shared" si="6"/>
        <v>0</v>
      </c>
      <c r="DU46" s="1446">
        <f t="shared" si="6"/>
        <v>0</v>
      </c>
      <c r="DV46" s="1446">
        <f t="shared" si="6"/>
        <v>0</v>
      </c>
      <c r="DW46" s="1446">
        <f t="shared" si="6"/>
        <v>0</v>
      </c>
      <c r="DX46" s="1446">
        <f t="shared" si="6"/>
        <v>0</v>
      </c>
      <c r="DY46" s="1446">
        <f t="shared" si="6"/>
        <v>0</v>
      </c>
      <c r="DZ46" s="1446">
        <f t="shared" si="6"/>
        <v>0</v>
      </c>
      <c r="EA46" s="1446">
        <f t="shared" si="6"/>
        <v>0</v>
      </c>
      <c r="EB46" s="1446">
        <f t="shared" si="6"/>
        <v>0</v>
      </c>
      <c r="EC46" s="1447">
        <f t="shared" si="6"/>
        <v>0</v>
      </c>
    </row>
    <row r="47" spans="1:133">
      <c r="A47" s="1449" t="s">
        <v>753</v>
      </c>
      <c r="B47" s="1442"/>
      <c r="C47" s="1443"/>
      <c r="D47" s="1443"/>
      <c r="E47" s="1443"/>
      <c r="F47" s="1443"/>
      <c r="G47" s="1443"/>
      <c r="H47" s="1443"/>
      <c r="I47" s="1443"/>
      <c r="J47" s="1443"/>
      <c r="K47" s="1443"/>
      <c r="L47" s="1443"/>
      <c r="M47" s="1444"/>
      <c r="N47" s="1442"/>
      <c r="O47" s="1443"/>
      <c r="P47" s="1443"/>
      <c r="Q47" s="1443"/>
      <c r="R47" s="1443"/>
      <c r="S47" s="1443"/>
      <c r="T47" s="1443"/>
      <c r="U47" s="1443"/>
      <c r="V47" s="1443"/>
      <c r="W47" s="1443"/>
      <c r="X47" s="1443"/>
      <c r="Y47" s="1444"/>
      <c r="Z47" s="1442"/>
      <c r="AA47" s="1443"/>
      <c r="AB47" s="1443"/>
      <c r="AC47" s="1443"/>
      <c r="AD47" s="1443"/>
      <c r="AE47" s="1443"/>
      <c r="AF47" s="1443"/>
      <c r="AG47" s="1443"/>
      <c r="AH47" s="1443"/>
      <c r="AI47" s="1443"/>
      <c r="AJ47" s="1443"/>
      <c r="AK47" s="1444"/>
      <c r="AL47" s="1442"/>
      <c r="AM47" s="1443"/>
      <c r="AN47" s="1443"/>
      <c r="AO47" s="1443"/>
      <c r="AP47" s="1443"/>
      <c r="AQ47" s="1443"/>
      <c r="AR47" s="1443"/>
      <c r="AS47" s="1443"/>
      <c r="AT47" s="1443"/>
      <c r="AU47" s="1443"/>
      <c r="AV47" s="1443"/>
      <c r="AW47" s="1444"/>
      <c r="AX47" s="1442"/>
      <c r="AY47" s="1443"/>
      <c r="AZ47" s="1443"/>
      <c r="BA47" s="1443"/>
      <c r="BB47" s="1443"/>
      <c r="BC47" s="1443"/>
      <c r="BD47" s="1443"/>
      <c r="BE47" s="1443"/>
      <c r="BF47" s="1443"/>
      <c r="BG47" s="1443"/>
      <c r="BH47" s="1443"/>
      <c r="BI47" s="1444"/>
      <c r="BJ47" s="1442"/>
      <c r="BK47" s="1443"/>
      <c r="BL47" s="1443"/>
      <c r="BM47" s="1443"/>
      <c r="BN47" s="1443"/>
      <c r="BO47" s="1443"/>
      <c r="BP47" s="1443"/>
      <c r="BQ47" s="1443"/>
      <c r="BR47" s="1443"/>
      <c r="BS47" s="1443"/>
      <c r="BT47" s="1443"/>
      <c r="BU47" s="1444"/>
      <c r="BV47" s="1442"/>
      <c r="BW47" s="1443"/>
      <c r="BX47" s="1443"/>
      <c r="BY47" s="1443"/>
      <c r="BZ47" s="1443"/>
      <c r="CA47" s="1443"/>
      <c r="CB47" s="1443"/>
      <c r="CC47" s="1443"/>
      <c r="CD47" s="1443"/>
      <c r="CE47" s="1443"/>
      <c r="CF47" s="1443"/>
      <c r="CG47" s="1444"/>
      <c r="CH47" s="1442"/>
      <c r="CI47" s="1443"/>
      <c r="CJ47" s="1443"/>
      <c r="CK47" s="1443"/>
      <c r="CL47" s="1443"/>
      <c r="CM47" s="1443"/>
      <c r="CN47" s="1443"/>
      <c r="CO47" s="1443"/>
      <c r="CP47" s="1443"/>
      <c r="CQ47" s="1443"/>
      <c r="CR47" s="1443"/>
      <c r="CS47" s="1444"/>
      <c r="CT47" s="1442"/>
      <c r="CU47" s="1443"/>
      <c r="CV47" s="1443"/>
      <c r="CW47" s="1443"/>
      <c r="CX47" s="1443"/>
      <c r="CY47" s="1443"/>
      <c r="CZ47" s="1443"/>
      <c r="DA47" s="1443"/>
      <c r="DB47" s="1443"/>
      <c r="DC47" s="1443"/>
      <c r="DD47" s="1443"/>
      <c r="DE47" s="1444"/>
      <c r="DF47" s="1442"/>
      <c r="DG47" s="1443"/>
      <c r="DH47" s="1443"/>
      <c r="DI47" s="1443"/>
      <c r="DJ47" s="1443"/>
      <c r="DK47" s="1443"/>
      <c r="DL47" s="1443"/>
      <c r="DM47" s="1443"/>
      <c r="DN47" s="1443"/>
      <c r="DO47" s="1443"/>
      <c r="DP47" s="1443"/>
      <c r="DQ47" s="1444"/>
      <c r="DR47" s="1448">
        <f t="shared" si="6"/>
        <v>0</v>
      </c>
      <c r="DS47" s="1446">
        <f t="shared" si="6"/>
        <v>0</v>
      </c>
      <c r="DT47" s="1446">
        <f t="shared" si="6"/>
        <v>0</v>
      </c>
      <c r="DU47" s="1446">
        <f t="shared" si="6"/>
        <v>0</v>
      </c>
      <c r="DV47" s="1446">
        <f t="shared" si="6"/>
        <v>0</v>
      </c>
      <c r="DW47" s="1446">
        <f t="shared" si="6"/>
        <v>0</v>
      </c>
      <c r="DX47" s="1446">
        <f t="shared" si="6"/>
        <v>0</v>
      </c>
      <c r="DY47" s="1446">
        <f t="shared" si="6"/>
        <v>0</v>
      </c>
      <c r="DZ47" s="1446">
        <f t="shared" si="6"/>
        <v>0</v>
      </c>
      <c r="EA47" s="1446">
        <f t="shared" si="6"/>
        <v>0</v>
      </c>
      <c r="EB47" s="1446">
        <f t="shared" si="6"/>
        <v>0</v>
      </c>
      <c r="EC47" s="1447">
        <f t="shared" si="6"/>
        <v>0</v>
      </c>
    </row>
    <row r="48" spans="1:133">
      <c r="A48" s="1449" t="s">
        <v>754</v>
      </c>
      <c r="B48" s="1442"/>
      <c r="C48" s="1443"/>
      <c r="D48" s="1443"/>
      <c r="E48" s="1443"/>
      <c r="F48" s="1443"/>
      <c r="G48" s="1443"/>
      <c r="H48" s="1443"/>
      <c r="I48" s="1443"/>
      <c r="J48" s="1443"/>
      <c r="K48" s="1443"/>
      <c r="L48" s="1443"/>
      <c r="M48" s="1444"/>
      <c r="N48" s="1442"/>
      <c r="O48" s="1443"/>
      <c r="P48" s="1443"/>
      <c r="Q48" s="1443"/>
      <c r="R48" s="1443"/>
      <c r="S48" s="1443"/>
      <c r="T48" s="1443"/>
      <c r="U48" s="1443"/>
      <c r="V48" s="1443"/>
      <c r="W48" s="1443"/>
      <c r="X48" s="1443"/>
      <c r="Y48" s="1444"/>
      <c r="Z48" s="1442"/>
      <c r="AA48" s="1443"/>
      <c r="AB48" s="1443"/>
      <c r="AC48" s="1443"/>
      <c r="AD48" s="1443"/>
      <c r="AE48" s="1443"/>
      <c r="AF48" s="1443"/>
      <c r="AG48" s="1443"/>
      <c r="AH48" s="1443"/>
      <c r="AI48" s="1443"/>
      <c r="AJ48" s="1443"/>
      <c r="AK48" s="1444"/>
      <c r="AL48" s="1442"/>
      <c r="AM48" s="1443"/>
      <c r="AN48" s="1443"/>
      <c r="AO48" s="1443"/>
      <c r="AP48" s="1443"/>
      <c r="AQ48" s="1443"/>
      <c r="AR48" s="1443"/>
      <c r="AS48" s="1443"/>
      <c r="AT48" s="1443"/>
      <c r="AU48" s="1443"/>
      <c r="AV48" s="1443"/>
      <c r="AW48" s="1444"/>
      <c r="AX48" s="1442"/>
      <c r="AY48" s="1443"/>
      <c r="AZ48" s="1443"/>
      <c r="BA48" s="1443"/>
      <c r="BB48" s="1443"/>
      <c r="BC48" s="1443"/>
      <c r="BD48" s="1443"/>
      <c r="BE48" s="1443"/>
      <c r="BF48" s="1443"/>
      <c r="BG48" s="1443"/>
      <c r="BH48" s="1443"/>
      <c r="BI48" s="1444"/>
      <c r="BJ48" s="1442"/>
      <c r="BK48" s="1443"/>
      <c r="BL48" s="1443"/>
      <c r="BM48" s="1443"/>
      <c r="BN48" s="1443"/>
      <c r="BO48" s="1443"/>
      <c r="BP48" s="1443"/>
      <c r="BQ48" s="1443"/>
      <c r="BR48" s="1443"/>
      <c r="BS48" s="1443"/>
      <c r="BT48" s="1443"/>
      <c r="BU48" s="1444"/>
      <c r="BV48" s="1442"/>
      <c r="BW48" s="1443"/>
      <c r="BX48" s="1443"/>
      <c r="BY48" s="1443"/>
      <c r="BZ48" s="1443"/>
      <c r="CA48" s="1443"/>
      <c r="CB48" s="1443"/>
      <c r="CC48" s="1443"/>
      <c r="CD48" s="1443"/>
      <c r="CE48" s="1443"/>
      <c r="CF48" s="1443"/>
      <c r="CG48" s="1444"/>
      <c r="CH48" s="1442"/>
      <c r="CI48" s="1443"/>
      <c r="CJ48" s="1443"/>
      <c r="CK48" s="1443"/>
      <c r="CL48" s="1443"/>
      <c r="CM48" s="1443"/>
      <c r="CN48" s="1443"/>
      <c r="CO48" s="1443"/>
      <c r="CP48" s="1443"/>
      <c r="CQ48" s="1443"/>
      <c r="CR48" s="1443"/>
      <c r="CS48" s="1444"/>
      <c r="CT48" s="1442"/>
      <c r="CU48" s="1443"/>
      <c r="CV48" s="1443"/>
      <c r="CW48" s="1443"/>
      <c r="CX48" s="1443"/>
      <c r="CY48" s="1443"/>
      <c r="CZ48" s="1443"/>
      <c r="DA48" s="1443"/>
      <c r="DB48" s="1443"/>
      <c r="DC48" s="1443"/>
      <c r="DD48" s="1443"/>
      <c r="DE48" s="1444"/>
      <c r="DF48" s="1442"/>
      <c r="DG48" s="1443"/>
      <c r="DH48" s="1443"/>
      <c r="DI48" s="1443"/>
      <c r="DJ48" s="1443"/>
      <c r="DK48" s="1443"/>
      <c r="DL48" s="1443"/>
      <c r="DM48" s="1443"/>
      <c r="DN48" s="1443"/>
      <c r="DO48" s="1443"/>
      <c r="DP48" s="1443"/>
      <c r="DQ48" s="1444"/>
      <c r="DR48" s="1448">
        <f t="shared" si="6"/>
        <v>0</v>
      </c>
      <c r="DS48" s="1446">
        <f t="shared" si="6"/>
        <v>0</v>
      </c>
      <c r="DT48" s="1446">
        <f t="shared" si="6"/>
        <v>0</v>
      </c>
      <c r="DU48" s="1446">
        <f t="shared" si="6"/>
        <v>0</v>
      </c>
      <c r="DV48" s="1446">
        <f t="shared" si="6"/>
        <v>0</v>
      </c>
      <c r="DW48" s="1446">
        <f t="shared" si="6"/>
        <v>0</v>
      </c>
      <c r="DX48" s="1446">
        <f t="shared" si="6"/>
        <v>0</v>
      </c>
      <c r="DY48" s="1446">
        <f t="shared" si="6"/>
        <v>0</v>
      </c>
      <c r="DZ48" s="1446">
        <f t="shared" si="6"/>
        <v>0</v>
      </c>
      <c r="EA48" s="1446">
        <f t="shared" si="6"/>
        <v>0</v>
      </c>
      <c r="EB48" s="1446">
        <f t="shared" si="6"/>
        <v>0</v>
      </c>
      <c r="EC48" s="1447">
        <f t="shared" si="6"/>
        <v>0</v>
      </c>
    </row>
    <row r="49" spans="1:133">
      <c r="A49" s="1437" t="s">
        <v>760</v>
      </c>
      <c r="B49" s="1438"/>
      <c r="C49" s="1439"/>
      <c r="D49" s="1439"/>
      <c r="E49" s="1439"/>
      <c r="F49" s="1439"/>
      <c r="G49" s="1439"/>
      <c r="H49" s="1439"/>
      <c r="I49" s="1439"/>
      <c r="J49" s="1439"/>
      <c r="K49" s="1439"/>
      <c r="L49" s="1439"/>
      <c r="M49" s="1439"/>
      <c r="N49" s="1439"/>
      <c r="O49" s="1439"/>
      <c r="P49" s="1439"/>
      <c r="Q49" s="1439"/>
      <c r="R49" s="1439"/>
      <c r="S49" s="1439"/>
      <c r="T49" s="1439"/>
      <c r="U49" s="1439"/>
      <c r="V49" s="1439"/>
      <c r="W49" s="1439"/>
      <c r="X49" s="1439"/>
      <c r="Y49" s="1439"/>
      <c r="Z49" s="1439"/>
      <c r="AA49" s="1439"/>
      <c r="AB49" s="1439"/>
      <c r="AC49" s="1439"/>
      <c r="AD49" s="1439"/>
      <c r="AE49" s="1439"/>
      <c r="AF49" s="1439"/>
      <c r="AG49" s="1439"/>
      <c r="AH49" s="1439"/>
      <c r="AI49" s="1439"/>
      <c r="AJ49" s="1439"/>
      <c r="AK49" s="1439"/>
      <c r="AL49" s="1439"/>
      <c r="AM49" s="1439"/>
      <c r="AN49" s="1439"/>
      <c r="AO49" s="1439"/>
      <c r="AP49" s="1439"/>
      <c r="AQ49" s="1439"/>
      <c r="AR49" s="1439"/>
      <c r="AS49" s="1439"/>
      <c r="AT49" s="1439"/>
      <c r="AU49" s="1439"/>
      <c r="AV49" s="1439"/>
      <c r="AW49" s="1439"/>
      <c r="AX49" s="1439"/>
      <c r="AY49" s="1439"/>
      <c r="AZ49" s="1439"/>
      <c r="BA49" s="1439"/>
      <c r="BB49" s="1439"/>
      <c r="BC49" s="1439"/>
      <c r="BD49" s="1439"/>
      <c r="BE49" s="1439"/>
      <c r="BF49" s="1439"/>
      <c r="BG49" s="1439"/>
      <c r="BH49" s="1439"/>
      <c r="BI49" s="1439"/>
      <c r="BJ49" s="1439"/>
      <c r="BK49" s="1439"/>
      <c r="BL49" s="1439"/>
      <c r="BM49" s="1439"/>
      <c r="BN49" s="1439"/>
      <c r="BO49" s="1439"/>
      <c r="BP49" s="1439"/>
      <c r="BQ49" s="1439"/>
      <c r="BR49" s="1439"/>
      <c r="BS49" s="1439"/>
      <c r="BT49" s="1439"/>
      <c r="BU49" s="1439"/>
      <c r="BV49" s="1439"/>
      <c r="BW49" s="1439"/>
      <c r="BX49" s="1439"/>
      <c r="BY49" s="1439"/>
      <c r="BZ49" s="1439"/>
      <c r="CA49" s="1439"/>
      <c r="CB49" s="1439"/>
      <c r="CC49" s="1439"/>
      <c r="CD49" s="1439"/>
      <c r="CE49" s="1439"/>
      <c r="CF49" s="1439"/>
      <c r="CG49" s="1439"/>
      <c r="CH49" s="1439"/>
      <c r="CI49" s="1439"/>
      <c r="CJ49" s="1439"/>
      <c r="CK49" s="1439"/>
      <c r="CL49" s="1439"/>
      <c r="CM49" s="1439"/>
      <c r="CN49" s="1439"/>
      <c r="CO49" s="1439"/>
      <c r="CP49" s="1439"/>
      <c r="CQ49" s="1439"/>
      <c r="CR49" s="1439"/>
      <c r="CS49" s="1439"/>
      <c r="CT49" s="1439"/>
      <c r="CU49" s="1439"/>
      <c r="CV49" s="1439"/>
      <c r="CW49" s="1439"/>
      <c r="CX49" s="1439"/>
      <c r="CY49" s="1439"/>
      <c r="CZ49" s="1439"/>
      <c r="DA49" s="1439"/>
      <c r="DB49" s="1439"/>
      <c r="DC49" s="1439"/>
      <c r="DD49" s="1439"/>
      <c r="DE49" s="1439"/>
      <c r="DF49" s="1439"/>
      <c r="DG49" s="1439"/>
      <c r="DH49" s="1439"/>
      <c r="DI49" s="1439"/>
      <c r="DJ49" s="1439"/>
      <c r="DK49" s="1439"/>
      <c r="DL49" s="1439"/>
      <c r="DM49" s="1439"/>
      <c r="DN49" s="1439"/>
      <c r="DO49" s="1439"/>
      <c r="DP49" s="1439"/>
      <c r="DQ49" s="1439"/>
      <c r="DR49" s="1439"/>
      <c r="DS49" s="1439"/>
      <c r="DT49" s="1439"/>
      <c r="DU49" s="1439"/>
      <c r="DV49" s="1439"/>
      <c r="DW49" s="1439"/>
      <c r="DX49" s="1439"/>
      <c r="DY49" s="1439"/>
      <c r="DZ49" s="1439"/>
      <c r="EA49" s="1439"/>
      <c r="EB49" s="1439"/>
      <c r="EC49" s="1440"/>
    </row>
    <row r="50" spans="1:133">
      <c r="A50" s="1449" t="s">
        <v>749</v>
      </c>
      <c r="B50" s="1442"/>
      <c r="C50" s="1443"/>
      <c r="D50" s="1443"/>
      <c r="E50" s="1443"/>
      <c r="F50" s="1443"/>
      <c r="G50" s="1443"/>
      <c r="H50" s="1443"/>
      <c r="I50" s="1443"/>
      <c r="J50" s="1443"/>
      <c r="K50" s="1443"/>
      <c r="L50" s="1443"/>
      <c r="M50" s="1444"/>
      <c r="N50" s="1442"/>
      <c r="O50" s="1443"/>
      <c r="P50" s="1443"/>
      <c r="Q50" s="1443"/>
      <c r="R50" s="1443"/>
      <c r="S50" s="1443"/>
      <c r="T50" s="1443"/>
      <c r="U50" s="1443"/>
      <c r="V50" s="1443"/>
      <c r="W50" s="1443"/>
      <c r="X50" s="1443"/>
      <c r="Y50" s="1444"/>
      <c r="Z50" s="1442"/>
      <c r="AA50" s="1443"/>
      <c r="AB50" s="1443"/>
      <c r="AC50" s="1443"/>
      <c r="AD50" s="1443"/>
      <c r="AE50" s="1443"/>
      <c r="AF50" s="1443"/>
      <c r="AG50" s="1443"/>
      <c r="AH50" s="1443"/>
      <c r="AI50" s="1443"/>
      <c r="AJ50" s="1443"/>
      <c r="AK50" s="1444"/>
      <c r="AL50" s="1442"/>
      <c r="AM50" s="1443"/>
      <c r="AN50" s="1443"/>
      <c r="AO50" s="1443"/>
      <c r="AP50" s="1443"/>
      <c r="AQ50" s="1443"/>
      <c r="AR50" s="1443"/>
      <c r="AS50" s="1443"/>
      <c r="AT50" s="1443"/>
      <c r="AU50" s="1443"/>
      <c r="AV50" s="1443"/>
      <c r="AW50" s="1444"/>
      <c r="AX50" s="1442"/>
      <c r="AY50" s="1443"/>
      <c r="AZ50" s="1443"/>
      <c r="BA50" s="1443"/>
      <c r="BB50" s="1443"/>
      <c r="BC50" s="1443"/>
      <c r="BD50" s="1443"/>
      <c r="BE50" s="1443"/>
      <c r="BF50" s="1443"/>
      <c r="BG50" s="1443"/>
      <c r="BH50" s="1443"/>
      <c r="BI50" s="1444"/>
      <c r="BJ50" s="1442"/>
      <c r="BK50" s="1443"/>
      <c r="BL50" s="1443"/>
      <c r="BM50" s="1443"/>
      <c r="BN50" s="1443"/>
      <c r="BO50" s="1443"/>
      <c r="BP50" s="1443"/>
      <c r="BQ50" s="1443"/>
      <c r="BR50" s="1443"/>
      <c r="BS50" s="1443"/>
      <c r="BT50" s="1443"/>
      <c r="BU50" s="1444"/>
      <c r="BV50" s="1442"/>
      <c r="BW50" s="1443"/>
      <c r="BX50" s="1443"/>
      <c r="BY50" s="1443"/>
      <c r="BZ50" s="1443"/>
      <c r="CA50" s="1443"/>
      <c r="CB50" s="1443"/>
      <c r="CC50" s="1443"/>
      <c r="CD50" s="1443"/>
      <c r="CE50" s="1443"/>
      <c r="CF50" s="1443"/>
      <c r="CG50" s="1444"/>
      <c r="CH50" s="1442"/>
      <c r="CI50" s="1443"/>
      <c r="CJ50" s="1443"/>
      <c r="CK50" s="1443"/>
      <c r="CL50" s="1443"/>
      <c r="CM50" s="1443"/>
      <c r="CN50" s="1443"/>
      <c r="CO50" s="1443"/>
      <c r="CP50" s="1443"/>
      <c r="CQ50" s="1443"/>
      <c r="CR50" s="1443"/>
      <c r="CS50" s="1444"/>
      <c r="CT50" s="1442"/>
      <c r="CU50" s="1443"/>
      <c r="CV50" s="1443"/>
      <c r="CW50" s="1443"/>
      <c r="CX50" s="1443"/>
      <c r="CY50" s="1443"/>
      <c r="CZ50" s="1443"/>
      <c r="DA50" s="1443"/>
      <c r="DB50" s="1443"/>
      <c r="DC50" s="1443"/>
      <c r="DD50" s="1443"/>
      <c r="DE50" s="1444"/>
      <c r="DF50" s="1442"/>
      <c r="DG50" s="1443"/>
      <c r="DH50" s="1443"/>
      <c r="DI50" s="1443"/>
      <c r="DJ50" s="1443"/>
      <c r="DK50" s="1443"/>
      <c r="DL50" s="1443"/>
      <c r="DM50" s="1443"/>
      <c r="DN50" s="1443"/>
      <c r="DO50" s="1443"/>
      <c r="DP50" s="1443"/>
      <c r="DQ50" s="1444"/>
      <c r="DR50" s="1448">
        <f t="shared" ref="DR50:EC54" si="7">SUM(B50,N50,Z50,AL50,AX50,BJ50,BV50,CH50,CT50,DF50)</f>
        <v>0</v>
      </c>
      <c r="DS50" s="1446">
        <f t="shared" si="7"/>
        <v>0</v>
      </c>
      <c r="DT50" s="1446">
        <f t="shared" si="7"/>
        <v>0</v>
      </c>
      <c r="DU50" s="1446">
        <f t="shared" si="7"/>
        <v>0</v>
      </c>
      <c r="DV50" s="1446">
        <f t="shared" si="7"/>
        <v>0</v>
      </c>
      <c r="DW50" s="1446">
        <f t="shared" si="7"/>
        <v>0</v>
      </c>
      <c r="DX50" s="1446">
        <f t="shared" si="7"/>
        <v>0</v>
      </c>
      <c r="DY50" s="1446">
        <f t="shared" si="7"/>
        <v>0</v>
      </c>
      <c r="DZ50" s="1446">
        <f t="shared" si="7"/>
        <v>0</v>
      </c>
      <c r="EA50" s="1446">
        <f t="shared" si="7"/>
        <v>0</v>
      </c>
      <c r="EB50" s="1446">
        <f t="shared" si="7"/>
        <v>0</v>
      </c>
      <c r="EC50" s="1447">
        <f t="shared" si="7"/>
        <v>0</v>
      </c>
    </row>
    <row r="51" spans="1:133">
      <c r="A51" s="1449" t="s">
        <v>750</v>
      </c>
      <c r="B51" s="1442"/>
      <c r="C51" s="1443"/>
      <c r="D51" s="1443"/>
      <c r="E51" s="1443"/>
      <c r="F51" s="1443"/>
      <c r="G51" s="1443"/>
      <c r="H51" s="1443"/>
      <c r="I51" s="1443"/>
      <c r="J51" s="1443"/>
      <c r="K51" s="1443"/>
      <c r="L51" s="1443"/>
      <c r="M51" s="1444"/>
      <c r="N51" s="1442"/>
      <c r="O51" s="1443"/>
      <c r="P51" s="1443"/>
      <c r="Q51" s="1443"/>
      <c r="R51" s="1443"/>
      <c r="S51" s="1443"/>
      <c r="T51" s="1443"/>
      <c r="U51" s="1443"/>
      <c r="V51" s="1443"/>
      <c r="W51" s="1443"/>
      <c r="X51" s="1443"/>
      <c r="Y51" s="1444"/>
      <c r="Z51" s="1442"/>
      <c r="AA51" s="1443"/>
      <c r="AB51" s="1443"/>
      <c r="AC51" s="1443"/>
      <c r="AD51" s="1443"/>
      <c r="AE51" s="1443"/>
      <c r="AF51" s="1443"/>
      <c r="AG51" s="1443"/>
      <c r="AH51" s="1443"/>
      <c r="AI51" s="1443"/>
      <c r="AJ51" s="1443"/>
      <c r="AK51" s="1444"/>
      <c r="AL51" s="1442"/>
      <c r="AM51" s="1443"/>
      <c r="AN51" s="1443"/>
      <c r="AO51" s="1443"/>
      <c r="AP51" s="1443"/>
      <c r="AQ51" s="1443"/>
      <c r="AR51" s="1443"/>
      <c r="AS51" s="1443"/>
      <c r="AT51" s="1443"/>
      <c r="AU51" s="1443"/>
      <c r="AV51" s="1443"/>
      <c r="AW51" s="1444"/>
      <c r="AX51" s="1442"/>
      <c r="AY51" s="1443"/>
      <c r="AZ51" s="1443"/>
      <c r="BA51" s="1443"/>
      <c r="BB51" s="1443"/>
      <c r="BC51" s="1443"/>
      <c r="BD51" s="1443"/>
      <c r="BE51" s="1443"/>
      <c r="BF51" s="1443"/>
      <c r="BG51" s="1443"/>
      <c r="BH51" s="1443"/>
      <c r="BI51" s="1444"/>
      <c r="BJ51" s="1442"/>
      <c r="BK51" s="1443"/>
      <c r="BL51" s="1443"/>
      <c r="BM51" s="1443"/>
      <c r="BN51" s="1443"/>
      <c r="BO51" s="1443"/>
      <c r="BP51" s="1443"/>
      <c r="BQ51" s="1443"/>
      <c r="BR51" s="1443"/>
      <c r="BS51" s="1443"/>
      <c r="BT51" s="1443"/>
      <c r="BU51" s="1444"/>
      <c r="BV51" s="1442"/>
      <c r="BW51" s="1443"/>
      <c r="BX51" s="1443"/>
      <c r="BY51" s="1443"/>
      <c r="BZ51" s="1443"/>
      <c r="CA51" s="1443"/>
      <c r="CB51" s="1443"/>
      <c r="CC51" s="1443"/>
      <c r="CD51" s="1443"/>
      <c r="CE51" s="1443"/>
      <c r="CF51" s="1443"/>
      <c r="CG51" s="1444"/>
      <c r="CH51" s="1442"/>
      <c r="CI51" s="1443"/>
      <c r="CJ51" s="1443"/>
      <c r="CK51" s="1443"/>
      <c r="CL51" s="1443"/>
      <c r="CM51" s="1443"/>
      <c r="CN51" s="1443"/>
      <c r="CO51" s="1443"/>
      <c r="CP51" s="1443"/>
      <c r="CQ51" s="1443"/>
      <c r="CR51" s="1443"/>
      <c r="CS51" s="1444"/>
      <c r="CT51" s="1442"/>
      <c r="CU51" s="1443"/>
      <c r="CV51" s="1443"/>
      <c r="CW51" s="1443"/>
      <c r="CX51" s="1443"/>
      <c r="CY51" s="1443"/>
      <c r="CZ51" s="1443"/>
      <c r="DA51" s="1443"/>
      <c r="DB51" s="1443"/>
      <c r="DC51" s="1443"/>
      <c r="DD51" s="1443"/>
      <c r="DE51" s="1444"/>
      <c r="DF51" s="1442"/>
      <c r="DG51" s="1443"/>
      <c r="DH51" s="1443"/>
      <c r="DI51" s="1443"/>
      <c r="DJ51" s="1443"/>
      <c r="DK51" s="1443"/>
      <c r="DL51" s="1443"/>
      <c r="DM51" s="1443"/>
      <c r="DN51" s="1443"/>
      <c r="DO51" s="1443"/>
      <c r="DP51" s="1443"/>
      <c r="DQ51" s="1444"/>
      <c r="DR51" s="1448">
        <f t="shared" si="7"/>
        <v>0</v>
      </c>
      <c r="DS51" s="1446">
        <f t="shared" si="7"/>
        <v>0</v>
      </c>
      <c r="DT51" s="1446">
        <f t="shared" si="7"/>
        <v>0</v>
      </c>
      <c r="DU51" s="1446">
        <f t="shared" si="7"/>
        <v>0</v>
      </c>
      <c r="DV51" s="1446">
        <f t="shared" si="7"/>
        <v>0</v>
      </c>
      <c r="DW51" s="1446">
        <f t="shared" si="7"/>
        <v>0</v>
      </c>
      <c r="DX51" s="1446">
        <f t="shared" si="7"/>
        <v>0</v>
      </c>
      <c r="DY51" s="1446">
        <f t="shared" si="7"/>
        <v>0</v>
      </c>
      <c r="DZ51" s="1446">
        <f t="shared" si="7"/>
        <v>0</v>
      </c>
      <c r="EA51" s="1446">
        <f t="shared" si="7"/>
        <v>0</v>
      </c>
      <c r="EB51" s="1446">
        <f t="shared" si="7"/>
        <v>0</v>
      </c>
      <c r="EC51" s="1447">
        <f t="shared" si="7"/>
        <v>0</v>
      </c>
    </row>
    <row r="52" spans="1:133">
      <c r="A52" s="1449" t="s">
        <v>751</v>
      </c>
      <c r="B52" s="1442"/>
      <c r="C52" s="1443"/>
      <c r="D52" s="1443"/>
      <c r="E52" s="1443"/>
      <c r="F52" s="1443"/>
      <c r="G52" s="1443"/>
      <c r="H52" s="1443"/>
      <c r="I52" s="1443"/>
      <c r="J52" s="1443"/>
      <c r="K52" s="1443"/>
      <c r="L52" s="1443"/>
      <c r="M52" s="1444"/>
      <c r="N52" s="1442"/>
      <c r="O52" s="1443"/>
      <c r="P52" s="1443"/>
      <c r="Q52" s="1443"/>
      <c r="R52" s="1443"/>
      <c r="S52" s="1443"/>
      <c r="T52" s="1443"/>
      <c r="U52" s="1443"/>
      <c r="V52" s="1443"/>
      <c r="W52" s="1443"/>
      <c r="X52" s="1443"/>
      <c r="Y52" s="1444"/>
      <c r="Z52" s="1442"/>
      <c r="AA52" s="1443"/>
      <c r="AB52" s="1443"/>
      <c r="AC52" s="1443"/>
      <c r="AD52" s="1443"/>
      <c r="AE52" s="1443"/>
      <c r="AF52" s="1443"/>
      <c r="AG52" s="1443"/>
      <c r="AH52" s="1443"/>
      <c r="AI52" s="1443"/>
      <c r="AJ52" s="1443"/>
      <c r="AK52" s="1444"/>
      <c r="AL52" s="1442"/>
      <c r="AM52" s="1443"/>
      <c r="AN52" s="1443"/>
      <c r="AO52" s="1443"/>
      <c r="AP52" s="1443"/>
      <c r="AQ52" s="1443"/>
      <c r="AR52" s="1443"/>
      <c r="AS52" s="1443"/>
      <c r="AT52" s="1443"/>
      <c r="AU52" s="1443"/>
      <c r="AV52" s="1443"/>
      <c r="AW52" s="1444"/>
      <c r="AX52" s="1442"/>
      <c r="AY52" s="1443"/>
      <c r="AZ52" s="1443"/>
      <c r="BA52" s="1443"/>
      <c r="BB52" s="1443"/>
      <c r="BC52" s="1443"/>
      <c r="BD52" s="1443"/>
      <c r="BE52" s="1443"/>
      <c r="BF52" s="1443"/>
      <c r="BG52" s="1443"/>
      <c r="BH52" s="1443"/>
      <c r="BI52" s="1444"/>
      <c r="BJ52" s="1442"/>
      <c r="BK52" s="1443"/>
      <c r="BL52" s="1443"/>
      <c r="BM52" s="1443"/>
      <c r="BN52" s="1443"/>
      <c r="BO52" s="1443"/>
      <c r="BP52" s="1443"/>
      <c r="BQ52" s="1443"/>
      <c r="BR52" s="1443"/>
      <c r="BS52" s="1443"/>
      <c r="BT52" s="1443"/>
      <c r="BU52" s="1444"/>
      <c r="BV52" s="1442"/>
      <c r="BW52" s="1443"/>
      <c r="BX52" s="1443"/>
      <c r="BY52" s="1443"/>
      <c r="BZ52" s="1443"/>
      <c r="CA52" s="1443"/>
      <c r="CB52" s="1443"/>
      <c r="CC52" s="1443"/>
      <c r="CD52" s="1443"/>
      <c r="CE52" s="1443"/>
      <c r="CF52" s="1443"/>
      <c r="CG52" s="1444"/>
      <c r="CH52" s="1442"/>
      <c r="CI52" s="1443"/>
      <c r="CJ52" s="1443"/>
      <c r="CK52" s="1443"/>
      <c r="CL52" s="1443"/>
      <c r="CM52" s="1443"/>
      <c r="CN52" s="1443"/>
      <c r="CO52" s="1443"/>
      <c r="CP52" s="1443"/>
      <c r="CQ52" s="1443"/>
      <c r="CR52" s="1443"/>
      <c r="CS52" s="1444"/>
      <c r="CT52" s="1442"/>
      <c r="CU52" s="1443"/>
      <c r="CV52" s="1443"/>
      <c r="CW52" s="1443"/>
      <c r="CX52" s="1443"/>
      <c r="CY52" s="1443"/>
      <c r="CZ52" s="1443"/>
      <c r="DA52" s="1443"/>
      <c r="DB52" s="1443"/>
      <c r="DC52" s="1443"/>
      <c r="DD52" s="1443"/>
      <c r="DE52" s="1444"/>
      <c r="DF52" s="1442"/>
      <c r="DG52" s="1443"/>
      <c r="DH52" s="1443"/>
      <c r="DI52" s="1443"/>
      <c r="DJ52" s="1443"/>
      <c r="DK52" s="1443"/>
      <c r="DL52" s="1443"/>
      <c r="DM52" s="1443"/>
      <c r="DN52" s="1443"/>
      <c r="DO52" s="1443"/>
      <c r="DP52" s="1443"/>
      <c r="DQ52" s="1444"/>
      <c r="DR52" s="1448">
        <f t="shared" si="7"/>
        <v>0</v>
      </c>
      <c r="DS52" s="1446">
        <f t="shared" si="7"/>
        <v>0</v>
      </c>
      <c r="DT52" s="1446">
        <f t="shared" si="7"/>
        <v>0</v>
      </c>
      <c r="DU52" s="1446">
        <f t="shared" si="7"/>
        <v>0</v>
      </c>
      <c r="DV52" s="1446">
        <f t="shared" si="7"/>
        <v>0</v>
      </c>
      <c r="DW52" s="1446">
        <f t="shared" si="7"/>
        <v>0</v>
      </c>
      <c r="DX52" s="1446">
        <f t="shared" si="7"/>
        <v>0</v>
      </c>
      <c r="DY52" s="1446">
        <f t="shared" si="7"/>
        <v>0</v>
      </c>
      <c r="DZ52" s="1446">
        <f t="shared" si="7"/>
        <v>0</v>
      </c>
      <c r="EA52" s="1446">
        <f t="shared" si="7"/>
        <v>0</v>
      </c>
      <c r="EB52" s="1446">
        <f t="shared" si="7"/>
        <v>0</v>
      </c>
      <c r="EC52" s="1447">
        <f t="shared" si="7"/>
        <v>0</v>
      </c>
    </row>
    <row r="53" spans="1:133">
      <c r="A53" s="1449" t="s">
        <v>753</v>
      </c>
      <c r="B53" s="1442"/>
      <c r="C53" s="1443"/>
      <c r="D53" s="1443"/>
      <c r="E53" s="1443"/>
      <c r="F53" s="1443"/>
      <c r="G53" s="1443"/>
      <c r="H53" s="1443"/>
      <c r="I53" s="1443"/>
      <c r="J53" s="1443"/>
      <c r="K53" s="1443"/>
      <c r="L53" s="1443"/>
      <c r="M53" s="1444"/>
      <c r="N53" s="1442"/>
      <c r="O53" s="1443"/>
      <c r="P53" s="1443"/>
      <c r="Q53" s="1443"/>
      <c r="R53" s="1443"/>
      <c r="S53" s="1443"/>
      <c r="T53" s="1443"/>
      <c r="U53" s="1443"/>
      <c r="V53" s="1443"/>
      <c r="W53" s="1443"/>
      <c r="X53" s="1443"/>
      <c r="Y53" s="1444"/>
      <c r="Z53" s="1442"/>
      <c r="AA53" s="1443"/>
      <c r="AB53" s="1443"/>
      <c r="AC53" s="1443"/>
      <c r="AD53" s="1443"/>
      <c r="AE53" s="1443"/>
      <c r="AF53" s="1443"/>
      <c r="AG53" s="1443"/>
      <c r="AH53" s="1443"/>
      <c r="AI53" s="1443"/>
      <c r="AJ53" s="1443"/>
      <c r="AK53" s="1444"/>
      <c r="AL53" s="1442"/>
      <c r="AM53" s="1443"/>
      <c r="AN53" s="1443"/>
      <c r="AO53" s="1443"/>
      <c r="AP53" s="1443"/>
      <c r="AQ53" s="1443"/>
      <c r="AR53" s="1443"/>
      <c r="AS53" s="1443"/>
      <c r="AT53" s="1443"/>
      <c r="AU53" s="1443"/>
      <c r="AV53" s="1443"/>
      <c r="AW53" s="1444"/>
      <c r="AX53" s="1442"/>
      <c r="AY53" s="1443"/>
      <c r="AZ53" s="1443"/>
      <c r="BA53" s="1443"/>
      <c r="BB53" s="1443"/>
      <c r="BC53" s="1443"/>
      <c r="BD53" s="1443"/>
      <c r="BE53" s="1443"/>
      <c r="BF53" s="1443"/>
      <c r="BG53" s="1443"/>
      <c r="BH53" s="1443"/>
      <c r="BI53" s="1444"/>
      <c r="BJ53" s="1442"/>
      <c r="BK53" s="1443"/>
      <c r="BL53" s="1443"/>
      <c r="BM53" s="1443"/>
      <c r="BN53" s="1443"/>
      <c r="BO53" s="1443"/>
      <c r="BP53" s="1443"/>
      <c r="BQ53" s="1443"/>
      <c r="BR53" s="1443"/>
      <c r="BS53" s="1443"/>
      <c r="BT53" s="1443"/>
      <c r="BU53" s="1444"/>
      <c r="BV53" s="1442"/>
      <c r="BW53" s="1443"/>
      <c r="BX53" s="1443"/>
      <c r="BY53" s="1443"/>
      <c r="BZ53" s="1443"/>
      <c r="CA53" s="1443"/>
      <c r="CB53" s="1443"/>
      <c r="CC53" s="1443"/>
      <c r="CD53" s="1443"/>
      <c r="CE53" s="1443"/>
      <c r="CF53" s="1443"/>
      <c r="CG53" s="1444"/>
      <c r="CH53" s="1442"/>
      <c r="CI53" s="1443"/>
      <c r="CJ53" s="1443"/>
      <c r="CK53" s="1443"/>
      <c r="CL53" s="1443"/>
      <c r="CM53" s="1443"/>
      <c r="CN53" s="1443"/>
      <c r="CO53" s="1443"/>
      <c r="CP53" s="1443"/>
      <c r="CQ53" s="1443"/>
      <c r="CR53" s="1443"/>
      <c r="CS53" s="1444"/>
      <c r="CT53" s="1442"/>
      <c r="CU53" s="1443"/>
      <c r="CV53" s="1443"/>
      <c r="CW53" s="1443"/>
      <c r="CX53" s="1443"/>
      <c r="CY53" s="1443"/>
      <c r="CZ53" s="1443"/>
      <c r="DA53" s="1443"/>
      <c r="DB53" s="1443"/>
      <c r="DC53" s="1443"/>
      <c r="DD53" s="1443"/>
      <c r="DE53" s="1444"/>
      <c r="DF53" s="1442"/>
      <c r="DG53" s="1443"/>
      <c r="DH53" s="1443"/>
      <c r="DI53" s="1443"/>
      <c r="DJ53" s="1443"/>
      <c r="DK53" s="1443"/>
      <c r="DL53" s="1443"/>
      <c r="DM53" s="1443"/>
      <c r="DN53" s="1443"/>
      <c r="DO53" s="1443"/>
      <c r="DP53" s="1443"/>
      <c r="DQ53" s="1444"/>
      <c r="DR53" s="1448">
        <f t="shared" si="7"/>
        <v>0</v>
      </c>
      <c r="DS53" s="1446">
        <f t="shared" si="7"/>
        <v>0</v>
      </c>
      <c r="DT53" s="1446">
        <f t="shared" si="7"/>
        <v>0</v>
      </c>
      <c r="DU53" s="1446">
        <f t="shared" si="7"/>
        <v>0</v>
      </c>
      <c r="DV53" s="1446">
        <f t="shared" si="7"/>
        <v>0</v>
      </c>
      <c r="DW53" s="1446">
        <f t="shared" si="7"/>
        <v>0</v>
      </c>
      <c r="DX53" s="1446">
        <f t="shared" si="7"/>
        <v>0</v>
      </c>
      <c r="DY53" s="1446">
        <f t="shared" si="7"/>
        <v>0</v>
      </c>
      <c r="DZ53" s="1446">
        <f t="shared" si="7"/>
        <v>0</v>
      </c>
      <c r="EA53" s="1446">
        <f t="shared" si="7"/>
        <v>0</v>
      </c>
      <c r="EB53" s="1446">
        <f t="shared" si="7"/>
        <v>0</v>
      </c>
      <c r="EC53" s="1447">
        <f t="shared" si="7"/>
        <v>0</v>
      </c>
    </row>
    <row r="54" spans="1:133">
      <c r="A54" s="1449" t="s">
        <v>754</v>
      </c>
      <c r="B54" s="1442"/>
      <c r="C54" s="1443"/>
      <c r="D54" s="1443"/>
      <c r="E54" s="1443"/>
      <c r="F54" s="1443"/>
      <c r="G54" s="1443"/>
      <c r="H54" s="1443"/>
      <c r="I54" s="1443"/>
      <c r="J54" s="1443"/>
      <c r="K54" s="1443"/>
      <c r="L54" s="1443"/>
      <c r="M54" s="1444"/>
      <c r="N54" s="1442"/>
      <c r="O54" s="1443"/>
      <c r="P54" s="1443"/>
      <c r="Q54" s="1443"/>
      <c r="R54" s="1443"/>
      <c r="S54" s="1443"/>
      <c r="T54" s="1443"/>
      <c r="U54" s="1443"/>
      <c r="V54" s="1443"/>
      <c r="W54" s="1443"/>
      <c r="X54" s="1443"/>
      <c r="Y54" s="1444"/>
      <c r="Z54" s="1442"/>
      <c r="AA54" s="1443"/>
      <c r="AB54" s="1443"/>
      <c r="AC54" s="1443"/>
      <c r="AD54" s="1443"/>
      <c r="AE54" s="1443"/>
      <c r="AF54" s="1443"/>
      <c r="AG54" s="1443"/>
      <c r="AH54" s="1443"/>
      <c r="AI54" s="1443"/>
      <c r="AJ54" s="1443"/>
      <c r="AK54" s="1444"/>
      <c r="AL54" s="1442"/>
      <c r="AM54" s="1443"/>
      <c r="AN54" s="1443"/>
      <c r="AO54" s="1443"/>
      <c r="AP54" s="1443"/>
      <c r="AQ54" s="1443"/>
      <c r="AR54" s="1443"/>
      <c r="AS54" s="1443"/>
      <c r="AT54" s="1443"/>
      <c r="AU54" s="1443"/>
      <c r="AV54" s="1443"/>
      <c r="AW54" s="1444"/>
      <c r="AX54" s="1442"/>
      <c r="AY54" s="1443"/>
      <c r="AZ54" s="1443"/>
      <c r="BA54" s="1443"/>
      <c r="BB54" s="1443"/>
      <c r="BC54" s="1443"/>
      <c r="BD54" s="1443"/>
      <c r="BE54" s="1443"/>
      <c r="BF54" s="1443"/>
      <c r="BG54" s="1443"/>
      <c r="BH54" s="1443"/>
      <c r="BI54" s="1444"/>
      <c r="BJ54" s="1442"/>
      <c r="BK54" s="1443"/>
      <c r="BL54" s="1443"/>
      <c r="BM54" s="1443"/>
      <c r="BN54" s="1443"/>
      <c r="BO54" s="1443"/>
      <c r="BP54" s="1443"/>
      <c r="BQ54" s="1443"/>
      <c r="BR54" s="1443"/>
      <c r="BS54" s="1443"/>
      <c r="BT54" s="1443"/>
      <c r="BU54" s="1444"/>
      <c r="BV54" s="1442"/>
      <c r="BW54" s="1443"/>
      <c r="BX54" s="1443"/>
      <c r="BY54" s="1443"/>
      <c r="BZ54" s="1443"/>
      <c r="CA54" s="1443"/>
      <c r="CB54" s="1443"/>
      <c r="CC54" s="1443"/>
      <c r="CD54" s="1443"/>
      <c r="CE54" s="1443"/>
      <c r="CF54" s="1443"/>
      <c r="CG54" s="1444"/>
      <c r="CH54" s="1442"/>
      <c r="CI54" s="1443"/>
      <c r="CJ54" s="1443"/>
      <c r="CK54" s="1443"/>
      <c r="CL54" s="1443"/>
      <c r="CM54" s="1443"/>
      <c r="CN54" s="1443"/>
      <c r="CO54" s="1443"/>
      <c r="CP54" s="1443"/>
      <c r="CQ54" s="1443"/>
      <c r="CR54" s="1443"/>
      <c r="CS54" s="1444"/>
      <c r="CT54" s="1442"/>
      <c r="CU54" s="1443"/>
      <c r="CV54" s="1443"/>
      <c r="CW54" s="1443"/>
      <c r="CX54" s="1443"/>
      <c r="CY54" s="1443"/>
      <c r="CZ54" s="1443"/>
      <c r="DA54" s="1443"/>
      <c r="DB54" s="1443"/>
      <c r="DC54" s="1443"/>
      <c r="DD54" s="1443"/>
      <c r="DE54" s="1444"/>
      <c r="DF54" s="1442"/>
      <c r="DG54" s="1443"/>
      <c r="DH54" s="1443"/>
      <c r="DI54" s="1443"/>
      <c r="DJ54" s="1443"/>
      <c r="DK54" s="1443"/>
      <c r="DL54" s="1443"/>
      <c r="DM54" s="1443"/>
      <c r="DN54" s="1443"/>
      <c r="DO54" s="1443"/>
      <c r="DP54" s="1443"/>
      <c r="DQ54" s="1444"/>
      <c r="DR54" s="1448">
        <f t="shared" si="7"/>
        <v>0</v>
      </c>
      <c r="DS54" s="1446">
        <f t="shared" si="7"/>
        <v>0</v>
      </c>
      <c r="DT54" s="1446">
        <f t="shared" si="7"/>
        <v>0</v>
      </c>
      <c r="DU54" s="1446">
        <f t="shared" si="7"/>
        <v>0</v>
      </c>
      <c r="DV54" s="1446">
        <f t="shared" si="7"/>
        <v>0</v>
      </c>
      <c r="DW54" s="1446">
        <f t="shared" si="7"/>
        <v>0</v>
      </c>
      <c r="DX54" s="1446">
        <f t="shared" si="7"/>
        <v>0</v>
      </c>
      <c r="DY54" s="1446">
        <f t="shared" si="7"/>
        <v>0</v>
      </c>
      <c r="DZ54" s="1446">
        <f t="shared" si="7"/>
        <v>0</v>
      </c>
      <c r="EA54" s="1446">
        <f t="shared" si="7"/>
        <v>0</v>
      </c>
      <c r="EB54" s="1446">
        <f t="shared" si="7"/>
        <v>0</v>
      </c>
      <c r="EC54" s="1447">
        <f t="shared" si="7"/>
        <v>0</v>
      </c>
    </row>
    <row r="55" spans="1:133">
      <c r="A55" s="1437" t="s">
        <v>761</v>
      </c>
      <c r="B55" s="1438"/>
      <c r="C55" s="1439"/>
      <c r="D55" s="1439"/>
      <c r="E55" s="1439"/>
      <c r="F55" s="1439"/>
      <c r="G55" s="1439"/>
      <c r="H55" s="1439"/>
      <c r="I55" s="1439"/>
      <c r="J55" s="1439"/>
      <c r="K55" s="1439"/>
      <c r="L55" s="1439"/>
      <c r="M55" s="1439"/>
      <c r="N55" s="1439"/>
      <c r="O55" s="1439"/>
      <c r="P55" s="1439"/>
      <c r="Q55" s="1439"/>
      <c r="R55" s="1439"/>
      <c r="S55" s="1439"/>
      <c r="T55" s="1439"/>
      <c r="U55" s="1439"/>
      <c r="V55" s="1439"/>
      <c r="W55" s="1439"/>
      <c r="X55" s="1439"/>
      <c r="Y55" s="1439"/>
      <c r="Z55" s="1439"/>
      <c r="AA55" s="1439"/>
      <c r="AB55" s="1439"/>
      <c r="AC55" s="1439"/>
      <c r="AD55" s="1439"/>
      <c r="AE55" s="1439"/>
      <c r="AF55" s="1439"/>
      <c r="AG55" s="1439"/>
      <c r="AH55" s="1439"/>
      <c r="AI55" s="1439"/>
      <c r="AJ55" s="1439"/>
      <c r="AK55" s="1439"/>
      <c r="AL55" s="1439"/>
      <c r="AM55" s="1439"/>
      <c r="AN55" s="1439"/>
      <c r="AO55" s="1439"/>
      <c r="AP55" s="1439"/>
      <c r="AQ55" s="1439"/>
      <c r="AR55" s="1439"/>
      <c r="AS55" s="1439"/>
      <c r="AT55" s="1439"/>
      <c r="AU55" s="1439"/>
      <c r="AV55" s="1439"/>
      <c r="AW55" s="1439"/>
      <c r="AX55" s="1439"/>
      <c r="AY55" s="1439"/>
      <c r="AZ55" s="1439"/>
      <c r="BA55" s="1439"/>
      <c r="BB55" s="1439"/>
      <c r="BC55" s="1439"/>
      <c r="BD55" s="1439"/>
      <c r="BE55" s="1439"/>
      <c r="BF55" s="1439"/>
      <c r="BG55" s="1439"/>
      <c r="BH55" s="1439"/>
      <c r="BI55" s="1439"/>
      <c r="BJ55" s="1439"/>
      <c r="BK55" s="1439"/>
      <c r="BL55" s="1439"/>
      <c r="BM55" s="1439"/>
      <c r="BN55" s="1439"/>
      <c r="BO55" s="1439"/>
      <c r="BP55" s="1439"/>
      <c r="BQ55" s="1439"/>
      <c r="BR55" s="1439"/>
      <c r="BS55" s="1439"/>
      <c r="BT55" s="1439"/>
      <c r="BU55" s="1439"/>
      <c r="BV55" s="1439"/>
      <c r="BW55" s="1439"/>
      <c r="BX55" s="1439"/>
      <c r="BY55" s="1439"/>
      <c r="BZ55" s="1439"/>
      <c r="CA55" s="1439"/>
      <c r="CB55" s="1439"/>
      <c r="CC55" s="1439"/>
      <c r="CD55" s="1439"/>
      <c r="CE55" s="1439"/>
      <c r="CF55" s="1439"/>
      <c r="CG55" s="1439"/>
      <c r="CH55" s="1439"/>
      <c r="CI55" s="1439"/>
      <c r="CJ55" s="1439"/>
      <c r="CK55" s="1439"/>
      <c r="CL55" s="1439"/>
      <c r="CM55" s="1439"/>
      <c r="CN55" s="1439"/>
      <c r="CO55" s="1439"/>
      <c r="CP55" s="1439"/>
      <c r="CQ55" s="1439"/>
      <c r="CR55" s="1439"/>
      <c r="CS55" s="1439"/>
      <c r="CT55" s="1439"/>
      <c r="CU55" s="1439"/>
      <c r="CV55" s="1439"/>
      <c r="CW55" s="1439"/>
      <c r="CX55" s="1439"/>
      <c r="CY55" s="1439"/>
      <c r="CZ55" s="1439"/>
      <c r="DA55" s="1439"/>
      <c r="DB55" s="1439"/>
      <c r="DC55" s="1439"/>
      <c r="DD55" s="1439"/>
      <c r="DE55" s="1439"/>
      <c r="DF55" s="1439"/>
      <c r="DG55" s="1439"/>
      <c r="DH55" s="1439"/>
      <c r="DI55" s="1439"/>
      <c r="DJ55" s="1439"/>
      <c r="DK55" s="1439"/>
      <c r="DL55" s="1439"/>
      <c r="DM55" s="1439"/>
      <c r="DN55" s="1439"/>
      <c r="DO55" s="1439"/>
      <c r="DP55" s="1439"/>
      <c r="DQ55" s="1439"/>
      <c r="DR55" s="1439"/>
      <c r="DS55" s="1439"/>
      <c r="DT55" s="1439"/>
      <c r="DU55" s="1439"/>
      <c r="DV55" s="1439"/>
      <c r="DW55" s="1439"/>
      <c r="DX55" s="1439"/>
      <c r="DY55" s="1439"/>
      <c r="DZ55" s="1439"/>
      <c r="EA55" s="1439"/>
      <c r="EB55" s="1439"/>
      <c r="EC55" s="1440"/>
    </row>
    <row r="56" spans="1:133">
      <c r="A56" s="1449" t="s">
        <v>749</v>
      </c>
      <c r="B56" s="1442"/>
      <c r="C56" s="1443"/>
      <c r="D56" s="1443"/>
      <c r="E56" s="1443"/>
      <c r="F56" s="1443"/>
      <c r="G56" s="1443"/>
      <c r="H56" s="1443"/>
      <c r="I56" s="1443"/>
      <c r="J56" s="1443"/>
      <c r="K56" s="1443"/>
      <c r="L56" s="1443"/>
      <c r="M56" s="1444"/>
      <c r="N56" s="1442"/>
      <c r="O56" s="1443"/>
      <c r="P56" s="1443"/>
      <c r="Q56" s="1443"/>
      <c r="R56" s="1443"/>
      <c r="S56" s="1443"/>
      <c r="T56" s="1443"/>
      <c r="U56" s="1443"/>
      <c r="V56" s="1443"/>
      <c r="W56" s="1443"/>
      <c r="X56" s="1443"/>
      <c r="Y56" s="1444"/>
      <c r="Z56" s="1442"/>
      <c r="AA56" s="1443"/>
      <c r="AB56" s="1443"/>
      <c r="AC56" s="1443"/>
      <c r="AD56" s="1443"/>
      <c r="AE56" s="1443"/>
      <c r="AF56" s="1443"/>
      <c r="AG56" s="1443"/>
      <c r="AH56" s="1443"/>
      <c r="AI56" s="1443"/>
      <c r="AJ56" s="1443"/>
      <c r="AK56" s="1444"/>
      <c r="AL56" s="1442"/>
      <c r="AM56" s="1443"/>
      <c r="AN56" s="1443"/>
      <c r="AO56" s="1443"/>
      <c r="AP56" s="1443"/>
      <c r="AQ56" s="1443"/>
      <c r="AR56" s="1443"/>
      <c r="AS56" s="1443"/>
      <c r="AT56" s="1443"/>
      <c r="AU56" s="1443"/>
      <c r="AV56" s="1443"/>
      <c r="AW56" s="1444"/>
      <c r="AX56" s="1442"/>
      <c r="AY56" s="1443"/>
      <c r="AZ56" s="1443"/>
      <c r="BA56" s="1443"/>
      <c r="BB56" s="1443"/>
      <c r="BC56" s="1443"/>
      <c r="BD56" s="1443"/>
      <c r="BE56" s="1443"/>
      <c r="BF56" s="1443"/>
      <c r="BG56" s="1443"/>
      <c r="BH56" s="1443"/>
      <c r="BI56" s="1444"/>
      <c r="BJ56" s="1442"/>
      <c r="BK56" s="1443"/>
      <c r="BL56" s="1443"/>
      <c r="BM56" s="1443"/>
      <c r="BN56" s="1443"/>
      <c r="BO56" s="1443"/>
      <c r="BP56" s="1443"/>
      <c r="BQ56" s="1443"/>
      <c r="BR56" s="1443"/>
      <c r="BS56" s="1443"/>
      <c r="BT56" s="1443"/>
      <c r="BU56" s="1444"/>
      <c r="BV56" s="1442"/>
      <c r="BW56" s="1443"/>
      <c r="BX56" s="1443"/>
      <c r="BY56" s="1443"/>
      <c r="BZ56" s="1443"/>
      <c r="CA56" s="1443"/>
      <c r="CB56" s="1443"/>
      <c r="CC56" s="1443"/>
      <c r="CD56" s="1443"/>
      <c r="CE56" s="1443"/>
      <c r="CF56" s="1443"/>
      <c r="CG56" s="1444"/>
      <c r="CH56" s="1442"/>
      <c r="CI56" s="1443"/>
      <c r="CJ56" s="1443"/>
      <c r="CK56" s="1443"/>
      <c r="CL56" s="1443"/>
      <c r="CM56" s="1443"/>
      <c r="CN56" s="1443"/>
      <c r="CO56" s="1443"/>
      <c r="CP56" s="1443"/>
      <c r="CQ56" s="1443"/>
      <c r="CR56" s="1443"/>
      <c r="CS56" s="1444"/>
      <c r="CT56" s="1442"/>
      <c r="CU56" s="1443"/>
      <c r="CV56" s="1443"/>
      <c r="CW56" s="1443"/>
      <c r="CX56" s="1443"/>
      <c r="CY56" s="1443"/>
      <c r="CZ56" s="1443"/>
      <c r="DA56" s="1443"/>
      <c r="DB56" s="1443"/>
      <c r="DC56" s="1443"/>
      <c r="DD56" s="1443"/>
      <c r="DE56" s="1444"/>
      <c r="DF56" s="1442"/>
      <c r="DG56" s="1443"/>
      <c r="DH56" s="1443"/>
      <c r="DI56" s="1443"/>
      <c r="DJ56" s="1443"/>
      <c r="DK56" s="1443"/>
      <c r="DL56" s="1443"/>
      <c r="DM56" s="1443"/>
      <c r="DN56" s="1443"/>
      <c r="DO56" s="1443"/>
      <c r="DP56" s="1443"/>
      <c r="DQ56" s="1444"/>
      <c r="DR56" s="1448">
        <f t="shared" ref="DR56:EC60" si="8">SUM(B56,N56,Z56,AL56,AX56,BJ56,BV56,CH56,CT56,DF56)</f>
        <v>0</v>
      </c>
      <c r="DS56" s="1446">
        <f t="shared" si="8"/>
        <v>0</v>
      </c>
      <c r="DT56" s="1446">
        <f t="shared" si="8"/>
        <v>0</v>
      </c>
      <c r="DU56" s="1446">
        <f t="shared" si="8"/>
        <v>0</v>
      </c>
      <c r="DV56" s="1446">
        <f t="shared" si="8"/>
        <v>0</v>
      </c>
      <c r="DW56" s="1446">
        <f t="shared" si="8"/>
        <v>0</v>
      </c>
      <c r="DX56" s="1446">
        <f t="shared" si="8"/>
        <v>0</v>
      </c>
      <c r="DY56" s="1446">
        <f t="shared" si="8"/>
        <v>0</v>
      </c>
      <c r="DZ56" s="1446">
        <f t="shared" si="8"/>
        <v>0</v>
      </c>
      <c r="EA56" s="1446">
        <f t="shared" si="8"/>
        <v>0</v>
      </c>
      <c r="EB56" s="1446">
        <f t="shared" si="8"/>
        <v>0</v>
      </c>
      <c r="EC56" s="1447">
        <f t="shared" si="8"/>
        <v>0</v>
      </c>
    </row>
    <row r="57" spans="1:133">
      <c r="A57" s="1449" t="s">
        <v>750</v>
      </c>
      <c r="B57" s="1442"/>
      <c r="C57" s="1443"/>
      <c r="D57" s="1443"/>
      <c r="E57" s="1443"/>
      <c r="F57" s="1443"/>
      <c r="G57" s="1443"/>
      <c r="H57" s="1443"/>
      <c r="I57" s="1443"/>
      <c r="J57" s="1443"/>
      <c r="K57" s="1443"/>
      <c r="L57" s="1443"/>
      <c r="M57" s="1444"/>
      <c r="N57" s="1442"/>
      <c r="O57" s="1443"/>
      <c r="P57" s="1443"/>
      <c r="Q57" s="1443"/>
      <c r="R57" s="1443"/>
      <c r="S57" s="1443"/>
      <c r="T57" s="1443"/>
      <c r="U57" s="1443"/>
      <c r="V57" s="1443"/>
      <c r="W57" s="1443"/>
      <c r="X57" s="1443"/>
      <c r="Y57" s="1444"/>
      <c r="Z57" s="1442"/>
      <c r="AA57" s="1443"/>
      <c r="AB57" s="1443"/>
      <c r="AC57" s="1443"/>
      <c r="AD57" s="1443"/>
      <c r="AE57" s="1443"/>
      <c r="AF57" s="1443"/>
      <c r="AG57" s="1443"/>
      <c r="AH57" s="1443"/>
      <c r="AI57" s="1443"/>
      <c r="AJ57" s="1443"/>
      <c r="AK57" s="1444"/>
      <c r="AL57" s="1442"/>
      <c r="AM57" s="1443"/>
      <c r="AN57" s="1443"/>
      <c r="AO57" s="1443"/>
      <c r="AP57" s="1443"/>
      <c r="AQ57" s="1443"/>
      <c r="AR57" s="1443"/>
      <c r="AS57" s="1443"/>
      <c r="AT57" s="1443"/>
      <c r="AU57" s="1443"/>
      <c r="AV57" s="1443"/>
      <c r="AW57" s="1444"/>
      <c r="AX57" s="1442"/>
      <c r="AY57" s="1443"/>
      <c r="AZ57" s="1443"/>
      <c r="BA57" s="1443"/>
      <c r="BB57" s="1443"/>
      <c r="BC57" s="1443"/>
      <c r="BD57" s="1443"/>
      <c r="BE57" s="1443"/>
      <c r="BF57" s="1443"/>
      <c r="BG57" s="1443"/>
      <c r="BH57" s="1443"/>
      <c r="BI57" s="1444"/>
      <c r="BJ57" s="1442"/>
      <c r="BK57" s="1443"/>
      <c r="BL57" s="1443"/>
      <c r="BM57" s="1443"/>
      <c r="BN57" s="1443"/>
      <c r="BO57" s="1443"/>
      <c r="BP57" s="1443"/>
      <c r="BQ57" s="1443"/>
      <c r="BR57" s="1443"/>
      <c r="BS57" s="1443"/>
      <c r="BT57" s="1443"/>
      <c r="BU57" s="1444"/>
      <c r="BV57" s="1442"/>
      <c r="BW57" s="1443"/>
      <c r="BX57" s="1443"/>
      <c r="BY57" s="1443"/>
      <c r="BZ57" s="1443"/>
      <c r="CA57" s="1443"/>
      <c r="CB57" s="1443"/>
      <c r="CC57" s="1443"/>
      <c r="CD57" s="1443"/>
      <c r="CE57" s="1443"/>
      <c r="CF57" s="1443"/>
      <c r="CG57" s="1444"/>
      <c r="CH57" s="1442"/>
      <c r="CI57" s="1443"/>
      <c r="CJ57" s="1443"/>
      <c r="CK57" s="1443"/>
      <c r="CL57" s="1443"/>
      <c r="CM57" s="1443"/>
      <c r="CN57" s="1443"/>
      <c r="CO57" s="1443"/>
      <c r="CP57" s="1443"/>
      <c r="CQ57" s="1443"/>
      <c r="CR57" s="1443"/>
      <c r="CS57" s="1444"/>
      <c r="CT57" s="1442"/>
      <c r="CU57" s="1443"/>
      <c r="CV57" s="1443"/>
      <c r="CW57" s="1443"/>
      <c r="CX57" s="1443"/>
      <c r="CY57" s="1443"/>
      <c r="CZ57" s="1443"/>
      <c r="DA57" s="1443"/>
      <c r="DB57" s="1443"/>
      <c r="DC57" s="1443"/>
      <c r="DD57" s="1443"/>
      <c r="DE57" s="1444"/>
      <c r="DF57" s="1442"/>
      <c r="DG57" s="1443"/>
      <c r="DH57" s="1443"/>
      <c r="DI57" s="1443"/>
      <c r="DJ57" s="1443"/>
      <c r="DK57" s="1443"/>
      <c r="DL57" s="1443"/>
      <c r="DM57" s="1443"/>
      <c r="DN57" s="1443"/>
      <c r="DO57" s="1443"/>
      <c r="DP57" s="1443"/>
      <c r="DQ57" s="1444"/>
      <c r="DR57" s="1448">
        <f t="shared" si="8"/>
        <v>0</v>
      </c>
      <c r="DS57" s="1446">
        <f t="shared" si="8"/>
        <v>0</v>
      </c>
      <c r="DT57" s="1446">
        <f t="shared" si="8"/>
        <v>0</v>
      </c>
      <c r="DU57" s="1446">
        <f t="shared" si="8"/>
        <v>0</v>
      </c>
      <c r="DV57" s="1446">
        <f t="shared" si="8"/>
        <v>0</v>
      </c>
      <c r="DW57" s="1446">
        <f t="shared" si="8"/>
        <v>0</v>
      </c>
      <c r="DX57" s="1446">
        <f t="shared" si="8"/>
        <v>0</v>
      </c>
      <c r="DY57" s="1446">
        <f t="shared" si="8"/>
        <v>0</v>
      </c>
      <c r="DZ57" s="1446">
        <f t="shared" si="8"/>
        <v>0</v>
      </c>
      <c r="EA57" s="1446">
        <f t="shared" si="8"/>
        <v>0</v>
      </c>
      <c r="EB57" s="1446">
        <f t="shared" si="8"/>
        <v>0</v>
      </c>
      <c r="EC57" s="1447">
        <f t="shared" si="8"/>
        <v>0</v>
      </c>
    </row>
    <row r="58" spans="1:133">
      <c r="A58" s="1449" t="s">
        <v>751</v>
      </c>
      <c r="B58" s="1442"/>
      <c r="C58" s="1443"/>
      <c r="D58" s="1443"/>
      <c r="E58" s="1443"/>
      <c r="F58" s="1443"/>
      <c r="G58" s="1443"/>
      <c r="H58" s="1443"/>
      <c r="I58" s="1443"/>
      <c r="J58" s="1443"/>
      <c r="K58" s="1443"/>
      <c r="L58" s="1443"/>
      <c r="M58" s="1444"/>
      <c r="N58" s="1442"/>
      <c r="O58" s="1443"/>
      <c r="P58" s="1443"/>
      <c r="Q58" s="1443"/>
      <c r="R58" s="1443"/>
      <c r="S58" s="1443"/>
      <c r="T58" s="1443"/>
      <c r="U58" s="1443"/>
      <c r="V58" s="1443"/>
      <c r="W58" s="1443"/>
      <c r="X58" s="1443"/>
      <c r="Y58" s="1444"/>
      <c r="Z58" s="1442"/>
      <c r="AA58" s="1443"/>
      <c r="AB58" s="1443"/>
      <c r="AC58" s="1443"/>
      <c r="AD58" s="1443"/>
      <c r="AE58" s="1443"/>
      <c r="AF58" s="1443"/>
      <c r="AG58" s="1443"/>
      <c r="AH58" s="1443"/>
      <c r="AI58" s="1443"/>
      <c r="AJ58" s="1443"/>
      <c r="AK58" s="1444"/>
      <c r="AL58" s="1442"/>
      <c r="AM58" s="1443"/>
      <c r="AN58" s="1443"/>
      <c r="AO58" s="1443"/>
      <c r="AP58" s="1443"/>
      <c r="AQ58" s="1443"/>
      <c r="AR58" s="1443"/>
      <c r="AS58" s="1443"/>
      <c r="AT58" s="1443"/>
      <c r="AU58" s="1443"/>
      <c r="AV58" s="1443"/>
      <c r="AW58" s="1444"/>
      <c r="AX58" s="1442"/>
      <c r="AY58" s="1443"/>
      <c r="AZ58" s="1443"/>
      <c r="BA58" s="1443"/>
      <c r="BB58" s="1443"/>
      <c r="BC58" s="1443"/>
      <c r="BD58" s="1443"/>
      <c r="BE58" s="1443"/>
      <c r="BF58" s="1443"/>
      <c r="BG58" s="1443"/>
      <c r="BH58" s="1443"/>
      <c r="BI58" s="1444"/>
      <c r="BJ58" s="1442"/>
      <c r="BK58" s="1443"/>
      <c r="BL58" s="1443"/>
      <c r="BM58" s="1443"/>
      <c r="BN58" s="1443"/>
      <c r="BO58" s="1443"/>
      <c r="BP58" s="1443"/>
      <c r="BQ58" s="1443"/>
      <c r="BR58" s="1443"/>
      <c r="BS58" s="1443"/>
      <c r="BT58" s="1443"/>
      <c r="BU58" s="1444"/>
      <c r="BV58" s="1442"/>
      <c r="BW58" s="1443"/>
      <c r="BX58" s="1443"/>
      <c r="BY58" s="1443"/>
      <c r="BZ58" s="1443"/>
      <c r="CA58" s="1443"/>
      <c r="CB58" s="1443"/>
      <c r="CC58" s="1443"/>
      <c r="CD58" s="1443"/>
      <c r="CE58" s="1443"/>
      <c r="CF58" s="1443"/>
      <c r="CG58" s="1444"/>
      <c r="CH58" s="1442"/>
      <c r="CI58" s="1443"/>
      <c r="CJ58" s="1443"/>
      <c r="CK58" s="1443"/>
      <c r="CL58" s="1443"/>
      <c r="CM58" s="1443"/>
      <c r="CN58" s="1443"/>
      <c r="CO58" s="1443"/>
      <c r="CP58" s="1443"/>
      <c r="CQ58" s="1443"/>
      <c r="CR58" s="1443"/>
      <c r="CS58" s="1444"/>
      <c r="CT58" s="1442"/>
      <c r="CU58" s="1443"/>
      <c r="CV58" s="1443"/>
      <c r="CW58" s="1443"/>
      <c r="CX58" s="1443"/>
      <c r="CY58" s="1443"/>
      <c r="CZ58" s="1443"/>
      <c r="DA58" s="1443"/>
      <c r="DB58" s="1443"/>
      <c r="DC58" s="1443"/>
      <c r="DD58" s="1443"/>
      <c r="DE58" s="1444"/>
      <c r="DF58" s="1442"/>
      <c r="DG58" s="1443"/>
      <c r="DH58" s="1443"/>
      <c r="DI58" s="1443"/>
      <c r="DJ58" s="1443"/>
      <c r="DK58" s="1443"/>
      <c r="DL58" s="1443"/>
      <c r="DM58" s="1443"/>
      <c r="DN58" s="1443"/>
      <c r="DO58" s="1443"/>
      <c r="DP58" s="1443"/>
      <c r="DQ58" s="1444"/>
      <c r="DR58" s="1448">
        <f t="shared" si="8"/>
        <v>0</v>
      </c>
      <c r="DS58" s="1446">
        <f t="shared" si="8"/>
        <v>0</v>
      </c>
      <c r="DT58" s="1446">
        <f t="shared" si="8"/>
        <v>0</v>
      </c>
      <c r="DU58" s="1446">
        <f t="shared" si="8"/>
        <v>0</v>
      </c>
      <c r="DV58" s="1446">
        <f t="shared" si="8"/>
        <v>0</v>
      </c>
      <c r="DW58" s="1446">
        <f t="shared" si="8"/>
        <v>0</v>
      </c>
      <c r="DX58" s="1446">
        <f t="shared" si="8"/>
        <v>0</v>
      </c>
      <c r="DY58" s="1446">
        <f t="shared" si="8"/>
        <v>0</v>
      </c>
      <c r="DZ58" s="1446">
        <f t="shared" si="8"/>
        <v>0</v>
      </c>
      <c r="EA58" s="1446">
        <f t="shared" si="8"/>
        <v>0</v>
      </c>
      <c r="EB58" s="1446">
        <f t="shared" si="8"/>
        <v>0</v>
      </c>
      <c r="EC58" s="1447">
        <f t="shared" si="8"/>
        <v>0</v>
      </c>
    </row>
    <row r="59" spans="1:133">
      <c r="A59" s="1449" t="s">
        <v>753</v>
      </c>
      <c r="B59" s="1442"/>
      <c r="C59" s="1443"/>
      <c r="D59" s="1443"/>
      <c r="E59" s="1443"/>
      <c r="F59" s="1443"/>
      <c r="G59" s="1443"/>
      <c r="H59" s="1443"/>
      <c r="I59" s="1443"/>
      <c r="J59" s="1443"/>
      <c r="K59" s="1443"/>
      <c r="L59" s="1443"/>
      <c r="M59" s="1444"/>
      <c r="N59" s="1442"/>
      <c r="O59" s="1443"/>
      <c r="P59" s="1443"/>
      <c r="Q59" s="1443"/>
      <c r="R59" s="1443"/>
      <c r="S59" s="1443"/>
      <c r="T59" s="1443"/>
      <c r="U59" s="1443"/>
      <c r="V59" s="1443"/>
      <c r="W59" s="1443"/>
      <c r="X59" s="1443"/>
      <c r="Y59" s="1444"/>
      <c r="Z59" s="1442"/>
      <c r="AA59" s="1443"/>
      <c r="AB59" s="1443"/>
      <c r="AC59" s="1443"/>
      <c r="AD59" s="1443"/>
      <c r="AE59" s="1443"/>
      <c r="AF59" s="1443"/>
      <c r="AG59" s="1443"/>
      <c r="AH59" s="1443"/>
      <c r="AI59" s="1443"/>
      <c r="AJ59" s="1443"/>
      <c r="AK59" s="1444"/>
      <c r="AL59" s="1442"/>
      <c r="AM59" s="1443"/>
      <c r="AN59" s="1443"/>
      <c r="AO59" s="1443"/>
      <c r="AP59" s="1443"/>
      <c r="AQ59" s="1443"/>
      <c r="AR59" s="1443"/>
      <c r="AS59" s="1443"/>
      <c r="AT59" s="1443"/>
      <c r="AU59" s="1443"/>
      <c r="AV59" s="1443"/>
      <c r="AW59" s="1444"/>
      <c r="AX59" s="1442"/>
      <c r="AY59" s="1443"/>
      <c r="AZ59" s="1443"/>
      <c r="BA59" s="1443"/>
      <c r="BB59" s="1443"/>
      <c r="BC59" s="1443"/>
      <c r="BD59" s="1443"/>
      <c r="BE59" s="1443"/>
      <c r="BF59" s="1443"/>
      <c r="BG59" s="1443"/>
      <c r="BH59" s="1443"/>
      <c r="BI59" s="1444"/>
      <c r="BJ59" s="1442"/>
      <c r="BK59" s="1443"/>
      <c r="BL59" s="1443"/>
      <c r="BM59" s="1443"/>
      <c r="BN59" s="1443"/>
      <c r="BO59" s="1443"/>
      <c r="BP59" s="1443"/>
      <c r="BQ59" s="1443"/>
      <c r="BR59" s="1443"/>
      <c r="BS59" s="1443"/>
      <c r="BT59" s="1443"/>
      <c r="BU59" s="1444"/>
      <c r="BV59" s="1442"/>
      <c r="BW59" s="1443"/>
      <c r="BX59" s="1443"/>
      <c r="BY59" s="1443"/>
      <c r="BZ59" s="1443"/>
      <c r="CA59" s="1443"/>
      <c r="CB59" s="1443"/>
      <c r="CC59" s="1443"/>
      <c r="CD59" s="1443"/>
      <c r="CE59" s="1443"/>
      <c r="CF59" s="1443"/>
      <c r="CG59" s="1444"/>
      <c r="CH59" s="1442"/>
      <c r="CI59" s="1443"/>
      <c r="CJ59" s="1443"/>
      <c r="CK59" s="1443"/>
      <c r="CL59" s="1443"/>
      <c r="CM59" s="1443"/>
      <c r="CN59" s="1443"/>
      <c r="CO59" s="1443"/>
      <c r="CP59" s="1443"/>
      <c r="CQ59" s="1443"/>
      <c r="CR59" s="1443"/>
      <c r="CS59" s="1444"/>
      <c r="CT59" s="1442"/>
      <c r="CU59" s="1443"/>
      <c r="CV59" s="1443"/>
      <c r="CW59" s="1443"/>
      <c r="CX59" s="1443"/>
      <c r="CY59" s="1443"/>
      <c r="CZ59" s="1443"/>
      <c r="DA59" s="1443"/>
      <c r="DB59" s="1443"/>
      <c r="DC59" s="1443"/>
      <c r="DD59" s="1443"/>
      <c r="DE59" s="1444"/>
      <c r="DF59" s="1442"/>
      <c r="DG59" s="1443"/>
      <c r="DH59" s="1443"/>
      <c r="DI59" s="1443"/>
      <c r="DJ59" s="1443"/>
      <c r="DK59" s="1443"/>
      <c r="DL59" s="1443"/>
      <c r="DM59" s="1443"/>
      <c r="DN59" s="1443"/>
      <c r="DO59" s="1443"/>
      <c r="DP59" s="1443"/>
      <c r="DQ59" s="1444"/>
      <c r="DR59" s="1448">
        <f t="shared" si="8"/>
        <v>0</v>
      </c>
      <c r="DS59" s="1446">
        <f t="shared" si="8"/>
        <v>0</v>
      </c>
      <c r="DT59" s="1446">
        <f t="shared" si="8"/>
        <v>0</v>
      </c>
      <c r="DU59" s="1446">
        <f t="shared" si="8"/>
        <v>0</v>
      </c>
      <c r="DV59" s="1446">
        <f t="shared" si="8"/>
        <v>0</v>
      </c>
      <c r="DW59" s="1446">
        <f t="shared" si="8"/>
        <v>0</v>
      </c>
      <c r="DX59" s="1446">
        <f t="shared" si="8"/>
        <v>0</v>
      </c>
      <c r="DY59" s="1446">
        <f t="shared" si="8"/>
        <v>0</v>
      </c>
      <c r="DZ59" s="1446">
        <f t="shared" si="8"/>
        <v>0</v>
      </c>
      <c r="EA59" s="1446">
        <f t="shared" si="8"/>
        <v>0</v>
      </c>
      <c r="EB59" s="1446">
        <f t="shared" si="8"/>
        <v>0</v>
      </c>
      <c r="EC59" s="1447">
        <f t="shared" si="8"/>
        <v>0</v>
      </c>
    </row>
    <row r="60" spans="1:133">
      <c r="A60" s="1449" t="s">
        <v>754</v>
      </c>
      <c r="B60" s="1442"/>
      <c r="C60" s="1443"/>
      <c r="D60" s="1443"/>
      <c r="E60" s="1443"/>
      <c r="F60" s="1443"/>
      <c r="G60" s="1443"/>
      <c r="H60" s="1443"/>
      <c r="I60" s="1443"/>
      <c r="J60" s="1443"/>
      <c r="K60" s="1443"/>
      <c r="L60" s="1443"/>
      <c r="M60" s="1444"/>
      <c r="N60" s="1442"/>
      <c r="O60" s="1443"/>
      <c r="P60" s="1443"/>
      <c r="Q60" s="1443"/>
      <c r="R60" s="1443"/>
      <c r="S60" s="1443"/>
      <c r="T60" s="1443"/>
      <c r="U60" s="1443"/>
      <c r="V60" s="1443"/>
      <c r="W60" s="1443"/>
      <c r="X60" s="1443"/>
      <c r="Y60" s="1444"/>
      <c r="Z60" s="1442"/>
      <c r="AA60" s="1443"/>
      <c r="AB60" s="1443"/>
      <c r="AC60" s="1443"/>
      <c r="AD60" s="1443"/>
      <c r="AE60" s="1443"/>
      <c r="AF60" s="1443"/>
      <c r="AG60" s="1443"/>
      <c r="AH60" s="1443"/>
      <c r="AI60" s="1443"/>
      <c r="AJ60" s="1443"/>
      <c r="AK60" s="1444"/>
      <c r="AL60" s="1442"/>
      <c r="AM60" s="1443"/>
      <c r="AN60" s="1443"/>
      <c r="AO60" s="1443"/>
      <c r="AP60" s="1443"/>
      <c r="AQ60" s="1443"/>
      <c r="AR60" s="1443"/>
      <c r="AS60" s="1443"/>
      <c r="AT60" s="1443"/>
      <c r="AU60" s="1443"/>
      <c r="AV60" s="1443"/>
      <c r="AW60" s="1444"/>
      <c r="AX60" s="1442"/>
      <c r="AY60" s="1443"/>
      <c r="AZ60" s="1443"/>
      <c r="BA60" s="1443"/>
      <c r="BB60" s="1443"/>
      <c r="BC60" s="1443"/>
      <c r="BD60" s="1443"/>
      <c r="BE60" s="1443"/>
      <c r="BF60" s="1443"/>
      <c r="BG60" s="1443"/>
      <c r="BH60" s="1443"/>
      <c r="BI60" s="1444"/>
      <c r="BJ60" s="1442"/>
      <c r="BK60" s="1443"/>
      <c r="BL60" s="1443"/>
      <c r="BM60" s="1443"/>
      <c r="BN60" s="1443"/>
      <c r="BO60" s="1443"/>
      <c r="BP60" s="1443"/>
      <c r="BQ60" s="1443"/>
      <c r="BR60" s="1443"/>
      <c r="BS60" s="1443"/>
      <c r="BT60" s="1443"/>
      <c r="BU60" s="1444"/>
      <c r="BV60" s="1442"/>
      <c r="BW60" s="1443"/>
      <c r="BX60" s="1443"/>
      <c r="BY60" s="1443"/>
      <c r="BZ60" s="1443"/>
      <c r="CA60" s="1443"/>
      <c r="CB60" s="1443"/>
      <c r="CC60" s="1443"/>
      <c r="CD60" s="1443"/>
      <c r="CE60" s="1443"/>
      <c r="CF60" s="1443"/>
      <c r="CG60" s="1444"/>
      <c r="CH60" s="1442"/>
      <c r="CI60" s="1443"/>
      <c r="CJ60" s="1443"/>
      <c r="CK60" s="1443"/>
      <c r="CL60" s="1443"/>
      <c r="CM60" s="1443"/>
      <c r="CN60" s="1443"/>
      <c r="CO60" s="1443"/>
      <c r="CP60" s="1443"/>
      <c r="CQ60" s="1443"/>
      <c r="CR60" s="1443"/>
      <c r="CS60" s="1444"/>
      <c r="CT60" s="1442"/>
      <c r="CU60" s="1443"/>
      <c r="CV60" s="1443"/>
      <c r="CW60" s="1443"/>
      <c r="CX60" s="1443"/>
      <c r="CY60" s="1443"/>
      <c r="CZ60" s="1443"/>
      <c r="DA60" s="1443"/>
      <c r="DB60" s="1443"/>
      <c r="DC60" s="1443"/>
      <c r="DD60" s="1443"/>
      <c r="DE60" s="1444"/>
      <c r="DF60" s="1442"/>
      <c r="DG60" s="1443"/>
      <c r="DH60" s="1443"/>
      <c r="DI60" s="1443"/>
      <c r="DJ60" s="1443"/>
      <c r="DK60" s="1443"/>
      <c r="DL60" s="1443"/>
      <c r="DM60" s="1443"/>
      <c r="DN60" s="1443"/>
      <c r="DO60" s="1443"/>
      <c r="DP60" s="1443"/>
      <c r="DQ60" s="1444"/>
      <c r="DR60" s="1448">
        <f t="shared" si="8"/>
        <v>0</v>
      </c>
      <c r="DS60" s="1446">
        <f t="shared" si="8"/>
        <v>0</v>
      </c>
      <c r="DT60" s="1446">
        <f t="shared" si="8"/>
        <v>0</v>
      </c>
      <c r="DU60" s="1446">
        <f t="shared" si="8"/>
        <v>0</v>
      </c>
      <c r="DV60" s="1446">
        <f t="shared" si="8"/>
        <v>0</v>
      </c>
      <c r="DW60" s="1446">
        <f t="shared" si="8"/>
        <v>0</v>
      </c>
      <c r="DX60" s="1446">
        <f t="shared" si="8"/>
        <v>0</v>
      </c>
      <c r="DY60" s="1446">
        <f t="shared" si="8"/>
        <v>0</v>
      </c>
      <c r="DZ60" s="1446">
        <f t="shared" si="8"/>
        <v>0</v>
      </c>
      <c r="EA60" s="1446">
        <f t="shared" si="8"/>
        <v>0</v>
      </c>
      <c r="EB60" s="1446">
        <f t="shared" si="8"/>
        <v>0</v>
      </c>
      <c r="EC60" s="1447">
        <f t="shared" si="8"/>
        <v>0</v>
      </c>
    </row>
    <row r="61" spans="1:133">
      <c r="A61" s="1437" t="s">
        <v>762</v>
      </c>
      <c r="B61" s="1438"/>
      <c r="C61" s="1439"/>
      <c r="D61" s="1439"/>
      <c r="E61" s="1439"/>
      <c r="F61" s="1439"/>
      <c r="G61" s="1439"/>
      <c r="H61" s="1439"/>
      <c r="I61" s="1439"/>
      <c r="J61" s="1439"/>
      <c r="K61" s="1439"/>
      <c r="L61" s="1439"/>
      <c r="M61" s="1439"/>
      <c r="N61" s="1439"/>
      <c r="O61" s="1439"/>
      <c r="P61" s="1439"/>
      <c r="Q61" s="1439"/>
      <c r="R61" s="1439"/>
      <c r="S61" s="1439"/>
      <c r="T61" s="1439"/>
      <c r="U61" s="1439"/>
      <c r="V61" s="1439"/>
      <c r="W61" s="1439"/>
      <c r="X61" s="1439"/>
      <c r="Y61" s="1439"/>
      <c r="Z61" s="1439"/>
      <c r="AA61" s="1439"/>
      <c r="AB61" s="1439"/>
      <c r="AC61" s="1439"/>
      <c r="AD61" s="1439"/>
      <c r="AE61" s="1439"/>
      <c r="AF61" s="1439"/>
      <c r="AG61" s="1439"/>
      <c r="AH61" s="1439"/>
      <c r="AI61" s="1439"/>
      <c r="AJ61" s="1439"/>
      <c r="AK61" s="1439"/>
      <c r="AL61" s="1439"/>
      <c r="AM61" s="1439"/>
      <c r="AN61" s="1439"/>
      <c r="AO61" s="1439"/>
      <c r="AP61" s="1439"/>
      <c r="AQ61" s="1439"/>
      <c r="AR61" s="1439"/>
      <c r="AS61" s="1439"/>
      <c r="AT61" s="1439"/>
      <c r="AU61" s="1439"/>
      <c r="AV61" s="1439"/>
      <c r="AW61" s="1439"/>
      <c r="AX61" s="1439"/>
      <c r="AY61" s="1439"/>
      <c r="AZ61" s="1439"/>
      <c r="BA61" s="1439"/>
      <c r="BB61" s="1439"/>
      <c r="BC61" s="1439"/>
      <c r="BD61" s="1439"/>
      <c r="BE61" s="1439"/>
      <c r="BF61" s="1439"/>
      <c r="BG61" s="1439"/>
      <c r="BH61" s="1439"/>
      <c r="BI61" s="1439"/>
      <c r="BJ61" s="1439"/>
      <c r="BK61" s="1439"/>
      <c r="BL61" s="1439"/>
      <c r="BM61" s="1439"/>
      <c r="BN61" s="1439"/>
      <c r="BO61" s="1439"/>
      <c r="BP61" s="1439"/>
      <c r="BQ61" s="1439"/>
      <c r="BR61" s="1439"/>
      <c r="BS61" s="1439"/>
      <c r="BT61" s="1439"/>
      <c r="BU61" s="1439"/>
      <c r="BV61" s="1439"/>
      <c r="BW61" s="1439"/>
      <c r="BX61" s="1439"/>
      <c r="BY61" s="1439"/>
      <c r="BZ61" s="1439"/>
      <c r="CA61" s="1439"/>
      <c r="CB61" s="1439"/>
      <c r="CC61" s="1439"/>
      <c r="CD61" s="1439"/>
      <c r="CE61" s="1439"/>
      <c r="CF61" s="1439"/>
      <c r="CG61" s="1439"/>
      <c r="CH61" s="1439"/>
      <c r="CI61" s="1439"/>
      <c r="CJ61" s="1439"/>
      <c r="CK61" s="1439"/>
      <c r="CL61" s="1439"/>
      <c r="CM61" s="1439"/>
      <c r="CN61" s="1439"/>
      <c r="CO61" s="1439"/>
      <c r="CP61" s="1439"/>
      <c r="CQ61" s="1439"/>
      <c r="CR61" s="1439"/>
      <c r="CS61" s="1439"/>
      <c r="CT61" s="1439"/>
      <c r="CU61" s="1439"/>
      <c r="CV61" s="1439"/>
      <c r="CW61" s="1439"/>
      <c r="CX61" s="1439"/>
      <c r="CY61" s="1439"/>
      <c r="CZ61" s="1439"/>
      <c r="DA61" s="1439"/>
      <c r="DB61" s="1439"/>
      <c r="DC61" s="1439"/>
      <c r="DD61" s="1439"/>
      <c r="DE61" s="1439"/>
      <c r="DF61" s="1439"/>
      <c r="DG61" s="1439"/>
      <c r="DH61" s="1439"/>
      <c r="DI61" s="1439"/>
      <c r="DJ61" s="1439"/>
      <c r="DK61" s="1439"/>
      <c r="DL61" s="1439"/>
      <c r="DM61" s="1439"/>
      <c r="DN61" s="1439"/>
      <c r="DO61" s="1439"/>
      <c r="DP61" s="1439"/>
      <c r="DQ61" s="1439"/>
      <c r="DR61" s="1439"/>
      <c r="DS61" s="1439"/>
      <c r="DT61" s="1439"/>
      <c r="DU61" s="1439"/>
      <c r="DV61" s="1439"/>
      <c r="DW61" s="1439"/>
      <c r="DX61" s="1439"/>
      <c r="DY61" s="1439"/>
      <c r="DZ61" s="1439"/>
      <c r="EA61" s="1439"/>
      <c r="EB61" s="1439"/>
      <c r="EC61" s="1440"/>
    </row>
    <row r="62" spans="1:133">
      <c r="A62" s="1449" t="s">
        <v>749</v>
      </c>
      <c r="B62" s="1442"/>
      <c r="C62" s="1443"/>
      <c r="D62" s="1443"/>
      <c r="E62" s="1443"/>
      <c r="F62" s="1443"/>
      <c r="G62" s="1443"/>
      <c r="H62" s="1443"/>
      <c r="I62" s="1443"/>
      <c r="J62" s="1443"/>
      <c r="K62" s="1443"/>
      <c r="L62" s="1443"/>
      <c r="M62" s="1444"/>
      <c r="N62" s="1442"/>
      <c r="O62" s="1443"/>
      <c r="P62" s="1443"/>
      <c r="Q62" s="1443"/>
      <c r="R62" s="1443"/>
      <c r="S62" s="1443"/>
      <c r="T62" s="1443"/>
      <c r="U62" s="1443"/>
      <c r="V62" s="1443"/>
      <c r="W62" s="1443"/>
      <c r="X62" s="1443"/>
      <c r="Y62" s="1444"/>
      <c r="Z62" s="1442"/>
      <c r="AA62" s="1443"/>
      <c r="AB62" s="1443"/>
      <c r="AC62" s="1443"/>
      <c r="AD62" s="1443"/>
      <c r="AE62" s="1443"/>
      <c r="AF62" s="1443"/>
      <c r="AG62" s="1443"/>
      <c r="AH62" s="1443"/>
      <c r="AI62" s="1443"/>
      <c r="AJ62" s="1443"/>
      <c r="AK62" s="1444"/>
      <c r="AL62" s="1442"/>
      <c r="AM62" s="1443"/>
      <c r="AN62" s="1443"/>
      <c r="AO62" s="1443"/>
      <c r="AP62" s="1443"/>
      <c r="AQ62" s="1443"/>
      <c r="AR62" s="1443"/>
      <c r="AS62" s="1443"/>
      <c r="AT62" s="1443"/>
      <c r="AU62" s="1443"/>
      <c r="AV62" s="1443"/>
      <c r="AW62" s="1444"/>
      <c r="AX62" s="1442"/>
      <c r="AY62" s="1443"/>
      <c r="AZ62" s="1443"/>
      <c r="BA62" s="1443"/>
      <c r="BB62" s="1443"/>
      <c r="BC62" s="1443"/>
      <c r="BD62" s="1443"/>
      <c r="BE62" s="1443"/>
      <c r="BF62" s="1443"/>
      <c r="BG62" s="1443"/>
      <c r="BH62" s="1443"/>
      <c r="BI62" s="1444"/>
      <c r="BJ62" s="1442"/>
      <c r="BK62" s="1443"/>
      <c r="BL62" s="1443"/>
      <c r="BM62" s="1443"/>
      <c r="BN62" s="1443"/>
      <c r="BO62" s="1443"/>
      <c r="BP62" s="1443"/>
      <c r="BQ62" s="1443"/>
      <c r="BR62" s="1443"/>
      <c r="BS62" s="1443"/>
      <c r="BT62" s="1443"/>
      <c r="BU62" s="1444"/>
      <c r="BV62" s="1442"/>
      <c r="BW62" s="1443"/>
      <c r="BX62" s="1443"/>
      <c r="BY62" s="1443"/>
      <c r="BZ62" s="1443"/>
      <c r="CA62" s="1443"/>
      <c r="CB62" s="1443"/>
      <c r="CC62" s="1443"/>
      <c r="CD62" s="1443"/>
      <c r="CE62" s="1443"/>
      <c r="CF62" s="1443"/>
      <c r="CG62" s="1444"/>
      <c r="CH62" s="1442"/>
      <c r="CI62" s="1443"/>
      <c r="CJ62" s="1443"/>
      <c r="CK62" s="1443"/>
      <c r="CL62" s="1443"/>
      <c r="CM62" s="1443"/>
      <c r="CN62" s="1443"/>
      <c r="CO62" s="1443"/>
      <c r="CP62" s="1443"/>
      <c r="CQ62" s="1443"/>
      <c r="CR62" s="1443"/>
      <c r="CS62" s="1444"/>
      <c r="CT62" s="1442"/>
      <c r="CU62" s="1443"/>
      <c r="CV62" s="1443"/>
      <c r="CW62" s="1443"/>
      <c r="CX62" s="1443"/>
      <c r="CY62" s="1443"/>
      <c r="CZ62" s="1443"/>
      <c r="DA62" s="1443"/>
      <c r="DB62" s="1443"/>
      <c r="DC62" s="1443"/>
      <c r="DD62" s="1443"/>
      <c r="DE62" s="1444"/>
      <c r="DF62" s="1442"/>
      <c r="DG62" s="1443"/>
      <c r="DH62" s="1443"/>
      <c r="DI62" s="1443"/>
      <c r="DJ62" s="1443"/>
      <c r="DK62" s="1443"/>
      <c r="DL62" s="1443"/>
      <c r="DM62" s="1443"/>
      <c r="DN62" s="1443"/>
      <c r="DO62" s="1443"/>
      <c r="DP62" s="1443"/>
      <c r="DQ62" s="1444"/>
      <c r="DR62" s="1448">
        <f t="shared" ref="DR62:EC66" si="9">SUM(B62,N62,Z62,AL62,AX62,BJ62,BV62,CH62,CT62,DF62)</f>
        <v>0</v>
      </c>
      <c r="DS62" s="1446">
        <f t="shared" si="9"/>
        <v>0</v>
      </c>
      <c r="DT62" s="1446">
        <f t="shared" si="9"/>
        <v>0</v>
      </c>
      <c r="DU62" s="1446">
        <f t="shared" si="9"/>
        <v>0</v>
      </c>
      <c r="DV62" s="1446">
        <f t="shared" si="9"/>
        <v>0</v>
      </c>
      <c r="DW62" s="1446">
        <f t="shared" si="9"/>
        <v>0</v>
      </c>
      <c r="DX62" s="1446">
        <f t="shared" si="9"/>
        <v>0</v>
      </c>
      <c r="DY62" s="1446">
        <f t="shared" si="9"/>
        <v>0</v>
      </c>
      <c r="DZ62" s="1446">
        <f t="shared" si="9"/>
        <v>0</v>
      </c>
      <c r="EA62" s="1446">
        <f t="shared" si="9"/>
        <v>0</v>
      </c>
      <c r="EB62" s="1446">
        <f t="shared" si="9"/>
        <v>0</v>
      </c>
      <c r="EC62" s="1447">
        <f t="shared" si="9"/>
        <v>0</v>
      </c>
    </row>
    <row r="63" spans="1:133">
      <c r="A63" s="1449" t="s">
        <v>750</v>
      </c>
      <c r="B63" s="1442"/>
      <c r="C63" s="1443"/>
      <c r="D63" s="1443"/>
      <c r="E63" s="1443"/>
      <c r="F63" s="1443"/>
      <c r="G63" s="1443"/>
      <c r="H63" s="1443"/>
      <c r="I63" s="1443"/>
      <c r="J63" s="1443"/>
      <c r="K63" s="1443"/>
      <c r="L63" s="1443"/>
      <c r="M63" s="1444"/>
      <c r="N63" s="1442"/>
      <c r="O63" s="1443"/>
      <c r="P63" s="1443"/>
      <c r="Q63" s="1443"/>
      <c r="R63" s="1443"/>
      <c r="S63" s="1443"/>
      <c r="T63" s="1443"/>
      <c r="U63" s="1443"/>
      <c r="V63" s="1443"/>
      <c r="W63" s="1443"/>
      <c r="X63" s="1443"/>
      <c r="Y63" s="1444"/>
      <c r="Z63" s="1442"/>
      <c r="AA63" s="1443"/>
      <c r="AB63" s="1443"/>
      <c r="AC63" s="1443"/>
      <c r="AD63" s="1443"/>
      <c r="AE63" s="1443"/>
      <c r="AF63" s="1443"/>
      <c r="AG63" s="1443"/>
      <c r="AH63" s="1443"/>
      <c r="AI63" s="1443"/>
      <c r="AJ63" s="1443"/>
      <c r="AK63" s="1444"/>
      <c r="AL63" s="1442"/>
      <c r="AM63" s="1443"/>
      <c r="AN63" s="1443"/>
      <c r="AO63" s="1443"/>
      <c r="AP63" s="1443"/>
      <c r="AQ63" s="1443"/>
      <c r="AR63" s="1443"/>
      <c r="AS63" s="1443"/>
      <c r="AT63" s="1443"/>
      <c r="AU63" s="1443"/>
      <c r="AV63" s="1443"/>
      <c r="AW63" s="1444"/>
      <c r="AX63" s="1442"/>
      <c r="AY63" s="1443"/>
      <c r="AZ63" s="1443"/>
      <c r="BA63" s="1443"/>
      <c r="BB63" s="1443"/>
      <c r="BC63" s="1443"/>
      <c r="BD63" s="1443"/>
      <c r="BE63" s="1443"/>
      <c r="BF63" s="1443"/>
      <c r="BG63" s="1443"/>
      <c r="BH63" s="1443"/>
      <c r="BI63" s="1444"/>
      <c r="BJ63" s="1442"/>
      <c r="BK63" s="1443"/>
      <c r="BL63" s="1443"/>
      <c r="BM63" s="1443"/>
      <c r="BN63" s="1443"/>
      <c r="BO63" s="1443"/>
      <c r="BP63" s="1443"/>
      <c r="BQ63" s="1443"/>
      <c r="BR63" s="1443"/>
      <c r="BS63" s="1443"/>
      <c r="BT63" s="1443"/>
      <c r="BU63" s="1444"/>
      <c r="BV63" s="1442"/>
      <c r="BW63" s="1443"/>
      <c r="BX63" s="1443"/>
      <c r="BY63" s="1443"/>
      <c r="BZ63" s="1443"/>
      <c r="CA63" s="1443"/>
      <c r="CB63" s="1443"/>
      <c r="CC63" s="1443"/>
      <c r="CD63" s="1443"/>
      <c r="CE63" s="1443"/>
      <c r="CF63" s="1443"/>
      <c r="CG63" s="1444"/>
      <c r="CH63" s="1442"/>
      <c r="CI63" s="1443"/>
      <c r="CJ63" s="1443"/>
      <c r="CK63" s="1443"/>
      <c r="CL63" s="1443"/>
      <c r="CM63" s="1443"/>
      <c r="CN63" s="1443"/>
      <c r="CO63" s="1443"/>
      <c r="CP63" s="1443"/>
      <c r="CQ63" s="1443"/>
      <c r="CR63" s="1443"/>
      <c r="CS63" s="1444"/>
      <c r="CT63" s="1442"/>
      <c r="CU63" s="1443"/>
      <c r="CV63" s="1443"/>
      <c r="CW63" s="1443"/>
      <c r="CX63" s="1443"/>
      <c r="CY63" s="1443"/>
      <c r="CZ63" s="1443"/>
      <c r="DA63" s="1443"/>
      <c r="DB63" s="1443"/>
      <c r="DC63" s="1443"/>
      <c r="DD63" s="1443"/>
      <c r="DE63" s="1444"/>
      <c r="DF63" s="1442"/>
      <c r="DG63" s="1443"/>
      <c r="DH63" s="1443"/>
      <c r="DI63" s="1443"/>
      <c r="DJ63" s="1443"/>
      <c r="DK63" s="1443"/>
      <c r="DL63" s="1443"/>
      <c r="DM63" s="1443"/>
      <c r="DN63" s="1443"/>
      <c r="DO63" s="1443"/>
      <c r="DP63" s="1443"/>
      <c r="DQ63" s="1444"/>
      <c r="DR63" s="1448">
        <f t="shared" si="9"/>
        <v>0</v>
      </c>
      <c r="DS63" s="1446">
        <f t="shared" si="9"/>
        <v>0</v>
      </c>
      <c r="DT63" s="1446">
        <f t="shared" si="9"/>
        <v>0</v>
      </c>
      <c r="DU63" s="1446">
        <f t="shared" si="9"/>
        <v>0</v>
      </c>
      <c r="DV63" s="1446">
        <f t="shared" si="9"/>
        <v>0</v>
      </c>
      <c r="DW63" s="1446">
        <f t="shared" si="9"/>
        <v>0</v>
      </c>
      <c r="DX63" s="1446">
        <f t="shared" si="9"/>
        <v>0</v>
      </c>
      <c r="DY63" s="1446">
        <f t="shared" si="9"/>
        <v>0</v>
      </c>
      <c r="DZ63" s="1446">
        <f t="shared" si="9"/>
        <v>0</v>
      </c>
      <c r="EA63" s="1446">
        <f t="shared" si="9"/>
        <v>0</v>
      </c>
      <c r="EB63" s="1446">
        <f t="shared" si="9"/>
        <v>0</v>
      </c>
      <c r="EC63" s="1447">
        <f t="shared" si="9"/>
        <v>0</v>
      </c>
    </row>
    <row r="64" spans="1:133">
      <c r="A64" s="1449" t="s">
        <v>751</v>
      </c>
      <c r="B64" s="1442"/>
      <c r="C64" s="1443"/>
      <c r="D64" s="1443"/>
      <c r="E64" s="1443"/>
      <c r="F64" s="1443"/>
      <c r="G64" s="1443"/>
      <c r="H64" s="1443"/>
      <c r="I64" s="1443"/>
      <c r="J64" s="1443"/>
      <c r="K64" s="1443"/>
      <c r="L64" s="1443"/>
      <c r="M64" s="1444"/>
      <c r="N64" s="1442"/>
      <c r="O64" s="1443"/>
      <c r="P64" s="1443"/>
      <c r="Q64" s="1443"/>
      <c r="R64" s="1443"/>
      <c r="S64" s="1443"/>
      <c r="T64" s="1443"/>
      <c r="U64" s="1443"/>
      <c r="V64" s="1443"/>
      <c r="W64" s="1443"/>
      <c r="X64" s="1443"/>
      <c r="Y64" s="1444"/>
      <c r="Z64" s="1442"/>
      <c r="AA64" s="1443"/>
      <c r="AB64" s="1443"/>
      <c r="AC64" s="1443"/>
      <c r="AD64" s="1443"/>
      <c r="AE64" s="1443"/>
      <c r="AF64" s="1443"/>
      <c r="AG64" s="1443"/>
      <c r="AH64" s="1443"/>
      <c r="AI64" s="1443"/>
      <c r="AJ64" s="1443"/>
      <c r="AK64" s="1444"/>
      <c r="AL64" s="1442"/>
      <c r="AM64" s="1443"/>
      <c r="AN64" s="1443"/>
      <c r="AO64" s="1443"/>
      <c r="AP64" s="1443"/>
      <c r="AQ64" s="1443"/>
      <c r="AR64" s="1443"/>
      <c r="AS64" s="1443"/>
      <c r="AT64" s="1443"/>
      <c r="AU64" s="1443"/>
      <c r="AV64" s="1443"/>
      <c r="AW64" s="1444"/>
      <c r="AX64" s="1442"/>
      <c r="AY64" s="1443"/>
      <c r="AZ64" s="1443"/>
      <c r="BA64" s="1443"/>
      <c r="BB64" s="1443"/>
      <c r="BC64" s="1443"/>
      <c r="BD64" s="1443"/>
      <c r="BE64" s="1443"/>
      <c r="BF64" s="1443"/>
      <c r="BG64" s="1443"/>
      <c r="BH64" s="1443"/>
      <c r="BI64" s="1444"/>
      <c r="BJ64" s="1442"/>
      <c r="BK64" s="1443"/>
      <c r="BL64" s="1443"/>
      <c r="BM64" s="1443"/>
      <c r="BN64" s="1443"/>
      <c r="BO64" s="1443"/>
      <c r="BP64" s="1443"/>
      <c r="BQ64" s="1443"/>
      <c r="BR64" s="1443"/>
      <c r="BS64" s="1443"/>
      <c r="BT64" s="1443"/>
      <c r="BU64" s="1444"/>
      <c r="BV64" s="1442"/>
      <c r="BW64" s="1443"/>
      <c r="BX64" s="1443"/>
      <c r="BY64" s="1443"/>
      <c r="BZ64" s="1443"/>
      <c r="CA64" s="1443"/>
      <c r="CB64" s="1443"/>
      <c r="CC64" s="1443"/>
      <c r="CD64" s="1443"/>
      <c r="CE64" s="1443"/>
      <c r="CF64" s="1443"/>
      <c r="CG64" s="1444"/>
      <c r="CH64" s="1442"/>
      <c r="CI64" s="1443"/>
      <c r="CJ64" s="1443"/>
      <c r="CK64" s="1443"/>
      <c r="CL64" s="1443"/>
      <c r="CM64" s="1443"/>
      <c r="CN64" s="1443"/>
      <c r="CO64" s="1443"/>
      <c r="CP64" s="1443"/>
      <c r="CQ64" s="1443"/>
      <c r="CR64" s="1443"/>
      <c r="CS64" s="1444"/>
      <c r="CT64" s="1442"/>
      <c r="CU64" s="1443"/>
      <c r="CV64" s="1443"/>
      <c r="CW64" s="1443"/>
      <c r="CX64" s="1443"/>
      <c r="CY64" s="1443"/>
      <c r="CZ64" s="1443"/>
      <c r="DA64" s="1443"/>
      <c r="DB64" s="1443"/>
      <c r="DC64" s="1443"/>
      <c r="DD64" s="1443"/>
      <c r="DE64" s="1444"/>
      <c r="DF64" s="1442"/>
      <c r="DG64" s="1443"/>
      <c r="DH64" s="1443"/>
      <c r="DI64" s="1443"/>
      <c r="DJ64" s="1443"/>
      <c r="DK64" s="1443"/>
      <c r="DL64" s="1443"/>
      <c r="DM64" s="1443"/>
      <c r="DN64" s="1443"/>
      <c r="DO64" s="1443"/>
      <c r="DP64" s="1443"/>
      <c r="DQ64" s="1444"/>
      <c r="DR64" s="1448">
        <f t="shared" si="9"/>
        <v>0</v>
      </c>
      <c r="DS64" s="1446">
        <f t="shared" si="9"/>
        <v>0</v>
      </c>
      <c r="DT64" s="1446">
        <f t="shared" si="9"/>
        <v>0</v>
      </c>
      <c r="DU64" s="1446">
        <f t="shared" si="9"/>
        <v>0</v>
      </c>
      <c r="DV64" s="1446">
        <f t="shared" si="9"/>
        <v>0</v>
      </c>
      <c r="DW64" s="1446">
        <f t="shared" si="9"/>
        <v>0</v>
      </c>
      <c r="DX64" s="1446">
        <f t="shared" si="9"/>
        <v>0</v>
      </c>
      <c r="DY64" s="1446">
        <f t="shared" si="9"/>
        <v>0</v>
      </c>
      <c r="DZ64" s="1446">
        <f t="shared" si="9"/>
        <v>0</v>
      </c>
      <c r="EA64" s="1446">
        <f t="shared" si="9"/>
        <v>0</v>
      </c>
      <c r="EB64" s="1446">
        <f t="shared" si="9"/>
        <v>0</v>
      </c>
      <c r="EC64" s="1447">
        <f t="shared" si="9"/>
        <v>0</v>
      </c>
    </row>
    <row r="65" spans="1:133">
      <c r="A65" s="1449" t="s">
        <v>753</v>
      </c>
      <c r="B65" s="1442"/>
      <c r="C65" s="1443"/>
      <c r="D65" s="1443"/>
      <c r="E65" s="1443"/>
      <c r="F65" s="1443"/>
      <c r="G65" s="1443"/>
      <c r="H65" s="1443"/>
      <c r="I65" s="1443"/>
      <c r="J65" s="1443"/>
      <c r="K65" s="1443"/>
      <c r="L65" s="1443"/>
      <c r="M65" s="1444"/>
      <c r="N65" s="1442"/>
      <c r="O65" s="1443"/>
      <c r="P65" s="1443"/>
      <c r="Q65" s="1443"/>
      <c r="R65" s="1443"/>
      <c r="S65" s="1443"/>
      <c r="T65" s="1443"/>
      <c r="U65" s="1443"/>
      <c r="V65" s="1443"/>
      <c r="W65" s="1443"/>
      <c r="X65" s="1443"/>
      <c r="Y65" s="1444"/>
      <c r="Z65" s="1442"/>
      <c r="AA65" s="1443"/>
      <c r="AB65" s="1443"/>
      <c r="AC65" s="1443"/>
      <c r="AD65" s="1443"/>
      <c r="AE65" s="1443"/>
      <c r="AF65" s="1443"/>
      <c r="AG65" s="1443"/>
      <c r="AH65" s="1443"/>
      <c r="AI65" s="1443"/>
      <c r="AJ65" s="1443"/>
      <c r="AK65" s="1444"/>
      <c r="AL65" s="1442"/>
      <c r="AM65" s="1443"/>
      <c r="AN65" s="1443"/>
      <c r="AO65" s="1443"/>
      <c r="AP65" s="1443"/>
      <c r="AQ65" s="1443"/>
      <c r="AR65" s="1443"/>
      <c r="AS65" s="1443"/>
      <c r="AT65" s="1443"/>
      <c r="AU65" s="1443"/>
      <c r="AV65" s="1443"/>
      <c r="AW65" s="1444"/>
      <c r="AX65" s="1442"/>
      <c r="AY65" s="1443"/>
      <c r="AZ65" s="1443"/>
      <c r="BA65" s="1443"/>
      <c r="BB65" s="1443"/>
      <c r="BC65" s="1443"/>
      <c r="BD65" s="1443"/>
      <c r="BE65" s="1443"/>
      <c r="BF65" s="1443"/>
      <c r="BG65" s="1443"/>
      <c r="BH65" s="1443"/>
      <c r="BI65" s="1444"/>
      <c r="BJ65" s="1442"/>
      <c r="BK65" s="1443"/>
      <c r="BL65" s="1443"/>
      <c r="BM65" s="1443"/>
      <c r="BN65" s="1443"/>
      <c r="BO65" s="1443"/>
      <c r="BP65" s="1443"/>
      <c r="BQ65" s="1443"/>
      <c r="BR65" s="1443"/>
      <c r="BS65" s="1443"/>
      <c r="BT65" s="1443"/>
      <c r="BU65" s="1444"/>
      <c r="BV65" s="1442"/>
      <c r="BW65" s="1443"/>
      <c r="BX65" s="1443"/>
      <c r="BY65" s="1443"/>
      <c r="BZ65" s="1443"/>
      <c r="CA65" s="1443"/>
      <c r="CB65" s="1443"/>
      <c r="CC65" s="1443"/>
      <c r="CD65" s="1443"/>
      <c r="CE65" s="1443"/>
      <c r="CF65" s="1443"/>
      <c r="CG65" s="1444"/>
      <c r="CH65" s="1442"/>
      <c r="CI65" s="1443"/>
      <c r="CJ65" s="1443"/>
      <c r="CK65" s="1443"/>
      <c r="CL65" s="1443"/>
      <c r="CM65" s="1443"/>
      <c r="CN65" s="1443"/>
      <c r="CO65" s="1443"/>
      <c r="CP65" s="1443"/>
      <c r="CQ65" s="1443"/>
      <c r="CR65" s="1443"/>
      <c r="CS65" s="1444"/>
      <c r="CT65" s="1442"/>
      <c r="CU65" s="1443"/>
      <c r="CV65" s="1443"/>
      <c r="CW65" s="1443"/>
      <c r="CX65" s="1443"/>
      <c r="CY65" s="1443"/>
      <c r="CZ65" s="1443"/>
      <c r="DA65" s="1443"/>
      <c r="DB65" s="1443"/>
      <c r="DC65" s="1443"/>
      <c r="DD65" s="1443"/>
      <c r="DE65" s="1444"/>
      <c r="DF65" s="1442"/>
      <c r="DG65" s="1443"/>
      <c r="DH65" s="1443"/>
      <c r="DI65" s="1443"/>
      <c r="DJ65" s="1443"/>
      <c r="DK65" s="1443"/>
      <c r="DL65" s="1443"/>
      <c r="DM65" s="1443"/>
      <c r="DN65" s="1443"/>
      <c r="DO65" s="1443"/>
      <c r="DP65" s="1443"/>
      <c r="DQ65" s="1444"/>
      <c r="DR65" s="1448">
        <f t="shared" si="9"/>
        <v>0</v>
      </c>
      <c r="DS65" s="1446">
        <f t="shared" si="9"/>
        <v>0</v>
      </c>
      <c r="DT65" s="1446">
        <f t="shared" si="9"/>
        <v>0</v>
      </c>
      <c r="DU65" s="1446">
        <f t="shared" si="9"/>
        <v>0</v>
      </c>
      <c r="DV65" s="1446">
        <f t="shared" si="9"/>
        <v>0</v>
      </c>
      <c r="DW65" s="1446">
        <f t="shared" si="9"/>
        <v>0</v>
      </c>
      <c r="DX65" s="1446">
        <f t="shared" si="9"/>
        <v>0</v>
      </c>
      <c r="DY65" s="1446">
        <f t="shared" si="9"/>
        <v>0</v>
      </c>
      <c r="DZ65" s="1446">
        <f t="shared" si="9"/>
        <v>0</v>
      </c>
      <c r="EA65" s="1446">
        <f t="shared" si="9"/>
        <v>0</v>
      </c>
      <c r="EB65" s="1446">
        <f t="shared" si="9"/>
        <v>0</v>
      </c>
      <c r="EC65" s="1447">
        <f t="shared" si="9"/>
        <v>0</v>
      </c>
    </row>
    <row r="66" spans="1:133">
      <c r="A66" s="1449" t="s">
        <v>754</v>
      </c>
      <c r="B66" s="1445"/>
      <c r="C66" s="1446"/>
      <c r="D66" s="1446"/>
      <c r="E66" s="1446"/>
      <c r="F66" s="1446"/>
      <c r="G66" s="1446"/>
      <c r="H66" s="1446"/>
      <c r="I66" s="1446"/>
      <c r="J66" s="1446"/>
      <c r="K66" s="1446"/>
      <c r="L66" s="1446"/>
      <c r="M66" s="1447"/>
      <c r="N66" s="1445"/>
      <c r="O66" s="1446"/>
      <c r="P66" s="1446"/>
      <c r="Q66" s="1446"/>
      <c r="R66" s="1446"/>
      <c r="S66" s="1446"/>
      <c r="T66" s="1446"/>
      <c r="U66" s="1446"/>
      <c r="V66" s="1446"/>
      <c r="W66" s="1446"/>
      <c r="X66" s="1446"/>
      <c r="Y66" s="1447"/>
      <c r="Z66" s="1445"/>
      <c r="AA66" s="1446"/>
      <c r="AB66" s="1446"/>
      <c r="AC66" s="1446"/>
      <c r="AD66" s="1446"/>
      <c r="AE66" s="1446"/>
      <c r="AF66" s="1446"/>
      <c r="AG66" s="1446"/>
      <c r="AH66" s="1446"/>
      <c r="AI66" s="1446"/>
      <c r="AJ66" s="1446"/>
      <c r="AK66" s="1447"/>
      <c r="AL66" s="1445"/>
      <c r="AM66" s="1446"/>
      <c r="AN66" s="1446"/>
      <c r="AO66" s="1446"/>
      <c r="AP66" s="1446"/>
      <c r="AQ66" s="1446"/>
      <c r="AR66" s="1446"/>
      <c r="AS66" s="1446"/>
      <c r="AT66" s="1446"/>
      <c r="AU66" s="1446"/>
      <c r="AV66" s="1446"/>
      <c r="AW66" s="1447"/>
      <c r="AX66" s="1445"/>
      <c r="AY66" s="1446"/>
      <c r="AZ66" s="1446"/>
      <c r="BA66" s="1446"/>
      <c r="BB66" s="1446"/>
      <c r="BC66" s="1446"/>
      <c r="BD66" s="1446"/>
      <c r="BE66" s="1446"/>
      <c r="BF66" s="1446"/>
      <c r="BG66" s="1446"/>
      <c r="BH66" s="1446"/>
      <c r="BI66" s="1447"/>
      <c r="BJ66" s="1445"/>
      <c r="BK66" s="1446"/>
      <c r="BL66" s="1446"/>
      <c r="BM66" s="1446"/>
      <c r="BN66" s="1446"/>
      <c r="BO66" s="1446"/>
      <c r="BP66" s="1446"/>
      <c r="BQ66" s="1446"/>
      <c r="BR66" s="1446"/>
      <c r="BS66" s="1446"/>
      <c r="BT66" s="1446"/>
      <c r="BU66" s="1447"/>
      <c r="BV66" s="1445"/>
      <c r="BW66" s="1446"/>
      <c r="BX66" s="1446"/>
      <c r="BY66" s="1446"/>
      <c r="BZ66" s="1446"/>
      <c r="CA66" s="1446"/>
      <c r="CB66" s="1446"/>
      <c r="CC66" s="1446"/>
      <c r="CD66" s="1446"/>
      <c r="CE66" s="1446"/>
      <c r="CF66" s="1446"/>
      <c r="CG66" s="1447"/>
      <c r="CH66" s="1445"/>
      <c r="CI66" s="1446"/>
      <c r="CJ66" s="1446"/>
      <c r="CK66" s="1446"/>
      <c r="CL66" s="1446"/>
      <c r="CM66" s="1446"/>
      <c r="CN66" s="1446"/>
      <c r="CO66" s="1446"/>
      <c r="CP66" s="1446"/>
      <c r="CQ66" s="1446"/>
      <c r="CR66" s="1446"/>
      <c r="CS66" s="1447"/>
      <c r="CT66" s="1445"/>
      <c r="CU66" s="1446"/>
      <c r="CV66" s="1446"/>
      <c r="CW66" s="1446"/>
      <c r="CX66" s="1446"/>
      <c r="CY66" s="1446"/>
      <c r="CZ66" s="1446"/>
      <c r="DA66" s="1446"/>
      <c r="DB66" s="1446"/>
      <c r="DC66" s="1446"/>
      <c r="DD66" s="1446"/>
      <c r="DE66" s="1447"/>
      <c r="DF66" s="1445"/>
      <c r="DG66" s="1446"/>
      <c r="DH66" s="1446"/>
      <c r="DI66" s="1446"/>
      <c r="DJ66" s="1446"/>
      <c r="DK66" s="1446"/>
      <c r="DL66" s="1446"/>
      <c r="DM66" s="1446"/>
      <c r="DN66" s="1446"/>
      <c r="DO66" s="1446"/>
      <c r="DP66" s="1446"/>
      <c r="DQ66" s="1447"/>
      <c r="DR66" s="1448">
        <f t="shared" si="9"/>
        <v>0</v>
      </c>
      <c r="DS66" s="1446">
        <f t="shared" si="9"/>
        <v>0</v>
      </c>
      <c r="DT66" s="1446">
        <f t="shared" si="9"/>
        <v>0</v>
      </c>
      <c r="DU66" s="1446">
        <f t="shared" si="9"/>
        <v>0</v>
      </c>
      <c r="DV66" s="1446">
        <f t="shared" si="9"/>
        <v>0</v>
      </c>
      <c r="DW66" s="1446">
        <f t="shared" si="9"/>
        <v>0</v>
      </c>
      <c r="DX66" s="1446">
        <f t="shared" si="9"/>
        <v>0</v>
      </c>
      <c r="DY66" s="1446">
        <f t="shared" si="9"/>
        <v>0</v>
      </c>
      <c r="DZ66" s="1446">
        <f t="shared" si="9"/>
        <v>0</v>
      </c>
      <c r="EA66" s="1446">
        <f t="shared" si="9"/>
        <v>0</v>
      </c>
      <c r="EB66" s="1446">
        <f t="shared" si="9"/>
        <v>0</v>
      </c>
      <c r="EC66" s="1447">
        <f t="shared" si="9"/>
        <v>0</v>
      </c>
    </row>
    <row r="67" spans="1:133">
      <c r="A67" s="1453" t="s">
        <v>763</v>
      </c>
      <c r="B67" s="1438"/>
      <c r="C67" s="1439"/>
      <c r="D67" s="1439"/>
      <c r="E67" s="1439"/>
      <c r="F67" s="1439"/>
      <c r="G67" s="1439"/>
      <c r="H67" s="1439"/>
      <c r="I67" s="1439"/>
      <c r="J67" s="1439"/>
      <c r="K67" s="1439"/>
      <c r="L67" s="1439"/>
      <c r="M67" s="1439"/>
      <c r="N67" s="1439"/>
      <c r="O67" s="1439"/>
      <c r="P67" s="1439"/>
      <c r="Q67" s="1439"/>
      <c r="R67" s="1439"/>
      <c r="S67" s="1439"/>
      <c r="T67" s="1439"/>
      <c r="U67" s="1439"/>
      <c r="V67" s="1439"/>
      <c r="W67" s="1439"/>
      <c r="X67" s="1439"/>
      <c r="Y67" s="1439"/>
      <c r="Z67" s="1439"/>
      <c r="AA67" s="1439"/>
      <c r="AB67" s="1439"/>
      <c r="AC67" s="1439"/>
      <c r="AD67" s="1439"/>
      <c r="AE67" s="1439"/>
      <c r="AF67" s="1439"/>
      <c r="AG67" s="1439"/>
      <c r="AH67" s="1439"/>
      <c r="AI67" s="1439"/>
      <c r="AJ67" s="1439"/>
      <c r="AK67" s="1439"/>
      <c r="AL67" s="1439"/>
      <c r="AM67" s="1439"/>
      <c r="AN67" s="1439"/>
      <c r="AO67" s="1439"/>
      <c r="AP67" s="1439"/>
      <c r="AQ67" s="1439"/>
      <c r="AR67" s="1439"/>
      <c r="AS67" s="1439"/>
      <c r="AT67" s="1439"/>
      <c r="AU67" s="1439"/>
      <c r="AV67" s="1439"/>
      <c r="AW67" s="1439"/>
      <c r="AX67" s="1439"/>
      <c r="AY67" s="1439"/>
      <c r="AZ67" s="1439"/>
      <c r="BA67" s="1439"/>
      <c r="BB67" s="1439"/>
      <c r="BC67" s="1439"/>
      <c r="BD67" s="1439"/>
      <c r="BE67" s="1439"/>
      <c r="BF67" s="1439"/>
      <c r="BG67" s="1439"/>
      <c r="BH67" s="1439"/>
      <c r="BI67" s="1439"/>
      <c r="BJ67" s="1439"/>
      <c r="BK67" s="1439"/>
      <c r="BL67" s="1439"/>
      <c r="BM67" s="1439"/>
      <c r="BN67" s="1439"/>
      <c r="BO67" s="1439"/>
      <c r="BP67" s="1439"/>
      <c r="BQ67" s="1439"/>
      <c r="BR67" s="1439"/>
      <c r="BS67" s="1439"/>
      <c r="BT67" s="1439"/>
      <c r="BU67" s="1439"/>
      <c r="BV67" s="1439"/>
      <c r="BW67" s="1439"/>
      <c r="BX67" s="1439"/>
      <c r="BY67" s="1439"/>
      <c r="BZ67" s="1439"/>
      <c r="CA67" s="1439"/>
      <c r="CB67" s="1439"/>
      <c r="CC67" s="1439"/>
      <c r="CD67" s="1439"/>
      <c r="CE67" s="1439"/>
      <c r="CF67" s="1439"/>
      <c r="CG67" s="1439"/>
      <c r="CH67" s="1439"/>
      <c r="CI67" s="1439"/>
      <c r="CJ67" s="1439"/>
      <c r="CK67" s="1439"/>
      <c r="CL67" s="1439"/>
      <c r="CM67" s="1439"/>
      <c r="CN67" s="1439"/>
      <c r="CO67" s="1439"/>
      <c r="CP67" s="1439"/>
      <c r="CQ67" s="1439"/>
      <c r="CR67" s="1439"/>
      <c r="CS67" s="1439"/>
      <c r="CT67" s="1439"/>
      <c r="CU67" s="1439"/>
      <c r="CV67" s="1439"/>
      <c r="CW67" s="1439"/>
      <c r="CX67" s="1439"/>
      <c r="CY67" s="1439"/>
      <c r="CZ67" s="1439"/>
      <c r="DA67" s="1439"/>
      <c r="DB67" s="1439"/>
      <c r="DC67" s="1439"/>
      <c r="DD67" s="1439"/>
      <c r="DE67" s="1439"/>
      <c r="DF67" s="1439"/>
      <c r="DG67" s="1439"/>
      <c r="DH67" s="1439"/>
      <c r="DI67" s="1439"/>
      <c r="DJ67" s="1439"/>
      <c r="DK67" s="1439"/>
      <c r="DL67" s="1439"/>
      <c r="DM67" s="1439"/>
      <c r="DN67" s="1439"/>
      <c r="DO67" s="1439"/>
      <c r="DP67" s="1439"/>
      <c r="DQ67" s="1439"/>
      <c r="DR67" s="1439"/>
      <c r="DS67" s="1439"/>
      <c r="DT67" s="1439"/>
      <c r="DU67" s="1439"/>
      <c r="DV67" s="1439"/>
      <c r="DW67" s="1439"/>
      <c r="DX67" s="1439"/>
      <c r="DY67" s="1439"/>
      <c r="DZ67" s="1439"/>
      <c r="EA67" s="1439"/>
      <c r="EB67" s="1439"/>
      <c r="EC67" s="1440"/>
    </row>
    <row r="68" spans="1:133">
      <c r="A68" s="1449" t="s">
        <v>764</v>
      </c>
      <c r="B68" s="1454"/>
      <c r="C68" s="1455"/>
      <c r="D68" s="1455"/>
      <c r="E68" s="1455"/>
      <c r="F68" s="1455"/>
      <c r="G68" s="1455"/>
      <c r="H68" s="1455"/>
      <c r="I68" s="1455"/>
      <c r="J68" s="1455"/>
      <c r="K68" s="1455"/>
      <c r="L68" s="1455"/>
      <c r="M68" s="1456"/>
      <c r="N68" s="1454"/>
      <c r="O68" s="1455"/>
      <c r="P68" s="1455"/>
      <c r="Q68" s="1455"/>
      <c r="R68" s="1455"/>
      <c r="S68" s="1455"/>
      <c r="T68" s="1455"/>
      <c r="U68" s="1455"/>
      <c r="V68" s="1455"/>
      <c r="W68" s="1455"/>
      <c r="X68" s="1455"/>
      <c r="Y68" s="1456"/>
      <c r="Z68" s="1454"/>
      <c r="AA68" s="1455"/>
      <c r="AB68" s="1455"/>
      <c r="AC68" s="1455"/>
      <c r="AD68" s="1455"/>
      <c r="AE68" s="1455"/>
      <c r="AF68" s="1455"/>
      <c r="AG68" s="1455"/>
      <c r="AH68" s="1455"/>
      <c r="AI68" s="1455"/>
      <c r="AJ68" s="1455"/>
      <c r="AK68" s="1456"/>
      <c r="AL68" s="1454"/>
      <c r="AM68" s="1455"/>
      <c r="AN68" s="1455"/>
      <c r="AO68" s="1455"/>
      <c r="AP68" s="1455"/>
      <c r="AQ68" s="1455"/>
      <c r="AR68" s="1455"/>
      <c r="AS68" s="1455"/>
      <c r="AT68" s="1455"/>
      <c r="AU68" s="1455"/>
      <c r="AV68" s="1455"/>
      <c r="AW68" s="1456"/>
      <c r="AX68" s="1454"/>
      <c r="AY68" s="1455"/>
      <c r="AZ68" s="1455"/>
      <c r="BA68" s="1455"/>
      <c r="BB68" s="1455"/>
      <c r="BC68" s="1455"/>
      <c r="BD68" s="1455"/>
      <c r="BE68" s="1455"/>
      <c r="BF68" s="1455"/>
      <c r="BG68" s="1455"/>
      <c r="BH68" s="1455"/>
      <c r="BI68" s="1456"/>
      <c r="BJ68" s="1454"/>
      <c r="BK68" s="1455"/>
      <c r="BL68" s="1455"/>
      <c r="BM68" s="1455"/>
      <c r="BN68" s="1455"/>
      <c r="BO68" s="1455"/>
      <c r="BP68" s="1455"/>
      <c r="BQ68" s="1455"/>
      <c r="BR68" s="1455"/>
      <c r="BS68" s="1455"/>
      <c r="BT68" s="1455"/>
      <c r="BU68" s="1456"/>
      <c r="BV68" s="1454"/>
      <c r="BW68" s="1455"/>
      <c r="BX68" s="1455"/>
      <c r="BY68" s="1455"/>
      <c r="BZ68" s="1455"/>
      <c r="CA68" s="1455"/>
      <c r="CB68" s="1455"/>
      <c r="CC68" s="1455"/>
      <c r="CD68" s="1455"/>
      <c r="CE68" s="1455"/>
      <c r="CF68" s="1455"/>
      <c r="CG68" s="1456"/>
      <c r="CH68" s="1454"/>
      <c r="CI68" s="1455"/>
      <c r="CJ68" s="1455"/>
      <c r="CK68" s="1455"/>
      <c r="CL68" s="1455"/>
      <c r="CM68" s="1455"/>
      <c r="CN68" s="1455"/>
      <c r="CO68" s="1455"/>
      <c r="CP68" s="1455"/>
      <c r="CQ68" s="1455"/>
      <c r="CR68" s="1455"/>
      <c r="CS68" s="1456"/>
      <c r="CT68" s="1454"/>
      <c r="CU68" s="1455"/>
      <c r="CV68" s="1455"/>
      <c r="CW68" s="1455"/>
      <c r="CX68" s="1455"/>
      <c r="CY68" s="1455"/>
      <c r="CZ68" s="1455"/>
      <c r="DA68" s="1455"/>
      <c r="DB68" s="1455"/>
      <c r="DC68" s="1455"/>
      <c r="DD68" s="1455"/>
      <c r="DE68" s="1456"/>
      <c r="DF68" s="1454"/>
      <c r="DG68" s="1455"/>
      <c r="DH68" s="1455"/>
      <c r="DI68" s="1455"/>
      <c r="DJ68" s="1455"/>
      <c r="DK68" s="1455"/>
      <c r="DL68" s="1455"/>
      <c r="DM68" s="1455"/>
      <c r="DN68" s="1455"/>
      <c r="DO68" s="1455"/>
      <c r="DP68" s="1455"/>
      <c r="DQ68" s="1456"/>
      <c r="DR68" s="1448">
        <f t="shared" ref="DR68:EC71" si="10">SUM(B68,N68,Z68,AL68,AX68,BJ68,BV68,CH68,CT68,DF68)</f>
        <v>0</v>
      </c>
      <c r="DS68" s="1446">
        <f t="shared" si="10"/>
        <v>0</v>
      </c>
      <c r="DT68" s="1446">
        <f t="shared" si="10"/>
        <v>0</v>
      </c>
      <c r="DU68" s="1446">
        <f t="shared" si="10"/>
        <v>0</v>
      </c>
      <c r="DV68" s="1446">
        <f t="shared" si="10"/>
        <v>0</v>
      </c>
      <c r="DW68" s="1446">
        <f t="shared" si="10"/>
        <v>0</v>
      </c>
      <c r="DX68" s="1446">
        <f t="shared" si="10"/>
        <v>0</v>
      </c>
      <c r="DY68" s="1446">
        <f t="shared" si="10"/>
        <v>0</v>
      </c>
      <c r="DZ68" s="1446">
        <f t="shared" si="10"/>
        <v>0</v>
      </c>
      <c r="EA68" s="1446">
        <f t="shared" si="10"/>
        <v>0</v>
      </c>
      <c r="EB68" s="1446">
        <f t="shared" si="10"/>
        <v>0</v>
      </c>
      <c r="EC68" s="1447">
        <f t="shared" si="10"/>
        <v>0</v>
      </c>
    </row>
    <row r="69" spans="1:133">
      <c r="A69" s="1449" t="s">
        <v>765</v>
      </c>
      <c r="B69" s="1454"/>
      <c r="C69" s="1455"/>
      <c r="D69" s="1455"/>
      <c r="E69" s="1455"/>
      <c r="F69" s="1455"/>
      <c r="G69" s="1455"/>
      <c r="H69" s="1455"/>
      <c r="I69" s="1455"/>
      <c r="J69" s="1455"/>
      <c r="K69" s="1455"/>
      <c r="L69" s="1455"/>
      <c r="M69" s="1456"/>
      <c r="N69" s="1454"/>
      <c r="O69" s="1455"/>
      <c r="P69" s="1455"/>
      <c r="Q69" s="1455"/>
      <c r="R69" s="1455"/>
      <c r="S69" s="1455"/>
      <c r="T69" s="1455"/>
      <c r="U69" s="1455"/>
      <c r="V69" s="1455"/>
      <c r="W69" s="1455"/>
      <c r="X69" s="1455"/>
      <c r="Y69" s="1456"/>
      <c r="Z69" s="1454"/>
      <c r="AA69" s="1455"/>
      <c r="AB69" s="1455"/>
      <c r="AC69" s="1455"/>
      <c r="AD69" s="1455"/>
      <c r="AE69" s="1455"/>
      <c r="AF69" s="1455"/>
      <c r="AG69" s="1455"/>
      <c r="AH69" s="1455"/>
      <c r="AI69" s="1455"/>
      <c r="AJ69" s="1455"/>
      <c r="AK69" s="1456"/>
      <c r="AL69" s="1454"/>
      <c r="AM69" s="1455"/>
      <c r="AN69" s="1455"/>
      <c r="AO69" s="1455"/>
      <c r="AP69" s="1455"/>
      <c r="AQ69" s="1455"/>
      <c r="AR69" s="1455"/>
      <c r="AS69" s="1455"/>
      <c r="AT69" s="1455"/>
      <c r="AU69" s="1455"/>
      <c r="AV69" s="1455"/>
      <c r="AW69" s="1456"/>
      <c r="AX69" s="1454"/>
      <c r="AY69" s="1455"/>
      <c r="AZ69" s="1455"/>
      <c r="BA69" s="1455"/>
      <c r="BB69" s="1455"/>
      <c r="BC69" s="1455"/>
      <c r="BD69" s="1455"/>
      <c r="BE69" s="1455"/>
      <c r="BF69" s="1455"/>
      <c r="BG69" s="1455"/>
      <c r="BH69" s="1455"/>
      <c r="BI69" s="1456"/>
      <c r="BJ69" s="1454"/>
      <c r="BK69" s="1455"/>
      <c r="BL69" s="1455"/>
      <c r="BM69" s="1455"/>
      <c r="BN69" s="1455"/>
      <c r="BO69" s="1455"/>
      <c r="BP69" s="1455"/>
      <c r="BQ69" s="1455"/>
      <c r="BR69" s="1455"/>
      <c r="BS69" s="1455"/>
      <c r="BT69" s="1455"/>
      <c r="BU69" s="1456"/>
      <c r="BV69" s="1454"/>
      <c r="BW69" s="1455"/>
      <c r="BX69" s="1455"/>
      <c r="BY69" s="1455"/>
      <c r="BZ69" s="1455"/>
      <c r="CA69" s="1455"/>
      <c r="CB69" s="1455"/>
      <c r="CC69" s="1455"/>
      <c r="CD69" s="1455"/>
      <c r="CE69" s="1455"/>
      <c r="CF69" s="1455"/>
      <c r="CG69" s="1456"/>
      <c r="CH69" s="1454"/>
      <c r="CI69" s="1455"/>
      <c r="CJ69" s="1455"/>
      <c r="CK69" s="1455"/>
      <c r="CL69" s="1455"/>
      <c r="CM69" s="1455"/>
      <c r="CN69" s="1455"/>
      <c r="CO69" s="1455"/>
      <c r="CP69" s="1455"/>
      <c r="CQ69" s="1455"/>
      <c r="CR69" s="1455"/>
      <c r="CS69" s="1456"/>
      <c r="CT69" s="1454"/>
      <c r="CU69" s="1455"/>
      <c r="CV69" s="1455"/>
      <c r="CW69" s="1455"/>
      <c r="CX69" s="1455"/>
      <c r="CY69" s="1455"/>
      <c r="CZ69" s="1455"/>
      <c r="DA69" s="1455"/>
      <c r="DB69" s="1455"/>
      <c r="DC69" s="1455"/>
      <c r="DD69" s="1455"/>
      <c r="DE69" s="1456"/>
      <c r="DF69" s="1454"/>
      <c r="DG69" s="1455"/>
      <c r="DH69" s="1455"/>
      <c r="DI69" s="1455"/>
      <c r="DJ69" s="1455"/>
      <c r="DK69" s="1455"/>
      <c r="DL69" s="1455"/>
      <c r="DM69" s="1455"/>
      <c r="DN69" s="1455"/>
      <c r="DO69" s="1455"/>
      <c r="DP69" s="1455"/>
      <c r="DQ69" s="1456"/>
      <c r="DR69" s="1448">
        <f t="shared" si="10"/>
        <v>0</v>
      </c>
      <c r="DS69" s="1446">
        <f t="shared" si="10"/>
        <v>0</v>
      </c>
      <c r="DT69" s="1446">
        <f t="shared" si="10"/>
        <v>0</v>
      </c>
      <c r="DU69" s="1446">
        <f t="shared" si="10"/>
        <v>0</v>
      </c>
      <c r="DV69" s="1446">
        <f t="shared" si="10"/>
        <v>0</v>
      </c>
      <c r="DW69" s="1446">
        <f t="shared" si="10"/>
        <v>0</v>
      </c>
      <c r="DX69" s="1446">
        <f t="shared" si="10"/>
        <v>0</v>
      </c>
      <c r="DY69" s="1446">
        <f t="shared" si="10"/>
        <v>0</v>
      </c>
      <c r="DZ69" s="1446">
        <f t="shared" si="10"/>
        <v>0</v>
      </c>
      <c r="EA69" s="1446">
        <f t="shared" si="10"/>
        <v>0</v>
      </c>
      <c r="EB69" s="1446">
        <f t="shared" si="10"/>
        <v>0</v>
      </c>
      <c r="EC69" s="1447">
        <f t="shared" si="10"/>
        <v>0</v>
      </c>
    </row>
    <row r="70" spans="1:133">
      <c r="A70" s="1449" t="s">
        <v>766</v>
      </c>
      <c r="B70" s="1454"/>
      <c r="C70" s="1455"/>
      <c r="D70" s="1455"/>
      <c r="E70" s="1455"/>
      <c r="F70" s="1455"/>
      <c r="G70" s="1455"/>
      <c r="H70" s="1455"/>
      <c r="I70" s="1455"/>
      <c r="J70" s="1455"/>
      <c r="K70" s="1455"/>
      <c r="L70" s="1455"/>
      <c r="M70" s="1456"/>
      <c r="N70" s="1454"/>
      <c r="O70" s="1455"/>
      <c r="P70" s="1455"/>
      <c r="Q70" s="1455"/>
      <c r="R70" s="1455"/>
      <c r="S70" s="1455"/>
      <c r="T70" s="1455"/>
      <c r="U70" s="1455"/>
      <c r="V70" s="1455"/>
      <c r="W70" s="1455"/>
      <c r="X70" s="1455"/>
      <c r="Y70" s="1456"/>
      <c r="Z70" s="1454"/>
      <c r="AA70" s="1455"/>
      <c r="AB70" s="1455"/>
      <c r="AC70" s="1455"/>
      <c r="AD70" s="1455"/>
      <c r="AE70" s="1455"/>
      <c r="AF70" s="1455"/>
      <c r="AG70" s="1455"/>
      <c r="AH70" s="1455"/>
      <c r="AI70" s="1455"/>
      <c r="AJ70" s="1455"/>
      <c r="AK70" s="1456"/>
      <c r="AL70" s="1454"/>
      <c r="AM70" s="1455"/>
      <c r="AN70" s="1455"/>
      <c r="AO70" s="1455"/>
      <c r="AP70" s="1455"/>
      <c r="AQ70" s="1455"/>
      <c r="AR70" s="1455"/>
      <c r="AS70" s="1455"/>
      <c r="AT70" s="1455"/>
      <c r="AU70" s="1455"/>
      <c r="AV70" s="1455"/>
      <c r="AW70" s="1456"/>
      <c r="AX70" s="1454"/>
      <c r="AY70" s="1455"/>
      <c r="AZ70" s="1455"/>
      <c r="BA70" s="1455"/>
      <c r="BB70" s="1455"/>
      <c r="BC70" s="1455"/>
      <c r="BD70" s="1455"/>
      <c r="BE70" s="1455"/>
      <c r="BF70" s="1455"/>
      <c r="BG70" s="1455"/>
      <c r="BH70" s="1455"/>
      <c r="BI70" s="1456"/>
      <c r="BJ70" s="1454"/>
      <c r="BK70" s="1455"/>
      <c r="BL70" s="1455"/>
      <c r="BM70" s="1455"/>
      <c r="BN70" s="1455"/>
      <c r="BO70" s="1455"/>
      <c r="BP70" s="1455"/>
      <c r="BQ70" s="1455"/>
      <c r="BR70" s="1455"/>
      <c r="BS70" s="1455"/>
      <c r="BT70" s="1455"/>
      <c r="BU70" s="1456"/>
      <c r="BV70" s="1454"/>
      <c r="BW70" s="1455"/>
      <c r="BX70" s="1455"/>
      <c r="BY70" s="1455"/>
      <c r="BZ70" s="1455"/>
      <c r="CA70" s="1455"/>
      <c r="CB70" s="1455"/>
      <c r="CC70" s="1455"/>
      <c r="CD70" s="1455"/>
      <c r="CE70" s="1455"/>
      <c r="CF70" s="1455"/>
      <c r="CG70" s="1456"/>
      <c r="CH70" s="1454"/>
      <c r="CI70" s="1455"/>
      <c r="CJ70" s="1455"/>
      <c r="CK70" s="1455"/>
      <c r="CL70" s="1455"/>
      <c r="CM70" s="1455"/>
      <c r="CN70" s="1455"/>
      <c r="CO70" s="1455"/>
      <c r="CP70" s="1455"/>
      <c r="CQ70" s="1455"/>
      <c r="CR70" s="1455"/>
      <c r="CS70" s="1456"/>
      <c r="CT70" s="1454"/>
      <c r="CU70" s="1455"/>
      <c r="CV70" s="1455"/>
      <c r="CW70" s="1455"/>
      <c r="CX70" s="1455"/>
      <c r="CY70" s="1455"/>
      <c r="CZ70" s="1455"/>
      <c r="DA70" s="1455"/>
      <c r="DB70" s="1455"/>
      <c r="DC70" s="1455"/>
      <c r="DD70" s="1455"/>
      <c r="DE70" s="1456"/>
      <c r="DF70" s="1454"/>
      <c r="DG70" s="1455"/>
      <c r="DH70" s="1455"/>
      <c r="DI70" s="1455"/>
      <c r="DJ70" s="1455"/>
      <c r="DK70" s="1455"/>
      <c r="DL70" s="1455"/>
      <c r="DM70" s="1455"/>
      <c r="DN70" s="1455"/>
      <c r="DO70" s="1455"/>
      <c r="DP70" s="1455"/>
      <c r="DQ70" s="1456"/>
      <c r="DR70" s="1448">
        <f t="shared" si="10"/>
        <v>0</v>
      </c>
      <c r="DS70" s="1446">
        <f t="shared" si="10"/>
        <v>0</v>
      </c>
      <c r="DT70" s="1446">
        <f t="shared" si="10"/>
        <v>0</v>
      </c>
      <c r="DU70" s="1446">
        <f t="shared" si="10"/>
        <v>0</v>
      </c>
      <c r="DV70" s="1446">
        <f t="shared" si="10"/>
        <v>0</v>
      </c>
      <c r="DW70" s="1446">
        <f t="shared" si="10"/>
        <v>0</v>
      </c>
      <c r="DX70" s="1446">
        <f t="shared" si="10"/>
        <v>0</v>
      </c>
      <c r="DY70" s="1446">
        <f t="shared" si="10"/>
        <v>0</v>
      </c>
      <c r="DZ70" s="1446">
        <f t="shared" si="10"/>
        <v>0</v>
      </c>
      <c r="EA70" s="1446">
        <f t="shared" si="10"/>
        <v>0</v>
      </c>
      <c r="EB70" s="1446">
        <f t="shared" si="10"/>
        <v>0</v>
      </c>
      <c r="EC70" s="1447">
        <f t="shared" si="10"/>
        <v>0</v>
      </c>
    </row>
    <row r="71" spans="1:133">
      <c r="A71" s="1449" t="s">
        <v>767</v>
      </c>
      <c r="B71" s="1454"/>
      <c r="C71" s="1455"/>
      <c r="D71" s="1455"/>
      <c r="E71" s="1455"/>
      <c r="F71" s="1455"/>
      <c r="G71" s="1455"/>
      <c r="H71" s="1455"/>
      <c r="I71" s="1455"/>
      <c r="J71" s="1455"/>
      <c r="K71" s="1455"/>
      <c r="L71" s="1455"/>
      <c r="M71" s="1456"/>
      <c r="N71" s="1454"/>
      <c r="O71" s="1455"/>
      <c r="P71" s="1455"/>
      <c r="Q71" s="1455"/>
      <c r="R71" s="1455"/>
      <c r="S71" s="1455"/>
      <c r="T71" s="1455"/>
      <c r="U71" s="1455"/>
      <c r="V71" s="1455"/>
      <c r="W71" s="1455"/>
      <c r="X71" s="1455"/>
      <c r="Y71" s="1456"/>
      <c r="Z71" s="1454"/>
      <c r="AA71" s="1455"/>
      <c r="AB71" s="1455"/>
      <c r="AC71" s="1455"/>
      <c r="AD71" s="1455"/>
      <c r="AE71" s="1455"/>
      <c r="AF71" s="1455"/>
      <c r="AG71" s="1455"/>
      <c r="AH71" s="1455"/>
      <c r="AI71" s="1455"/>
      <c r="AJ71" s="1455"/>
      <c r="AK71" s="1456"/>
      <c r="AL71" s="1454"/>
      <c r="AM71" s="1455"/>
      <c r="AN71" s="1455"/>
      <c r="AO71" s="1455"/>
      <c r="AP71" s="1455"/>
      <c r="AQ71" s="1455"/>
      <c r="AR71" s="1455"/>
      <c r="AS71" s="1455"/>
      <c r="AT71" s="1455"/>
      <c r="AU71" s="1455"/>
      <c r="AV71" s="1455"/>
      <c r="AW71" s="1456"/>
      <c r="AX71" s="1454"/>
      <c r="AY71" s="1455"/>
      <c r="AZ71" s="1455"/>
      <c r="BA71" s="1455"/>
      <c r="BB71" s="1455"/>
      <c r="BC71" s="1455"/>
      <c r="BD71" s="1455"/>
      <c r="BE71" s="1455"/>
      <c r="BF71" s="1455"/>
      <c r="BG71" s="1455"/>
      <c r="BH71" s="1455"/>
      <c r="BI71" s="1456"/>
      <c r="BJ71" s="1454"/>
      <c r="BK71" s="1455"/>
      <c r="BL71" s="1455"/>
      <c r="BM71" s="1455"/>
      <c r="BN71" s="1455"/>
      <c r="BO71" s="1455"/>
      <c r="BP71" s="1455"/>
      <c r="BQ71" s="1455"/>
      <c r="BR71" s="1455"/>
      <c r="BS71" s="1455"/>
      <c r="BT71" s="1455"/>
      <c r="BU71" s="1456"/>
      <c r="BV71" s="1454"/>
      <c r="BW71" s="1455"/>
      <c r="BX71" s="1455"/>
      <c r="BY71" s="1455"/>
      <c r="BZ71" s="1455"/>
      <c r="CA71" s="1455"/>
      <c r="CB71" s="1455"/>
      <c r="CC71" s="1455"/>
      <c r="CD71" s="1455"/>
      <c r="CE71" s="1455"/>
      <c r="CF71" s="1455"/>
      <c r="CG71" s="1456"/>
      <c r="CH71" s="1454"/>
      <c r="CI71" s="1455"/>
      <c r="CJ71" s="1455"/>
      <c r="CK71" s="1455"/>
      <c r="CL71" s="1455"/>
      <c r="CM71" s="1455"/>
      <c r="CN71" s="1455"/>
      <c r="CO71" s="1455"/>
      <c r="CP71" s="1455"/>
      <c r="CQ71" s="1455"/>
      <c r="CR71" s="1455"/>
      <c r="CS71" s="1456"/>
      <c r="CT71" s="1454"/>
      <c r="CU71" s="1455"/>
      <c r="CV71" s="1455"/>
      <c r="CW71" s="1455"/>
      <c r="CX71" s="1455"/>
      <c r="CY71" s="1455"/>
      <c r="CZ71" s="1455"/>
      <c r="DA71" s="1455"/>
      <c r="DB71" s="1455"/>
      <c r="DC71" s="1455"/>
      <c r="DD71" s="1455"/>
      <c r="DE71" s="1456"/>
      <c r="DF71" s="1454"/>
      <c r="DG71" s="1455"/>
      <c r="DH71" s="1455"/>
      <c r="DI71" s="1455"/>
      <c r="DJ71" s="1455"/>
      <c r="DK71" s="1455"/>
      <c r="DL71" s="1455"/>
      <c r="DM71" s="1455"/>
      <c r="DN71" s="1455"/>
      <c r="DO71" s="1455"/>
      <c r="DP71" s="1455"/>
      <c r="DQ71" s="1456"/>
      <c r="DR71" s="1448">
        <f t="shared" si="10"/>
        <v>0</v>
      </c>
      <c r="DS71" s="1446">
        <f t="shared" si="10"/>
        <v>0</v>
      </c>
      <c r="DT71" s="1446">
        <f t="shared" si="10"/>
        <v>0</v>
      </c>
      <c r="DU71" s="1446">
        <f t="shared" si="10"/>
        <v>0</v>
      </c>
      <c r="DV71" s="1446">
        <f t="shared" si="10"/>
        <v>0</v>
      </c>
      <c r="DW71" s="1446">
        <f t="shared" si="10"/>
        <v>0</v>
      </c>
      <c r="DX71" s="1446">
        <f t="shared" si="10"/>
        <v>0</v>
      </c>
      <c r="DY71" s="1446">
        <f t="shared" si="10"/>
        <v>0</v>
      </c>
      <c r="DZ71" s="1446">
        <f t="shared" si="10"/>
        <v>0</v>
      </c>
      <c r="EA71" s="1446">
        <f t="shared" si="10"/>
        <v>0</v>
      </c>
      <c r="EB71" s="1446">
        <f t="shared" si="10"/>
        <v>0</v>
      </c>
      <c r="EC71" s="1447">
        <f t="shared" si="10"/>
        <v>0</v>
      </c>
    </row>
    <row r="72" spans="1:133">
      <c r="A72" s="1453" t="s">
        <v>768</v>
      </c>
      <c r="B72" s="1438"/>
      <c r="C72" s="1439"/>
      <c r="D72" s="1439"/>
      <c r="E72" s="1439"/>
      <c r="F72" s="1439"/>
      <c r="G72" s="1439"/>
      <c r="H72" s="1439"/>
      <c r="I72" s="1439"/>
      <c r="J72" s="1439"/>
      <c r="K72" s="1439"/>
      <c r="L72" s="1439"/>
      <c r="M72" s="1439"/>
      <c r="N72" s="1439"/>
      <c r="O72" s="1439"/>
      <c r="P72" s="1439"/>
      <c r="Q72" s="1439"/>
      <c r="R72" s="1439"/>
      <c r="S72" s="1439"/>
      <c r="T72" s="1439"/>
      <c r="U72" s="1439"/>
      <c r="V72" s="1439"/>
      <c r="W72" s="1439"/>
      <c r="X72" s="1439"/>
      <c r="Y72" s="1439"/>
      <c r="Z72" s="1439"/>
      <c r="AA72" s="1439"/>
      <c r="AB72" s="1439"/>
      <c r="AC72" s="1439"/>
      <c r="AD72" s="1439"/>
      <c r="AE72" s="1439"/>
      <c r="AF72" s="1439"/>
      <c r="AG72" s="1439"/>
      <c r="AH72" s="1439"/>
      <c r="AI72" s="1439"/>
      <c r="AJ72" s="1439"/>
      <c r="AK72" s="1439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439"/>
      <c r="BB72" s="1439"/>
      <c r="BC72" s="1439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39"/>
      <c r="BS72" s="1439"/>
      <c r="BT72" s="1439"/>
      <c r="BU72" s="1439"/>
      <c r="BV72" s="1439"/>
      <c r="BW72" s="1439"/>
      <c r="BX72" s="1439"/>
      <c r="BY72" s="1439"/>
      <c r="BZ72" s="1439"/>
      <c r="CA72" s="1439"/>
      <c r="CB72" s="1439"/>
      <c r="CC72" s="1439"/>
      <c r="CD72" s="1439"/>
      <c r="CE72" s="1439"/>
      <c r="CF72" s="1439"/>
      <c r="CG72" s="1439"/>
      <c r="CH72" s="1439"/>
      <c r="CI72" s="1439"/>
      <c r="CJ72" s="1439"/>
      <c r="CK72" s="1439"/>
      <c r="CL72" s="1439"/>
      <c r="CM72" s="1439"/>
      <c r="CN72" s="1439"/>
      <c r="CO72" s="1439"/>
      <c r="CP72" s="1439"/>
      <c r="CQ72" s="1439"/>
      <c r="CR72" s="1439"/>
      <c r="CS72" s="1439"/>
      <c r="CT72" s="1439"/>
      <c r="CU72" s="1439"/>
      <c r="CV72" s="1439"/>
      <c r="CW72" s="1439"/>
      <c r="CX72" s="1439"/>
      <c r="CY72" s="1439"/>
      <c r="CZ72" s="1439"/>
      <c r="DA72" s="1439"/>
      <c r="DB72" s="1439"/>
      <c r="DC72" s="1439"/>
      <c r="DD72" s="1439"/>
      <c r="DE72" s="1439"/>
      <c r="DF72" s="1439"/>
      <c r="DG72" s="1439"/>
      <c r="DH72" s="1439"/>
      <c r="DI72" s="1439"/>
      <c r="DJ72" s="1439"/>
      <c r="DK72" s="1439"/>
      <c r="DL72" s="1439"/>
      <c r="DM72" s="1439"/>
      <c r="DN72" s="1439"/>
      <c r="DO72" s="1439"/>
      <c r="DP72" s="1439"/>
      <c r="DQ72" s="1439"/>
      <c r="DR72" s="1439"/>
      <c r="DS72" s="1439"/>
      <c r="DT72" s="1439"/>
      <c r="DU72" s="1439"/>
      <c r="DV72" s="1439"/>
      <c r="DW72" s="1439"/>
      <c r="DX72" s="1439"/>
      <c r="DY72" s="1439"/>
      <c r="DZ72" s="1439"/>
      <c r="EA72" s="1439"/>
      <c r="EB72" s="1439"/>
      <c r="EC72" s="1440"/>
    </row>
    <row r="73" spans="1:133">
      <c r="A73" s="1449" t="s">
        <v>764</v>
      </c>
      <c r="B73" s="1454"/>
      <c r="C73" s="1455"/>
      <c r="D73" s="1455"/>
      <c r="E73" s="1455"/>
      <c r="F73" s="1455"/>
      <c r="G73" s="1455"/>
      <c r="H73" s="1455"/>
      <c r="I73" s="1455"/>
      <c r="J73" s="1455"/>
      <c r="K73" s="1455"/>
      <c r="L73" s="1455"/>
      <c r="M73" s="1456"/>
      <c r="N73" s="1454"/>
      <c r="O73" s="1455"/>
      <c r="P73" s="1455"/>
      <c r="Q73" s="1455"/>
      <c r="R73" s="1455"/>
      <c r="S73" s="1455"/>
      <c r="T73" s="1455"/>
      <c r="U73" s="1455"/>
      <c r="V73" s="1455"/>
      <c r="W73" s="1455"/>
      <c r="X73" s="1455"/>
      <c r="Y73" s="1456"/>
      <c r="Z73" s="1454"/>
      <c r="AA73" s="1455"/>
      <c r="AB73" s="1455"/>
      <c r="AC73" s="1455"/>
      <c r="AD73" s="1455"/>
      <c r="AE73" s="1455"/>
      <c r="AF73" s="1455"/>
      <c r="AG73" s="1455"/>
      <c r="AH73" s="1455"/>
      <c r="AI73" s="1455"/>
      <c r="AJ73" s="1455"/>
      <c r="AK73" s="1456"/>
      <c r="AL73" s="1454"/>
      <c r="AM73" s="1455"/>
      <c r="AN73" s="1455"/>
      <c r="AO73" s="1455"/>
      <c r="AP73" s="1455"/>
      <c r="AQ73" s="1455"/>
      <c r="AR73" s="1455"/>
      <c r="AS73" s="1455"/>
      <c r="AT73" s="1455"/>
      <c r="AU73" s="1455"/>
      <c r="AV73" s="1455"/>
      <c r="AW73" s="1456"/>
      <c r="AX73" s="1454"/>
      <c r="AY73" s="1455"/>
      <c r="AZ73" s="1455"/>
      <c r="BA73" s="1455"/>
      <c r="BB73" s="1455"/>
      <c r="BC73" s="1455"/>
      <c r="BD73" s="1455"/>
      <c r="BE73" s="1455"/>
      <c r="BF73" s="1455"/>
      <c r="BG73" s="1455"/>
      <c r="BH73" s="1455"/>
      <c r="BI73" s="1456"/>
      <c r="BJ73" s="1454"/>
      <c r="BK73" s="1455"/>
      <c r="BL73" s="1455"/>
      <c r="BM73" s="1455"/>
      <c r="BN73" s="1455"/>
      <c r="BO73" s="1455"/>
      <c r="BP73" s="1455"/>
      <c r="BQ73" s="1455"/>
      <c r="BR73" s="1455"/>
      <c r="BS73" s="1455"/>
      <c r="BT73" s="1455"/>
      <c r="BU73" s="1456"/>
      <c r="BV73" s="1454"/>
      <c r="BW73" s="1455"/>
      <c r="BX73" s="1455"/>
      <c r="BY73" s="1455"/>
      <c r="BZ73" s="1455"/>
      <c r="CA73" s="1455"/>
      <c r="CB73" s="1455"/>
      <c r="CC73" s="1455"/>
      <c r="CD73" s="1455"/>
      <c r="CE73" s="1455"/>
      <c r="CF73" s="1455"/>
      <c r="CG73" s="1456"/>
      <c r="CH73" s="1454"/>
      <c r="CI73" s="1455"/>
      <c r="CJ73" s="1455"/>
      <c r="CK73" s="1455"/>
      <c r="CL73" s="1455"/>
      <c r="CM73" s="1455"/>
      <c r="CN73" s="1455"/>
      <c r="CO73" s="1455"/>
      <c r="CP73" s="1455"/>
      <c r="CQ73" s="1455"/>
      <c r="CR73" s="1455"/>
      <c r="CS73" s="1456"/>
      <c r="CT73" s="1454"/>
      <c r="CU73" s="1455"/>
      <c r="CV73" s="1455"/>
      <c r="CW73" s="1455"/>
      <c r="CX73" s="1455"/>
      <c r="CY73" s="1455"/>
      <c r="CZ73" s="1455"/>
      <c r="DA73" s="1455"/>
      <c r="DB73" s="1455"/>
      <c r="DC73" s="1455"/>
      <c r="DD73" s="1455"/>
      <c r="DE73" s="1456"/>
      <c r="DF73" s="1454"/>
      <c r="DG73" s="1455"/>
      <c r="DH73" s="1455"/>
      <c r="DI73" s="1455"/>
      <c r="DJ73" s="1455"/>
      <c r="DK73" s="1455"/>
      <c r="DL73" s="1455"/>
      <c r="DM73" s="1455"/>
      <c r="DN73" s="1455"/>
      <c r="DO73" s="1455"/>
      <c r="DP73" s="1455"/>
      <c r="DQ73" s="1456"/>
      <c r="DR73" s="1448">
        <f t="shared" ref="DR73:EC76" si="11">SUM(B73,N73,Z73,AL73,AX73,BJ73,BV73,CH73,CT73,DF73)</f>
        <v>0</v>
      </c>
      <c r="DS73" s="1446">
        <f t="shared" si="11"/>
        <v>0</v>
      </c>
      <c r="DT73" s="1446">
        <f t="shared" si="11"/>
        <v>0</v>
      </c>
      <c r="DU73" s="1446">
        <f t="shared" si="11"/>
        <v>0</v>
      </c>
      <c r="DV73" s="1446">
        <f t="shared" si="11"/>
        <v>0</v>
      </c>
      <c r="DW73" s="1446">
        <f t="shared" si="11"/>
        <v>0</v>
      </c>
      <c r="DX73" s="1446">
        <f t="shared" si="11"/>
        <v>0</v>
      </c>
      <c r="DY73" s="1446">
        <f t="shared" si="11"/>
        <v>0</v>
      </c>
      <c r="DZ73" s="1446">
        <f t="shared" si="11"/>
        <v>0</v>
      </c>
      <c r="EA73" s="1446">
        <f t="shared" si="11"/>
        <v>0</v>
      </c>
      <c r="EB73" s="1446">
        <f t="shared" si="11"/>
        <v>0</v>
      </c>
      <c r="EC73" s="1447">
        <f t="shared" si="11"/>
        <v>0</v>
      </c>
    </row>
    <row r="74" spans="1:133">
      <c r="A74" s="1449" t="s">
        <v>765</v>
      </c>
      <c r="B74" s="1454"/>
      <c r="C74" s="1455"/>
      <c r="D74" s="1455"/>
      <c r="E74" s="1455"/>
      <c r="F74" s="1455"/>
      <c r="G74" s="1455"/>
      <c r="H74" s="1455"/>
      <c r="I74" s="1455"/>
      <c r="J74" s="1455"/>
      <c r="K74" s="1455"/>
      <c r="L74" s="1455"/>
      <c r="M74" s="1456"/>
      <c r="N74" s="1454"/>
      <c r="O74" s="1455"/>
      <c r="P74" s="1455"/>
      <c r="Q74" s="1455"/>
      <c r="R74" s="1455"/>
      <c r="S74" s="1455"/>
      <c r="T74" s="1455"/>
      <c r="U74" s="1455"/>
      <c r="V74" s="1455"/>
      <c r="W74" s="1455"/>
      <c r="X74" s="1455"/>
      <c r="Y74" s="1456"/>
      <c r="Z74" s="1454"/>
      <c r="AA74" s="1455"/>
      <c r="AB74" s="1455"/>
      <c r="AC74" s="1455"/>
      <c r="AD74" s="1455"/>
      <c r="AE74" s="1455"/>
      <c r="AF74" s="1455"/>
      <c r="AG74" s="1455"/>
      <c r="AH74" s="1455"/>
      <c r="AI74" s="1455"/>
      <c r="AJ74" s="1455"/>
      <c r="AK74" s="1456"/>
      <c r="AL74" s="1454"/>
      <c r="AM74" s="1455"/>
      <c r="AN74" s="1455"/>
      <c r="AO74" s="1455"/>
      <c r="AP74" s="1455"/>
      <c r="AQ74" s="1455"/>
      <c r="AR74" s="1455"/>
      <c r="AS74" s="1455"/>
      <c r="AT74" s="1455"/>
      <c r="AU74" s="1455"/>
      <c r="AV74" s="1455"/>
      <c r="AW74" s="1456"/>
      <c r="AX74" s="1454"/>
      <c r="AY74" s="1455"/>
      <c r="AZ74" s="1455"/>
      <c r="BA74" s="1455"/>
      <c r="BB74" s="1455"/>
      <c r="BC74" s="1455"/>
      <c r="BD74" s="1455"/>
      <c r="BE74" s="1455"/>
      <c r="BF74" s="1455"/>
      <c r="BG74" s="1455"/>
      <c r="BH74" s="1455"/>
      <c r="BI74" s="1456"/>
      <c r="BJ74" s="1454"/>
      <c r="BK74" s="1455"/>
      <c r="BL74" s="1455"/>
      <c r="BM74" s="1455"/>
      <c r="BN74" s="1455"/>
      <c r="BO74" s="1455"/>
      <c r="BP74" s="1455"/>
      <c r="BQ74" s="1455"/>
      <c r="BR74" s="1455"/>
      <c r="BS74" s="1455"/>
      <c r="BT74" s="1455"/>
      <c r="BU74" s="1456"/>
      <c r="BV74" s="1454"/>
      <c r="BW74" s="1455"/>
      <c r="BX74" s="1455"/>
      <c r="BY74" s="1455"/>
      <c r="BZ74" s="1455"/>
      <c r="CA74" s="1455"/>
      <c r="CB74" s="1455"/>
      <c r="CC74" s="1455"/>
      <c r="CD74" s="1455"/>
      <c r="CE74" s="1455"/>
      <c r="CF74" s="1455"/>
      <c r="CG74" s="1456"/>
      <c r="CH74" s="1454"/>
      <c r="CI74" s="1455"/>
      <c r="CJ74" s="1455"/>
      <c r="CK74" s="1455"/>
      <c r="CL74" s="1455"/>
      <c r="CM74" s="1455"/>
      <c r="CN74" s="1455"/>
      <c r="CO74" s="1455"/>
      <c r="CP74" s="1455"/>
      <c r="CQ74" s="1455"/>
      <c r="CR74" s="1455"/>
      <c r="CS74" s="1456"/>
      <c r="CT74" s="1454"/>
      <c r="CU74" s="1455"/>
      <c r="CV74" s="1455"/>
      <c r="CW74" s="1455"/>
      <c r="CX74" s="1455"/>
      <c r="CY74" s="1455"/>
      <c r="CZ74" s="1455"/>
      <c r="DA74" s="1455"/>
      <c r="DB74" s="1455"/>
      <c r="DC74" s="1455"/>
      <c r="DD74" s="1455"/>
      <c r="DE74" s="1456"/>
      <c r="DF74" s="1454"/>
      <c r="DG74" s="1455"/>
      <c r="DH74" s="1455"/>
      <c r="DI74" s="1455"/>
      <c r="DJ74" s="1455"/>
      <c r="DK74" s="1455"/>
      <c r="DL74" s="1455"/>
      <c r="DM74" s="1455"/>
      <c r="DN74" s="1455"/>
      <c r="DO74" s="1455"/>
      <c r="DP74" s="1455"/>
      <c r="DQ74" s="1456"/>
      <c r="DR74" s="1448">
        <f t="shared" si="11"/>
        <v>0</v>
      </c>
      <c r="DS74" s="1446">
        <f t="shared" si="11"/>
        <v>0</v>
      </c>
      <c r="DT74" s="1446">
        <f t="shared" si="11"/>
        <v>0</v>
      </c>
      <c r="DU74" s="1446">
        <f t="shared" si="11"/>
        <v>0</v>
      </c>
      <c r="DV74" s="1446">
        <f t="shared" si="11"/>
        <v>0</v>
      </c>
      <c r="DW74" s="1446">
        <f t="shared" si="11"/>
        <v>0</v>
      </c>
      <c r="DX74" s="1446">
        <f t="shared" si="11"/>
        <v>0</v>
      </c>
      <c r="DY74" s="1446">
        <f t="shared" si="11"/>
        <v>0</v>
      </c>
      <c r="DZ74" s="1446">
        <f t="shared" si="11"/>
        <v>0</v>
      </c>
      <c r="EA74" s="1446">
        <f t="shared" si="11"/>
        <v>0</v>
      </c>
      <c r="EB74" s="1446">
        <f t="shared" si="11"/>
        <v>0</v>
      </c>
      <c r="EC74" s="1447">
        <f t="shared" si="11"/>
        <v>0</v>
      </c>
    </row>
    <row r="75" spans="1:133">
      <c r="A75" s="1449" t="s">
        <v>766</v>
      </c>
      <c r="B75" s="1454"/>
      <c r="C75" s="1455"/>
      <c r="D75" s="1455"/>
      <c r="E75" s="1455"/>
      <c r="F75" s="1455"/>
      <c r="G75" s="1455"/>
      <c r="H75" s="1455"/>
      <c r="I75" s="1455"/>
      <c r="J75" s="1455"/>
      <c r="K75" s="1455"/>
      <c r="L75" s="1455"/>
      <c r="M75" s="1456"/>
      <c r="N75" s="1454"/>
      <c r="O75" s="1455"/>
      <c r="P75" s="1455"/>
      <c r="Q75" s="1455"/>
      <c r="R75" s="1455"/>
      <c r="S75" s="1455"/>
      <c r="T75" s="1455"/>
      <c r="U75" s="1455"/>
      <c r="V75" s="1455"/>
      <c r="W75" s="1455"/>
      <c r="X75" s="1455"/>
      <c r="Y75" s="1456"/>
      <c r="Z75" s="1454"/>
      <c r="AA75" s="1455"/>
      <c r="AB75" s="1455"/>
      <c r="AC75" s="1455"/>
      <c r="AD75" s="1455"/>
      <c r="AE75" s="1455"/>
      <c r="AF75" s="1455"/>
      <c r="AG75" s="1455"/>
      <c r="AH75" s="1455"/>
      <c r="AI75" s="1455"/>
      <c r="AJ75" s="1455"/>
      <c r="AK75" s="1456"/>
      <c r="AL75" s="1454"/>
      <c r="AM75" s="1455"/>
      <c r="AN75" s="1455"/>
      <c r="AO75" s="1455"/>
      <c r="AP75" s="1455"/>
      <c r="AQ75" s="1455"/>
      <c r="AR75" s="1455"/>
      <c r="AS75" s="1455"/>
      <c r="AT75" s="1455"/>
      <c r="AU75" s="1455"/>
      <c r="AV75" s="1455"/>
      <c r="AW75" s="1456"/>
      <c r="AX75" s="1454"/>
      <c r="AY75" s="1455"/>
      <c r="AZ75" s="1455"/>
      <c r="BA75" s="1455"/>
      <c r="BB75" s="1455"/>
      <c r="BC75" s="1455"/>
      <c r="BD75" s="1455"/>
      <c r="BE75" s="1455"/>
      <c r="BF75" s="1455"/>
      <c r="BG75" s="1455"/>
      <c r="BH75" s="1455"/>
      <c r="BI75" s="1456"/>
      <c r="BJ75" s="1454"/>
      <c r="BK75" s="1455"/>
      <c r="BL75" s="1455"/>
      <c r="BM75" s="1455"/>
      <c r="BN75" s="1455"/>
      <c r="BO75" s="1455"/>
      <c r="BP75" s="1455"/>
      <c r="BQ75" s="1455"/>
      <c r="BR75" s="1455"/>
      <c r="BS75" s="1455"/>
      <c r="BT75" s="1455"/>
      <c r="BU75" s="1456"/>
      <c r="BV75" s="1454"/>
      <c r="BW75" s="1455"/>
      <c r="BX75" s="1455"/>
      <c r="BY75" s="1455"/>
      <c r="BZ75" s="1455"/>
      <c r="CA75" s="1455"/>
      <c r="CB75" s="1455"/>
      <c r="CC75" s="1455"/>
      <c r="CD75" s="1455"/>
      <c r="CE75" s="1455"/>
      <c r="CF75" s="1455"/>
      <c r="CG75" s="1456"/>
      <c r="CH75" s="1454"/>
      <c r="CI75" s="1455"/>
      <c r="CJ75" s="1455"/>
      <c r="CK75" s="1455"/>
      <c r="CL75" s="1455"/>
      <c r="CM75" s="1455"/>
      <c r="CN75" s="1455"/>
      <c r="CO75" s="1455"/>
      <c r="CP75" s="1455"/>
      <c r="CQ75" s="1455"/>
      <c r="CR75" s="1455"/>
      <c r="CS75" s="1456"/>
      <c r="CT75" s="1454"/>
      <c r="CU75" s="1455"/>
      <c r="CV75" s="1455"/>
      <c r="CW75" s="1455"/>
      <c r="CX75" s="1455"/>
      <c r="CY75" s="1455"/>
      <c r="CZ75" s="1455"/>
      <c r="DA75" s="1455"/>
      <c r="DB75" s="1455"/>
      <c r="DC75" s="1455"/>
      <c r="DD75" s="1455"/>
      <c r="DE75" s="1456"/>
      <c r="DF75" s="1454"/>
      <c r="DG75" s="1455"/>
      <c r="DH75" s="1455"/>
      <c r="DI75" s="1455"/>
      <c r="DJ75" s="1455"/>
      <c r="DK75" s="1455"/>
      <c r="DL75" s="1455"/>
      <c r="DM75" s="1455"/>
      <c r="DN75" s="1455"/>
      <c r="DO75" s="1455"/>
      <c r="DP75" s="1455"/>
      <c r="DQ75" s="1456"/>
      <c r="DR75" s="1448">
        <f t="shared" si="11"/>
        <v>0</v>
      </c>
      <c r="DS75" s="1446">
        <f t="shared" si="11"/>
        <v>0</v>
      </c>
      <c r="DT75" s="1446">
        <f t="shared" si="11"/>
        <v>0</v>
      </c>
      <c r="DU75" s="1446">
        <f t="shared" si="11"/>
        <v>0</v>
      </c>
      <c r="DV75" s="1446">
        <f t="shared" si="11"/>
        <v>0</v>
      </c>
      <c r="DW75" s="1446">
        <f t="shared" si="11"/>
        <v>0</v>
      </c>
      <c r="DX75" s="1446">
        <f t="shared" si="11"/>
        <v>0</v>
      </c>
      <c r="DY75" s="1446">
        <f t="shared" si="11"/>
        <v>0</v>
      </c>
      <c r="DZ75" s="1446">
        <f t="shared" si="11"/>
        <v>0</v>
      </c>
      <c r="EA75" s="1446">
        <f t="shared" si="11"/>
        <v>0</v>
      </c>
      <c r="EB75" s="1446">
        <f t="shared" si="11"/>
        <v>0</v>
      </c>
      <c r="EC75" s="1447">
        <f t="shared" si="11"/>
        <v>0</v>
      </c>
    </row>
    <row r="76" spans="1:133">
      <c r="A76" s="1449" t="s">
        <v>767</v>
      </c>
      <c r="B76" s="1454"/>
      <c r="C76" s="1455"/>
      <c r="D76" s="1455"/>
      <c r="E76" s="1455"/>
      <c r="F76" s="1455"/>
      <c r="G76" s="1455"/>
      <c r="H76" s="1455"/>
      <c r="I76" s="1455"/>
      <c r="J76" s="1455"/>
      <c r="K76" s="1455"/>
      <c r="L76" s="1455"/>
      <c r="M76" s="1456"/>
      <c r="N76" s="1454"/>
      <c r="O76" s="1455"/>
      <c r="P76" s="1455"/>
      <c r="Q76" s="1455"/>
      <c r="R76" s="1455"/>
      <c r="S76" s="1455"/>
      <c r="T76" s="1455"/>
      <c r="U76" s="1455"/>
      <c r="V76" s="1455"/>
      <c r="W76" s="1455"/>
      <c r="X76" s="1455"/>
      <c r="Y76" s="1456"/>
      <c r="Z76" s="1454"/>
      <c r="AA76" s="1455"/>
      <c r="AB76" s="1455"/>
      <c r="AC76" s="1455"/>
      <c r="AD76" s="1455"/>
      <c r="AE76" s="1455"/>
      <c r="AF76" s="1455"/>
      <c r="AG76" s="1455"/>
      <c r="AH76" s="1455"/>
      <c r="AI76" s="1455"/>
      <c r="AJ76" s="1455"/>
      <c r="AK76" s="1456"/>
      <c r="AL76" s="1454"/>
      <c r="AM76" s="1455"/>
      <c r="AN76" s="1455"/>
      <c r="AO76" s="1455"/>
      <c r="AP76" s="1455"/>
      <c r="AQ76" s="1455"/>
      <c r="AR76" s="1455"/>
      <c r="AS76" s="1455"/>
      <c r="AT76" s="1455"/>
      <c r="AU76" s="1455"/>
      <c r="AV76" s="1455"/>
      <c r="AW76" s="1456"/>
      <c r="AX76" s="1454"/>
      <c r="AY76" s="1455"/>
      <c r="AZ76" s="1455"/>
      <c r="BA76" s="1455"/>
      <c r="BB76" s="1455"/>
      <c r="BC76" s="1455"/>
      <c r="BD76" s="1455"/>
      <c r="BE76" s="1455"/>
      <c r="BF76" s="1455"/>
      <c r="BG76" s="1455"/>
      <c r="BH76" s="1455"/>
      <c r="BI76" s="1456"/>
      <c r="BJ76" s="1454"/>
      <c r="BK76" s="1455"/>
      <c r="BL76" s="1455"/>
      <c r="BM76" s="1455"/>
      <c r="BN76" s="1455"/>
      <c r="BO76" s="1455"/>
      <c r="BP76" s="1455"/>
      <c r="BQ76" s="1455"/>
      <c r="BR76" s="1455"/>
      <c r="BS76" s="1455"/>
      <c r="BT76" s="1455"/>
      <c r="BU76" s="1456"/>
      <c r="BV76" s="1454"/>
      <c r="BW76" s="1455"/>
      <c r="BX76" s="1455"/>
      <c r="BY76" s="1455"/>
      <c r="BZ76" s="1455"/>
      <c r="CA76" s="1455"/>
      <c r="CB76" s="1455"/>
      <c r="CC76" s="1455"/>
      <c r="CD76" s="1455"/>
      <c r="CE76" s="1455"/>
      <c r="CF76" s="1455"/>
      <c r="CG76" s="1456"/>
      <c r="CH76" s="1454"/>
      <c r="CI76" s="1455"/>
      <c r="CJ76" s="1455"/>
      <c r="CK76" s="1455"/>
      <c r="CL76" s="1455"/>
      <c r="CM76" s="1455"/>
      <c r="CN76" s="1455"/>
      <c r="CO76" s="1455"/>
      <c r="CP76" s="1455"/>
      <c r="CQ76" s="1455"/>
      <c r="CR76" s="1455"/>
      <c r="CS76" s="1456"/>
      <c r="CT76" s="1454"/>
      <c r="CU76" s="1455"/>
      <c r="CV76" s="1455"/>
      <c r="CW76" s="1455"/>
      <c r="CX76" s="1455"/>
      <c r="CY76" s="1455"/>
      <c r="CZ76" s="1455"/>
      <c r="DA76" s="1455"/>
      <c r="DB76" s="1455"/>
      <c r="DC76" s="1455"/>
      <c r="DD76" s="1455"/>
      <c r="DE76" s="1456"/>
      <c r="DF76" s="1454"/>
      <c r="DG76" s="1455"/>
      <c r="DH76" s="1455"/>
      <c r="DI76" s="1455"/>
      <c r="DJ76" s="1455"/>
      <c r="DK76" s="1455"/>
      <c r="DL76" s="1455"/>
      <c r="DM76" s="1455"/>
      <c r="DN76" s="1455"/>
      <c r="DO76" s="1455"/>
      <c r="DP76" s="1455"/>
      <c r="DQ76" s="1456"/>
      <c r="DR76" s="1448">
        <f t="shared" si="11"/>
        <v>0</v>
      </c>
      <c r="DS76" s="1446">
        <f t="shared" si="11"/>
        <v>0</v>
      </c>
      <c r="DT76" s="1446">
        <f t="shared" si="11"/>
        <v>0</v>
      </c>
      <c r="DU76" s="1446">
        <f t="shared" si="11"/>
        <v>0</v>
      </c>
      <c r="DV76" s="1446">
        <f t="shared" si="11"/>
        <v>0</v>
      </c>
      <c r="DW76" s="1446">
        <f t="shared" si="11"/>
        <v>0</v>
      </c>
      <c r="DX76" s="1446">
        <f t="shared" si="11"/>
        <v>0</v>
      </c>
      <c r="DY76" s="1446">
        <f t="shared" si="11"/>
        <v>0</v>
      </c>
      <c r="DZ76" s="1446">
        <f t="shared" si="11"/>
        <v>0</v>
      </c>
      <c r="EA76" s="1446">
        <f t="shared" si="11"/>
        <v>0</v>
      </c>
      <c r="EB76" s="1446">
        <f t="shared" si="11"/>
        <v>0</v>
      </c>
      <c r="EC76" s="1447">
        <f t="shared" si="11"/>
        <v>0</v>
      </c>
    </row>
    <row r="77" spans="1:133">
      <c r="A77" s="1453" t="s">
        <v>769</v>
      </c>
      <c r="B77" s="1438"/>
      <c r="C77" s="1439"/>
      <c r="D77" s="1439"/>
      <c r="E77" s="1439"/>
      <c r="F77" s="1439"/>
      <c r="G77" s="1439"/>
      <c r="H77" s="1439"/>
      <c r="I77" s="1439"/>
      <c r="J77" s="1439"/>
      <c r="K77" s="1439"/>
      <c r="L77" s="1439"/>
      <c r="M77" s="1439"/>
      <c r="N77" s="1439"/>
      <c r="O77" s="1439"/>
      <c r="P77" s="1439"/>
      <c r="Q77" s="1439"/>
      <c r="R77" s="1439"/>
      <c r="S77" s="1439"/>
      <c r="T77" s="1439"/>
      <c r="U77" s="1439"/>
      <c r="V77" s="1439"/>
      <c r="W77" s="1439"/>
      <c r="X77" s="1439"/>
      <c r="Y77" s="1439"/>
      <c r="Z77" s="1439"/>
      <c r="AA77" s="1439"/>
      <c r="AB77" s="1439"/>
      <c r="AC77" s="1439"/>
      <c r="AD77" s="1439"/>
      <c r="AE77" s="1439"/>
      <c r="AF77" s="1439"/>
      <c r="AG77" s="1439"/>
      <c r="AH77" s="1439"/>
      <c r="AI77" s="1439"/>
      <c r="AJ77" s="1439"/>
      <c r="AK77" s="1439"/>
      <c r="AL77" s="1439"/>
      <c r="AM77" s="1439"/>
      <c r="AN77" s="1439"/>
      <c r="AO77" s="1439"/>
      <c r="AP77" s="1439"/>
      <c r="AQ77" s="1439"/>
      <c r="AR77" s="1439"/>
      <c r="AS77" s="1439"/>
      <c r="AT77" s="1439"/>
      <c r="AU77" s="1439"/>
      <c r="AV77" s="1439"/>
      <c r="AW77" s="1439"/>
      <c r="AX77" s="1439"/>
      <c r="AY77" s="1439"/>
      <c r="AZ77" s="1439"/>
      <c r="BA77" s="1439"/>
      <c r="BB77" s="1439"/>
      <c r="BC77" s="1439"/>
      <c r="BD77" s="1439"/>
      <c r="BE77" s="1439"/>
      <c r="BF77" s="1439"/>
      <c r="BG77" s="1439"/>
      <c r="BH77" s="1439"/>
      <c r="BI77" s="1439"/>
      <c r="BJ77" s="1439"/>
      <c r="BK77" s="1439"/>
      <c r="BL77" s="1439"/>
      <c r="BM77" s="1439"/>
      <c r="BN77" s="1439"/>
      <c r="BO77" s="1439"/>
      <c r="BP77" s="1439"/>
      <c r="BQ77" s="1439"/>
      <c r="BR77" s="1439"/>
      <c r="BS77" s="1439"/>
      <c r="BT77" s="1439"/>
      <c r="BU77" s="1439"/>
      <c r="BV77" s="1439"/>
      <c r="BW77" s="1439"/>
      <c r="BX77" s="1439"/>
      <c r="BY77" s="1439"/>
      <c r="BZ77" s="1439"/>
      <c r="CA77" s="1439"/>
      <c r="CB77" s="1439"/>
      <c r="CC77" s="1439"/>
      <c r="CD77" s="1439"/>
      <c r="CE77" s="1439"/>
      <c r="CF77" s="1439"/>
      <c r="CG77" s="1439"/>
      <c r="CH77" s="1439"/>
      <c r="CI77" s="1439"/>
      <c r="CJ77" s="1439"/>
      <c r="CK77" s="1439"/>
      <c r="CL77" s="1439"/>
      <c r="CM77" s="1439"/>
      <c r="CN77" s="1439"/>
      <c r="CO77" s="1439"/>
      <c r="CP77" s="1439"/>
      <c r="CQ77" s="1439"/>
      <c r="CR77" s="1439"/>
      <c r="CS77" s="1439"/>
      <c r="CT77" s="1439"/>
      <c r="CU77" s="1439"/>
      <c r="CV77" s="1439"/>
      <c r="CW77" s="1439"/>
      <c r="CX77" s="1439"/>
      <c r="CY77" s="1439"/>
      <c r="CZ77" s="1439"/>
      <c r="DA77" s="1439"/>
      <c r="DB77" s="1439"/>
      <c r="DC77" s="1439"/>
      <c r="DD77" s="1439"/>
      <c r="DE77" s="1439"/>
      <c r="DF77" s="1439"/>
      <c r="DG77" s="1439"/>
      <c r="DH77" s="1439"/>
      <c r="DI77" s="1439"/>
      <c r="DJ77" s="1439"/>
      <c r="DK77" s="1439"/>
      <c r="DL77" s="1439"/>
      <c r="DM77" s="1439"/>
      <c r="DN77" s="1439"/>
      <c r="DO77" s="1439"/>
      <c r="DP77" s="1439"/>
      <c r="DQ77" s="1439"/>
      <c r="DR77" s="1439"/>
      <c r="DS77" s="1439"/>
      <c r="DT77" s="1439"/>
      <c r="DU77" s="1439"/>
      <c r="DV77" s="1439"/>
      <c r="DW77" s="1439"/>
      <c r="DX77" s="1439"/>
      <c r="DY77" s="1439"/>
      <c r="DZ77" s="1439"/>
      <c r="EA77" s="1439"/>
      <c r="EB77" s="1439"/>
      <c r="EC77" s="1440"/>
    </row>
    <row r="78" spans="1:133">
      <c r="A78" s="1449" t="s">
        <v>764</v>
      </c>
      <c r="B78" s="1454"/>
      <c r="C78" s="1455"/>
      <c r="D78" s="1455"/>
      <c r="E78" s="1455"/>
      <c r="F78" s="1455"/>
      <c r="G78" s="1455"/>
      <c r="H78" s="1455"/>
      <c r="I78" s="1455"/>
      <c r="J78" s="1455"/>
      <c r="K78" s="1455"/>
      <c r="L78" s="1455"/>
      <c r="M78" s="1456"/>
      <c r="N78" s="1454"/>
      <c r="O78" s="1455"/>
      <c r="P78" s="1455"/>
      <c r="Q78" s="1455"/>
      <c r="R78" s="1455"/>
      <c r="S78" s="1455"/>
      <c r="T78" s="1455"/>
      <c r="U78" s="1455"/>
      <c r="V78" s="1455"/>
      <c r="W78" s="1455"/>
      <c r="X78" s="1455"/>
      <c r="Y78" s="1456"/>
      <c r="Z78" s="1454"/>
      <c r="AA78" s="1455"/>
      <c r="AB78" s="1455"/>
      <c r="AC78" s="1455"/>
      <c r="AD78" s="1455"/>
      <c r="AE78" s="1455"/>
      <c r="AF78" s="1455"/>
      <c r="AG78" s="1455"/>
      <c r="AH78" s="1455"/>
      <c r="AI78" s="1455"/>
      <c r="AJ78" s="1455"/>
      <c r="AK78" s="1456"/>
      <c r="AL78" s="1454"/>
      <c r="AM78" s="1455"/>
      <c r="AN78" s="1455"/>
      <c r="AO78" s="1455"/>
      <c r="AP78" s="1455"/>
      <c r="AQ78" s="1455"/>
      <c r="AR78" s="1455"/>
      <c r="AS78" s="1455"/>
      <c r="AT78" s="1455"/>
      <c r="AU78" s="1455"/>
      <c r="AV78" s="1455"/>
      <c r="AW78" s="1456"/>
      <c r="AX78" s="1454"/>
      <c r="AY78" s="1455"/>
      <c r="AZ78" s="1455"/>
      <c r="BA78" s="1455"/>
      <c r="BB78" s="1455"/>
      <c r="BC78" s="1455"/>
      <c r="BD78" s="1455"/>
      <c r="BE78" s="1455"/>
      <c r="BF78" s="1455"/>
      <c r="BG78" s="1455"/>
      <c r="BH78" s="1455"/>
      <c r="BI78" s="1456"/>
      <c r="BJ78" s="1454"/>
      <c r="BK78" s="1455"/>
      <c r="BL78" s="1455"/>
      <c r="BM78" s="1455"/>
      <c r="BN78" s="1455"/>
      <c r="BO78" s="1455"/>
      <c r="BP78" s="1455"/>
      <c r="BQ78" s="1455"/>
      <c r="BR78" s="1455"/>
      <c r="BS78" s="1455"/>
      <c r="BT78" s="1455"/>
      <c r="BU78" s="1456"/>
      <c r="BV78" s="1454"/>
      <c r="BW78" s="1455"/>
      <c r="BX78" s="1455"/>
      <c r="BY78" s="1455"/>
      <c r="BZ78" s="1455"/>
      <c r="CA78" s="1455"/>
      <c r="CB78" s="1455"/>
      <c r="CC78" s="1455"/>
      <c r="CD78" s="1455"/>
      <c r="CE78" s="1455"/>
      <c r="CF78" s="1455"/>
      <c r="CG78" s="1456"/>
      <c r="CH78" s="1454"/>
      <c r="CI78" s="1455"/>
      <c r="CJ78" s="1455"/>
      <c r="CK78" s="1455"/>
      <c r="CL78" s="1455"/>
      <c r="CM78" s="1455"/>
      <c r="CN78" s="1455"/>
      <c r="CO78" s="1455"/>
      <c r="CP78" s="1455"/>
      <c r="CQ78" s="1455"/>
      <c r="CR78" s="1455"/>
      <c r="CS78" s="1456"/>
      <c r="CT78" s="1454"/>
      <c r="CU78" s="1455"/>
      <c r="CV78" s="1455"/>
      <c r="CW78" s="1455"/>
      <c r="CX78" s="1455"/>
      <c r="CY78" s="1455"/>
      <c r="CZ78" s="1455"/>
      <c r="DA78" s="1455"/>
      <c r="DB78" s="1455"/>
      <c r="DC78" s="1455"/>
      <c r="DD78" s="1455"/>
      <c r="DE78" s="1456"/>
      <c r="DF78" s="1454"/>
      <c r="DG78" s="1455"/>
      <c r="DH78" s="1455"/>
      <c r="DI78" s="1455"/>
      <c r="DJ78" s="1455"/>
      <c r="DK78" s="1455"/>
      <c r="DL78" s="1455"/>
      <c r="DM78" s="1455"/>
      <c r="DN78" s="1455"/>
      <c r="DO78" s="1455"/>
      <c r="DP78" s="1455"/>
      <c r="DQ78" s="1456"/>
      <c r="DR78" s="1448">
        <f t="shared" ref="DR78:EC81" si="12">SUM(B78,N78,Z78,AL78,AX78,BJ78,BV78,CH78,CT78,DF78)</f>
        <v>0</v>
      </c>
      <c r="DS78" s="1446">
        <f t="shared" si="12"/>
        <v>0</v>
      </c>
      <c r="DT78" s="1446">
        <f t="shared" si="12"/>
        <v>0</v>
      </c>
      <c r="DU78" s="1446">
        <f t="shared" si="12"/>
        <v>0</v>
      </c>
      <c r="DV78" s="1446">
        <f t="shared" si="12"/>
        <v>0</v>
      </c>
      <c r="DW78" s="1446">
        <f t="shared" si="12"/>
        <v>0</v>
      </c>
      <c r="DX78" s="1446">
        <f t="shared" si="12"/>
        <v>0</v>
      </c>
      <c r="DY78" s="1446">
        <f t="shared" si="12"/>
        <v>0</v>
      </c>
      <c r="DZ78" s="1446">
        <f t="shared" si="12"/>
        <v>0</v>
      </c>
      <c r="EA78" s="1446">
        <f t="shared" si="12"/>
        <v>0</v>
      </c>
      <c r="EB78" s="1446">
        <f t="shared" si="12"/>
        <v>0</v>
      </c>
      <c r="EC78" s="1447">
        <f t="shared" si="12"/>
        <v>0</v>
      </c>
    </row>
    <row r="79" spans="1:133">
      <c r="A79" s="1449" t="s">
        <v>765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/>
      <c r="O79" s="1455"/>
      <c r="P79" s="1455"/>
      <c r="Q79" s="1455"/>
      <c r="R79" s="1455"/>
      <c r="S79" s="1455"/>
      <c r="T79" s="1455"/>
      <c r="U79" s="1455"/>
      <c r="V79" s="1455"/>
      <c r="W79" s="1455"/>
      <c r="X79" s="1455"/>
      <c r="Y79" s="1456"/>
      <c r="Z79" s="1454"/>
      <c r="AA79" s="1455"/>
      <c r="AB79" s="1455"/>
      <c r="AC79" s="1455"/>
      <c r="AD79" s="1455"/>
      <c r="AE79" s="1455"/>
      <c r="AF79" s="1455"/>
      <c r="AG79" s="1455"/>
      <c r="AH79" s="1455"/>
      <c r="AI79" s="1455"/>
      <c r="AJ79" s="1455"/>
      <c r="AK79" s="1456"/>
      <c r="AL79" s="1454"/>
      <c r="AM79" s="1455"/>
      <c r="AN79" s="1455"/>
      <c r="AO79" s="1455"/>
      <c r="AP79" s="1455"/>
      <c r="AQ79" s="1455"/>
      <c r="AR79" s="1455"/>
      <c r="AS79" s="1455"/>
      <c r="AT79" s="1455"/>
      <c r="AU79" s="1455"/>
      <c r="AV79" s="1455"/>
      <c r="AW79" s="1456"/>
      <c r="AX79" s="1454"/>
      <c r="AY79" s="1455"/>
      <c r="AZ79" s="1455"/>
      <c r="BA79" s="1455"/>
      <c r="BB79" s="1455"/>
      <c r="BC79" s="1455"/>
      <c r="BD79" s="1455"/>
      <c r="BE79" s="1455"/>
      <c r="BF79" s="1455"/>
      <c r="BG79" s="1455"/>
      <c r="BH79" s="1455"/>
      <c r="BI79" s="1456"/>
      <c r="BJ79" s="1454"/>
      <c r="BK79" s="1455"/>
      <c r="BL79" s="1455"/>
      <c r="BM79" s="1455"/>
      <c r="BN79" s="1455"/>
      <c r="BO79" s="1455"/>
      <c r="BP79" s="1455"/>
      <c r="BQ79" s="1455"/>
      <c r="BR79" s="1455"/>
      <c r="BS79" s="1455"/>
      <c r="BT79" s="1455"/>
      <c r="BU79" s="1456"/>
      <c r="BV79" s="1454"/>
      <c r="BW79" s="1455"/>
      <c r="BX79" s="1455"/>
      <c r="BY79" s="1455"/>
      <c r="BZ79" s="1455"/>
      <c r="CA79" s="1455"/>
      <c r="CB79" s="1455"/>
      <c r="CC79" s="1455"/>
      <c r="CD79" s="1455"/>
      <c r="CE79" s="1455"/>
      <c r="CF79" s="1455"/>
      <c r="CG79" s="1456"/>
      <c r="CH79" s="1454"/>
      <c r="CI79" s="1455"/>
      <c r="CJ79" s="1455"/>
      <c r="CK79" s="1455"/>
      <c r="CL79" s="1455"/>
      <c r="CM79" s="1455"/>
      <c r="CN79" s="1455"/>
      <c r="CO79" s="1455"/>
      <c r="CP79" s="1455"/>
      <c r="CQ79" s="1455"/>
      <c r="CR79" s="1455"/>
      <c r="CS79" s="1456"/>
      <c r="CT79" s="1454"/>
      <c r="CU79" s="1455"/>
      <c r="CV79" s="1455"/>
      <c r="CW79" s="1455"/>
      <c r="CX79" s="1455"/>
      <c r="CY79" s="1455"/>
      <c r="CZ79" s="1455"/>
      <c r="DA79" s="1455"/>
      <c r="DB79" s="1455"/>
      <c r="DC79" s="1455"/>
      <c r="DD79" s="1455"/>
      <c r="DE79" s="1456"/>
      <c r="DF79" s="1454"/>
      <c r="DG79" s="1455"/>
      <c r="DH79" s="1455"/>
      <c r="DI79" s="1455"/>
      <c r="DJ79" s="1455"/>
      <c r="DK79" s="1455"/>
      <c r="DL79" s="1455"/>
      <c r="DM79" s="1455"/>
      <c r="DN79" s="1455"/>
      <c r="DO79" s="1455"/>
      <c r="DP79" s="1455"/>
      <c r="DQ79" s="1456"/>
      <c r="DR79" s="1448">
        <f t="shared" si="12"/>
        <v>0</v>
      </c>
      <c r="DS79" s="1446">
        <f t="shared" si="12"/>
        <v>0</v>
      </c>
      <c r="DT79" s="1446">
        <f t="shared" si="12"/>
        <v>0</v>
      </c>
      <c r="DU79" s="1446">
        <f t="shared" si="12"/>
        <v>0</v>
      </c>
      <c r="DV79" s="1446">
        <f t="shared" si="12"/>
        <v>0</v>
      </c>
      <c r="DW79" s="1446">
        <f t="shared" si="12"/>
        <v>0</v>
      </c>
      <c r="DX79" s="1446">
        <f t="shared" si="12"/>
        <v>0</v>
      </c>
      <c r="DY79" s="1446">
        <f t="shared" si="12"/>
        <v>0</v>
      </c>
      <c r="DZ79" s="1446">
        <f t="shared" si="12"/>
        <v>0</v>
      </c>
      <c r="EA79" s="1446">
        <f t="shared" si="12"/>
        <v>0</v>
      </c>
      <c r="EB79" s="1446">
        <f t="shared" si="12"/>
        <v>0</v>
      </c>
      <c r="EC79" s="1447">
        <f t="shared" si="12"/>
        <v>0</v>
      </c>
    </row>
    <row r="80" spans="1:133">
      <c r="A80" s="1449" t="s">
        <v>766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/>
      <c r="P80" s="1455"/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/>
      <c r="AD80" s="1455"/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/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/>
      <c r="BC80" s="1455"/>
      <c r="BD80" s="1455"/>
      <c r="BE80" s="1455"/>
      <c r="BF80" s="1455"/>
      <c r="BG80" s="1455"/>
      <c r="BH80" s="1455"/>
      <c r="BI80" s="1456"/>
      <c r="BJ80" s="1454"/>
      <c r="BK80" s="1455"/>
      <c r="BL80" s="1455"/>
      <c r="BM80" s="1455"/>
      <c r="BN80" s="1455"/>
      <c r="BO80" s="1455"/>
      <c r="BP80" s="1455"/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/>
      <c r="CA80" s="1455"/>
      <c r="CB80" s="1455"/>
      <c r="CC80" s="1455"/>
      <c r="CD80" s="1455"/>
      <c r="CE80" s="1455"/>
      <c r="CF80" s="1455"/>
      <c r="CG80" s="1456"/>
      <c r="CH80" s="1454"/>
      <c r="CI80" s="1455"/>
      <c r="CJ80" s="1455"/>
      <c r="CK80" s="1455"/>
      <c r="CL80" s="1455"/>
      <c r="CM80" s="1455"/>
      <c r="CN80" s="1455"/>
      <c r="CO80" s="1455"/>
      <c r="CP80" s="1455"/>
      <c r="CQ80" s="1455"/>
      <c r="CR80" s="1455"/>
      <c r="CS80" s="1456"/>
      <c r="CT80" s="1454"/>
      <c r="CU80" s="1455"/>
      <c r="CV80" s="1455"/>
      <c r="CW80" s="1455"/>
      <c r="CX80" s="1455"/>
      <c r="CY80" s="1455"/>
      <c r="CZ80" s="1455"/>
      <c r="DA80" s="1455"/>
      <c r="DB80" s="1455"/>
      <c r="DC80" s="1455"/>
      <c r="DD80" s="1455"/>
      <c r="DE80" s="1456"/>
      <c r="DF80" s="1454"/>
      <c r="DG80" s="1455"/>
      <c r="DH80" s="1455"/>
      <c r="DI80" s="1455"/>
      <c r="DJ80" s="1455"/>
      <c r="DK80" s="1455"/>
      <c r="DL80" s="1455"/>
      <c r="DM80" s="1455"/>
      <c r="DN80" s="1455"/>
      <c r="DO80" s="1455"/>
      <c r="DP80" s="1455"/>
      <c r="DQ80" s="1456"/>
      <c r="DR80" s="1448">
        <f t="shared" si="12"/>
        <v>0</v>
      </c>
      <c r="DS80" s="1446">
        <f t="shared" si="12"/>
        <v>0</v>
      </c>
      <c r="DT80" s="1446">
        <f t="shared" si="12"/>
        <v>0</v>
      </c>
      <c r="DU80" s="1446">
        <f t="shared" si="12"/>
        <v>0</v>
      </c>
      <c r="DV80" s="1446">
        <f t="shared" si="12"/>
        <v>0</v>
      </c>
      <c r="DW80" s="1446">
        <f t="shared" si="12"/>
        <v>0</v>
      </c>
      <c r="DX80" s="1446">
        <f t="shared" si="12"/>
        <v>0</v>
      </c>
      <c r="DY80" s="1446">
        <f t="shared" si="12"/>
        <v>0</v>
      </c>
      <c r="DZ80" s="1446">
        <f t="shared" si="12"/>
        <v>0</v>
      </c>
      <c r="EA80" s="1446">
        <f t="shared" si="12"/>
        <v>0</v>
      </c>
      <c r="EB80" s="1446">
        <f t="shared" si="12"/>
        <v>0</v>
      </c>
      <c r="EC80" s="1447">
        <f t="shared" si="12"/>
        <v>0</v>
      </c>
    </row>
    <row r="81" spans="1:133">
      <c r="A81" s="1449" t="s">
        <v>767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/>
      <c r="U81" s="1455"/>
      <c r="V81" s="1455"/>
      <c r="W81" s="1455"/>
      <c r="X81" s="1455"/>
      <c r="Y81" s="1456"/>
      <c r="Z81" s="1454"/>
      <c r="AA81" s="1455"/>
      <c r="AB81" s="1455"/>
      <c r="AC81" s="1455"/>
      <c r="AD81" s="1455"/>
      <c r="AE81" s="1455"/>
      <c r="AF81" s="1455"/>
      <c r="AG81" s="1455"/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/>
      <c r="AS81" s="1455"/>
      <c r="AT81" s="1455"/>
      <c r="AU81" s="1455"/>
      <c r="AV81" s="1455"/>
      <c r="AW81" s="1456"/>
      <c r="AX81" s="1454"/>
      <c r="AY81" s="1455"/>
      <c r="AZ81" s="1455"/>
      <c r="BA81" s="1455"/>
      <c r="BB81" s="1455"/>
      <c r="BC81" s="1455"/>
      <c r="BD81" s="1455"/>
      <c r="BE81" s="1455"/>
      <c r="BF81" s="1455"/>
      <c r="BG81" s="1455"/>
      <c r="BH81" s="1455"/>
      <c r="BI81" s="1456"/>
      <c r="BJ81" s="1454"/>
      <c r="BK81" s="1455"/>
      <c r="BL81" s="1455"/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/>
      <c r="BZ81" s="1455"/>
      <c r="CA81" s="1455"/>
      <c r="CB81" s="1455"/>
      <c r="CC81" s="1455"/>
      <c r="CD81" s="1455"/>
      <c r="CE81" s="1455"/>
      <c r="CF81" s="1455"/>
      <c r="CG81" s="1456"/>
      <c r="CH81" s="1454"/>
      <c r="CI81" s="1455"/>
      <c r="CJ81" s="1455"/>
      <c r="CK81" s="1455"/>
      <c r="CL81" s="1455"/>
      <c r="CM81" s="1455"/>
      <c r="CN81" s="1455"/>
      <c r="CO81" s="1455"/>
      <c r="CP81" s="1455"/>
      <c r="CQ81" s="1455"/>
      <c r="CR81" s="1455"/>
      <c r="CS81" s="1456"/>
      <c r="CT81" s="1454"/>
      <c r="CU81" s="1455"/>
      <c r="CV81" s="1455"/>
      <c r="CW81" s="1455"/>
      <c r="CX81" s="1455"/>
      <c r="CY81" s="1455"/>
      <c r="CZ81" s="1455"/>
      <c r="DA81" s="1455"/>
      <c r="DB81" s="1455"/>
      <c r="DC81" s="1455"/>
      <c r="DD81" s="1455"/>
      <c r="DE81" s="1456"/>
      <c r="DF81" s="1454"/>
      <c r="DG81" s="1455"/>
      <c r="DH81" s="1455"/>
      <c r="DI81" s="1455"/>
      <c r="DJ81" s="1455"/>
      <c r="DK81" s="1455"/>
      <c r="DL81" s="1455"/>
      <c r="DM81" s="1455"/>
      <c r="DN81" s="1455"/>
      <c r="DO81" s="1455"/>
      <c r="DP81" s="1455"/>
      <c r="DQ81" s="1456"/>
      <c r="DR81" s="1448">
        <f t="shared" si="12"/>
        <v>0</v>
      </c>
      <c r="DS81" s="1446">
        <f t="shared" si="12"/>
        <v>0</v>
      </c>
      <c r="DT81" s="1446">
        <f t="shared" si="12"/>
        <v>0</v>
      </c>
      <c r="DU81" s="1446">
        <f t="shared" si="12"/>
        <v>0</v>
      </c>
      <c r="DV81" s="1446">
        <f t="shared" si="12"/>
        <v>0</v>
      </c>
      <c r="DW81" s="1446">
        <f t="shared" si="12"/>
        <v>0</v>
      </c>
      <c r="DX81" s="1446">
        <f t="shared" si="12"/>
        <v>0</v>
      </c>
      <c r="DY81" s="1446">
        <f t="shared" si="12"/>
        <v>0</v>
      </c>
      <c r="DZ81" s="1446">
        <f t="shared" si="12"/>
        <v>0</v>
      </c>
      <c r="EA81" s="1446">
        <f t="shared" si="12"/>
        <v>0</v>
      </c>
      <c r="EB81" s="1446">
        <f t="shared" si="12"/>
        <v>0</v>
      </c>
      <c r="EC81" s="1447">
        <f t="shared" si="12"/>
        <v>0</v>
      </c>
    </row>
    <row r="82" spans="1:133">
      <c r="A82" s="1453" t="s">
        <v>770</v>
      </c>
      <c r="B82" s="1438"/>
      <c r="C82" s="1439"/>
      <c r="D82" s="1439"/>
      <c r="E82" s="1439"/>
      <c r="F82" s="1439"/>
      <c r="G82" s="1439"/>
      <c r="H82" s="1439"/>
      <c r="I82" s="1439"/>
      <c r="J82" s="1439"/>
      <c r="K82" s="1439"/>
      <c r="L82" s="1439"/>
      <c r="M82" s="1439"/>
      <c r="N82" s="1439"/>
      <c r="O82" s="1439"/>
      <c r="P82" s="1439"/>
      <c r="Q82" s="1439"/>
      <c r="R82" s="1439"/>
      <c r="S82" s="1439"/>
      <c r="T82" s="1439"/>
      <c r="U82" s="1439"/>
      <c r="V82" s="1439"/>
      <c r="W82" s="1439"/>
      <c r="X82" s="1439"/>
      <c r="Y82" s="1439"/>
      <c r="Z82" s="1439"/>
      <c r="AA82" s="1439"/>
      <c r="AB82" s="1439"/>
      <c r="AC82" s="1439"/>
      <c r="AD82" s="1439"/>
      <c r="AE82" s="1439"/>
      <c r="AF82" s="1439"/>
      <c r="AG82" s="1439"/>
      <c r="AH82" s="1439"/>
      <c r="AI82" s="1439"/>
      <c r="AJ82" s="1439"/>
      <c r="AK82" s="1439"/>
      <c r="AL82" s="1439"/>
      <c r="AM82" s="1439"/>
      <c r="AN82" s="1439"/>
      <c r="AO82" s="1439"/>
      <c r="AP82" s="1439"/>
      <c r="AQ82" s="1439"/>
      <c r="AR82" s="1439"/>
      <c r="AS82" s="1439"/>
      <c r="AT82" s="1439"/>
      <c r="AU82" s="1439"/>
      <c r="AV82" s="1439"/>
      <c r="AW82" s="1439"/>
      <c r="AX82" s="1439"/>
      <c r="AY82" s="1439"/>
      <c r="AZ82" s="1439"/>
      <c r="BA82" s="1439"/>
      <c r="BB82" s="1439"/>
      <c r="BC82" s="1439"/>
      <c r="BD82" s="1439"/>
      <c r="BE82" s="1439"/>
      <c r="BF82" s="1439"/>
      <c r="BG82" s="1439"/>
      <c r="BH82" s="1439"/>
      <c r="BI82" s="1439"/>
      <c r="BJ82" s="1439"/>
      <c r="BK82" s="1439"/>
      <c r="BL82" s="1439"/>
      <c r="BM82" s="1439"/>
      <c r="BN82" s="1439"/>
      <c r="BO82" s="1439"/>
      <c r="BP82" s="1439"/>
      <c r="BQ82" s="1439"/>
      <c r="BR82" s="1439"/>
      <c r="BS82" s="1439"/>
      <c r="BT82" s="1439"/>
      <c r="BU82" s="1439"/>
      <c r="BV82" s="1439"/>
      <c r="BW82" s="1439"/>
      <c r="BX82" s="1439"/>
      <c r="BY82" s="1439"/>
      <c r="BZ82" s="1439"/>
      <c r="CA82" s="1439"/>
      <c r="CB82" s="1439"/>
      <c r="CC82" s="1439"/>
      <c r="CD82" s="1439"/>
      <c r="CE82" s="1439"/>
      <c r="CF82" s="1439"/>
      <c r="CG82" s="1439"/>
      <c r="CH82" s="1439"/>
      <c r="CI82" s="1439"/>
      <c r="CJ82" s="1439"/>
      <c r="CK82" s="1439"/>
      <c r="CL82" s="1439"/>
      <c r="CM82" s="1439"/>
      <c r="CN82" s="1439"/>
      <c r="CO82" s="1439"/>
      <c r="CP82" s="1439"/>
      <c r="CQ82" s="1439"/>
      <c r="CR82" s="1439"/>
      <c r="CS82" s="1439"/>
      <c r="CT82" s="1439"/>
      <c r="CU82" s="1439"/>
      <c r="CV82" s="1439"/>
      <c r="CW82" s="1439"/>
      <c r="CX82" s="1439"/>
      <c r="CY82" s="1439"/>
      <c r="CZ82" s="1439"/>
      <c r="DA82" s="1439"/>
      <c r="DB82" s="1439"/>
      <c r="DC82" s="1439"/>
      <c r="DD82" s="1439"/>
      <c r="DE82" s="1439"/>
      <c r="DF82" s="1439"/>
      <c r="DG82" s="1439"/>
      <c r="DH82" s="1439"/>
      <c r="DI82" s="1439"/>
      <c r="DJ82" s="1439"/>
      <c r="DK82" s="1439"/>
      <c r="DL82" s="1439"/>
      <c r="DM82" s="1439"/>
      <c r="DN82" s="1439"/>
      <c r="DO82" s="1439"/>
      <c r="DP82" s="1439"/>
      <c r="DQ82" s="1439"/>
      <c r="DR82" s="1439"/>
      <c r="DS82" s="1439"/>
      <c r="DT82" s="1439"/>
      <c r="DU82" s="1439"/>
      <c r="DV82" s="1439"/>
      <c r="DW82" s="1439"/>
      <c r="DX82" s="1439"/>
      <c r="DY82" s="1439"/>
      <c r="DZ82" s="1439"/>
      <c r="EA82" s="1439"/>
      <c r="EB82" s="1439"/>
      <c r="EC82" s="1440"/>
    </row>
    <row r="83" spans="1:133">
      <c r="A83" s="1449" t="s">
        <v>764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/>
      <c r="P83" s="1455"/>
      <c r="Q83" s="1455"/>
      <c r="R83" s="1455"/>
      <c r="S83" s="1455"/>
      <c r="T83" s="1455"/>
      <c r="U83" s="1455"/>
      <c r="V83" s="1455"/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/>
      <c r="DH83" s="1455"/>
      <c r="DI83" s="1455"/>
      <c r="DJ83" s="1455"/>
      <c r="DK83" s="1455"/>
      <c r="DL83" s="1455"/>
      <c r="DM83" s="1455"/>
      <c r="DN83" s="1455"/>
      <c r="DO83" s="1455"/>
      <c r="DP83" s="1455"/>
      <c r="DQ83" s="1456"/>
      <c r="DR83" s="1448">
        <f t="shared" ref="DR83:EC90" si="13">SUM(B83,N83,Z83,AL83,AX83,BJ83,BV83,CH83,CT83,DF83)</f>
        <v>0</v>
      </c>
      <c r="DS83" s="1446">
        <f t="shared" si="13"/>
        <v>0</v>
      </c>
      <c r="DT83" s="1446">
        <f t="shared" si="13"/>
        <v>0</v>
      </c>
      <c r="DU83" s="1446">
        <f t="shared" si="13"/>
        <v>0</v>
      </c>
      <c r="DV83" s="1446">
        <f t="shared" si="13"/>
        <v>0</v>
      </c>
      <c r="DW83" s="1446">
        <f t="shared" si="13"/>
        <v>0</v>
      </c>
      <c r="DX83" s="1446">
        <f t="shared" si="13"/>
        <v>0</v>
      </c>
      <c r="DY83" s="1446">
        <f t="shared" si="13"/>
        <v>0</v>
      </c>
      <c r="DZ83" s="1446">
        <f t="shared" si="13"/>
        <v>0</v>
      </c>
      <c r="EA83" s="1446">
        <f t="shared" si="13"/>
        <v>0</v>
      </c>
      <c r="EB83" s="1446">
        <f t="shared" si="13"/>
        <v>0</v>
      </c>
      <c r="EC83" s="1447">
        <f t="shared" si="13"/>
        <v>0</v>
      </c>
    </row>
    <row r="84" spans="1:133">
      <c r="A84" s="1449" t="s">
        <v>765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/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/>
      <c r="CK84" s="1455"/>
      <c r="CL84" s="1455"/>
      <c r="CM84" s="1455"/>
      <c r="CN84" s="1455"/>
      <c r="CO84" s="1455"/>
      <c r="CP84" s="1455"/>
      <c r="CQ84" s="1455"/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48">
        <f t="shared" si="13"/>
        <v>0</v>
      </c>
      <c r="DS84" s="1446">
        <f t="shared" si="13"/>
        <v>0</v>
      </c>
      <c r="DT84" s="1446">
        <f t="shared" si="13"/>
        <v>0</v>
      </c>
      <c r="DU84" s="1446">
        <f t="shared" si="13"/>
        <v>0</v>
      </c>
      <c r="DV84" s="1446">
        <f t="shared" si="13"/>
        <v>0</v>
      </c>
      <c r="DW84" s="1446">
        <f t="shared" si="13"/>
        <v>0</v>
      </c>
      <c r="DX84" s="1446">
        <f t="shared" si="13"/>
        <v>0</v>
      </c>
      <c r="DY84" s="1446">
        <f t="shared" si="13"/>
        <v>0</v>
      </c>
      <c r="DZ84" s="1446">
        <f t="shared" si="13"/>
        <v>0</v>
      </c>
      <c r="EA84" s="1446">
        <f t="shared" si="13"/>
        <v>0</v>
      </c>
      <c r="EB84" s="1446">
        <f t="shared" si="13"/>
        <v>0</v>
      </c>
      <c r="EC84" s="1447">
        <f t="shared" si="13"/>
        <v>0</v>
      </c>
    </row>
    <row r="85" spans="1:133">
      <c r="A85" s="1449" t="s">
        <v>766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48">
        <f t="shared" si="13"/>
        <v>0</v>
      </c>
      <c r="DS85" s="1446">
        <f t="shared" si="13"/>
        <v>0</v>
      </c>
      <c r="DT85" s="1446">
        <f t="shared" si="13"/>
        <v>0</v>
      </c>
      <c r="DU85" s="1446">
        <f t="shared" si="13"/>
        <v>0</v>
      </c>
      <c r="DV85" s="1446">
        <f t="shared" si="13"/>
        <v>0</v>
      </c>
      <c r="DW85" s="1446">
        <f t="shared" si="13"/>
        <v>0</v>
      </c>
      <c r="DX85" s="1446">
        <f t="shared" si="13"/>
        <v>0</v>
      </c>
      <c r="DY85" s="1446">
        <f t="shared" si="13"/>
        <v>0</v>
      </c>
      <c r="DZ85" s="1446">
        <f t="shared" si="13"/>
        <v>0</v>
      </c>
      <c r="EA85" s="1446">
        <f t="shared" si="13"/>
        <v>0</v>
      </c>
      <c r="EB85" s="1446">
        <f t="shared" si="13"/>
        <v>0</v>
      </c>
      <c r="EC85" s="1447">
        <f t="shared" si="13"/>
        <v>0</v>
      </c>
    </row>
    <row r="86" spans="1:133">
      <c r="A86" s="1449" t="s">
        <v>767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/>
      <c r="P86" s="1455"/>
      <c r="Q86" s="1455"/>
      <c r="R86" s="1455"/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/>
      <c r="BX86" s="1455"/>
      <c r="BY86" s="1455"/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48">
        <f t="shared" si="13"/>
        <v>0</v>
      </c>
      <c r="DS86" s="1446">
        <f t="shared" si="13"/>
        <v>0</v>
      </c>
      <c r="DT86" s="1446">
        <f t="shared" si="13"/>
        <v>0</v>
      </c>
      <c r="DU86" s="1446">
        <f t="shared" si="13"/>
        <v>0</v>
      </c>
      <c r="DV86" s="1446">
        <f t="shared" si="13"/>
        <v>0</v>
      </c>
      <c r="DW86" s="1446">
        <f t="shared" si="13"/>
        <v>0</v>
      </c>
      <c r="DX86" s="1446">
        <f t="shared" si="13"/>
        <v>0</v>
      </c>
      <c r="DY86" s="1446">
        <f t="shared" si="13"/>
        <v>0</v>
      </c>
      <c r="DZ86" s="1446">
        <f t="shared" si="13"/>
        <v>0</v>
      </c>
      <c r="EA86" s="1446">
        <f t="shared" si="13"/>
        <v>0</v>
      </c>
      <c r="EB86" s="1446">
        <f t="shared" si="13"/>
        <v>0</v>
      </c>
      <c r="EC86" s="1447">
        <f t="shared" si="13"/>
        <v>0</v>
      </c>
    </row>
    <row r="87" spans="1:133">
      <c r="A87" s="1441" t="s">
        <v>771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48">
        <f t="shared" si="13"/>
        <v>0</v>
      </c>
      <c r="DS87" s="1446">
        <f t="shared" si="13"/>
        <v>0</v>
      </c>
      <c r="DT87" s="1446">
        <f t="shared" si="13"/>
        <v>0</v>
      </c>
      <c r="DU87" s="1446">
        <f t="shared" si="13"/>
        <v>0</v>
      </c>
      <c r="DV87" s="1446">
        <f t="shared" si="13"/>
        <v>0</v>
      </c>
      <c r="DW87" s="1446">
        <f t="shared" si="13"/>
        <v>0</v>
      </c>
      <c r="DX87" s="1446">
        <f t="shared" si="13"/>
        <v>0</v>
      </c>
      <c r="DY87" s="1446">
        <f t="shared" si="13"/>
        <v>0</v>
      </c>
      <c r="DZ87" s="1446">
        <f t="shared" si="13"/>
        <v>0</v>
      </c>
      <c r="EA87" s="1446">
        <f t="shared" si="13"/>
        <v>0</v>
      </c>
      <c r="EB87" s="1446">
        <f t="shared" si="13"/>
        <v>0</v>
      </c>
      <c r="EC87" s="1447">
        <f t="shared" si="13"/>
        <v>0</v>
      </c>
    </row>
    <row r="88" spans="1:133">
      <c r="A88" s="1441" t="s">
        <v>772</v>
      </c>
      <c r="B88" s="1454"/>
      <c r="C88" s="1455"/>
      <c r="D88" s="1455"/>
      <c r="E88" s="1455"/>
      <c r="F88" s="1455"/>
      <c r="G88" s="1455"/>
      <c r="H88" s="1455"/>
      <c r="I88" s="1455"/>
      <c r="J88" s="1455"/>
      <c r="K88" s="1455"/>
      <c r="L88" s="1455"/>
      <c r="M88" s="1456"/>
      <c r="N88" s="1454"/>
      <c r="O88" s="1455"/>
      <c r="P88" s="1455"/>
      <c r="Q88" s="1455"/>
      <c r="R88" s="1455"/>
      <c r="S88" s="1455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48">
        <f t="shared" si="13"/>
        <v>0</v>
      </c>
      <c r="DS88" s="1446">
        <f t="shared" si="13"/>
        <v>0</v>
      </c>
      <c r="DT88" s="1446">
        <f t="shared" si="13"/>
        <v>0</v>
      </c>
      <c r="DU88" s="1446">
        <f t="shared" si="13"/>
        <v>0</v>
      </c>
      <c r="DV88" s="1446">
        <f t="shared" si="13"/>
        <v>0</v>
      </c>
      <c r="DW88" s="1446">
        <f t="shared" si="13"/>
        <v>0</v>
      </c>
      <c r="DX88" s="1446">
        <f t="shared" si="13"/>
        <v>0</v>
      </c>
      <c r="DY88" s="1446">
        <f t="shared" si="13"/>
        <v>0</v>
      </c>
      <c r="DZ88" s="1446">
        <f t="shared" si="13"/>
        <v>0</v>
      </c>
      <c r="EA88" s="1446">
        <f t="shared" si="13"/>
        <v>0</v>
      </c>
      <c r="EB88" s="1446">
        <f t="shared" si="13"/>
        <v>0</v>
      </c>
      <c r="EC88" s="1447">
        <f t="shared" si="13"/>
        <v>0</v>
      </c>
    </row>
    <row r="89" spans="1:133">
      <c r="A89" s="1441" t="s">
        <v>773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/>
      <c r="O89" s="1455"/>
      <c r="P89" s="1455"/>
      <c r="Q89" s="1455"/>
      <c r="R89" s="1455"/>
      <c r="S89" s="1455"/>
      <c r="T89" s="1455"/>
      <c r="U89" s="1455"/>
      <c r="V89" s="1455"/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/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/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/>
      <c r="CE89" s="1455"/>
      <c r="CF89" s="1455"/>
      <c r="CG89" s="1456"/>
      <c r="CH89" s="1454"/>
      <c r="CI89" s="1455"/>
      <c r="CJ89" s="1455"/>
      <c r="CK89" s="1455"/>
      <c r="CL89" s="1455"/>
      <c r="CM89" s="1455"/>
      <c r="CN89" s="1455"/>
      <c r="CO89" s="1455"/>
      <c r="CP89" s="1455"/>
      <c r="CQ89" s="1455"/>
      <c r="CR89" s="1455"/>
      <c r="CS89" s="1456"/>
      <c r="CT89" s="1454"/>
      <c r="CU89" s="1455"/>
      <c r="CV89" s="1455"/>
      <c r="CW89" s="1455"/>
      <c r="CX89" s="1455"/>
      <c r="CY89" s="1455"/>
      <c r="CZ89" s="1455"/>
      <c r="DA89" s="1455"/>
      <c r="DB89" s="1455"/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48">
        <f t="shared" si="13"/>
        <v>0</v>
      </c>
      <c r="DS89" s="1446">
        <f t="shared" si="13"/>
        <v>0</v>
      </c>
      <c r="DT89" s="1446">
        <f t="shared" si="13"/>
        <v>0</v>
      </c>
      <c r="DU89" s="1446">
        <f t="shared" si="13"/>
        <v>0</v>
      </c>
      <c r="DV89" s="1446">
        <f t="shared" si="13"/>
        <v>0</v>
      </c>
      <c r="DW89" s="1446">
        <f t="shared" si="13"/>
        <v>0</v>
      </c>
      <c r="DX89" s="1446">
        <f t="shared" si="13"/>
        <v>0</v>
      </c>
      <c r="DY89" s="1446">
        <f t="shared" si="13"/>
        <v>0</v>
      </c>
      <c r="DZ89" s="1446">
        <f t="shared" si="13"/>
        <v>0</v>
      </c>
      <c r="EA89" s="1446">
        <f t="shared" si="13"/>
        <v>0</v>
      </c>
      <c r="EB89" s="1446">
        <f t="shared" si="13"/>
        <v>0</v>
      </c>
      <c r="EC89" s="1447">
        <f t="shared" si="13"/>
        <v>0</v>
      </c>
    </row>
    <row r="90" spans="1:133">
      <c r="A90" s="1441" t="s">
        <v>774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/>
      <c r="P90" s="1455"/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/>
      <c r="BY90" s="1455"/>
      <c r="BZ90" s="1455"/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/>
      <c r="DO90" s="1455"/>
      <c r="DP90" s="1455"/>
      <c r="DQ90" s="1456"/>
      <c r="DR90" s="1448">
        <f t="shared" si="13"/>
        <v>0</v>
      </c>
      <c r="DS90" s="1446">
        <f t="shared" si="13"/>
        <v>0</v>
      </c>
      <c r="DT90" s="1446">
        <f t="shared" si="13"/>
        <v>0</v>
      </c>
      <c r="DU90" s="1446">
        <f t="shared" si="13"/>
        <v>0</v>
      </c>
      <c r="DV90" s="1446">
        <f t="shared" si="13"/>
        <v>0</v>
      </c>
      <c r="DW90" s="1446">
        <f t="shared" si="13"/>
        <v>0</v>
      </c>
      <c r="DX90" s="1446">
        <f t="shared" si="13"/>
        <v>0</v>
      </c>
      <c r="DY90" s="1446">
        <f t="shared" si="13"/>
        <v>0</v>
      </c>
      <c r="DZ90" s="1446">
        <f t="shared" si="13"/>
        <v>0</v>
      </c>
      <c r="EA90" s="1446">
        <f t="shared" si="13"/>
        <v>0</v>
      </c>
      <c r="EB90" s="1446">
        <f t="shared" si="13"/>
        <v>0</v>
      </c>
      <c r="EC90" s="1447">
        <f t="shared" si="13"/>
        <v>0</v>
      </c>
    </row>
    <row r="91" spans="1:133">
      <c r="A91" s="1453" t="s">
        <v>444</v>
      </c>
      <c r="B91" s="1438"/>
      <c r="C91" s="1439"/>
      <c r="D91" s="1439"/>
      <c r="E91" s="1439"/>
      <c r="F91" s="1439"/>
      <c r="G91" s="1439"/>
      <c r="H91" s="1439"/>
      <c r="I91" s="1439"/>
      <c r="J91" s="1439"/>
      <c r="K91" s="1439"/>
      <c r="L91" s="1439"/>
      <c r="M91" s="1439"/>
      <c r="N91" s="1439"/>
      <c r="O91" s="1439"/>
      <c r="P91" s="1439"/>
      <c r="Q91" s="1439"/>
      <c r="R91" s="1439"/>
      <c r="S91" s="1439"/>
      <c r="T91" s="1439"/>
      <c r="U91" s="1439"/>
      <c r="V91" s="1439"/>
      <c r="W91" s="1439"/>
      <c r="X91" s="1439"/>
      <c r="Y91" s="1439"/>
      <c r="Z91" s="1439"/>
      <c r="AA91" s="1439"/>
      <c r="AB91" s="1439"/>
      <c r="AC91" s="1439"/>
      <c r="AD91" s="1439"/>
      <c r="AE91" s="1439"/>
      <c r="AF91" s="1439"/>
      <c r="AG91" s="1439"/>
      <c r="AH91" s="1439"/>
      <c r="AI91" s="1439"/>
      <c r="AJ91" s="1439"/>
      <c r="AK91" s="1439"/>
      <c r="AL91" s="1439"/>
      <c r="AM91" s="1439"/>
      <c r="AN91" s="1439"/>
      <c r="AO91" s="1439"/>
      <c r="AP91" s="1439"/>
      <c r="AQ91" s="1439"/>
      <c r="AR91" s="1439"/>
      <c r="AS91" s="1439"/>
      <c r="AT91" s="1439"/>
      <c r="AU91" s="1439"/>
      <c r="AV91" s="1439"/>
      <c r="AW91" s="1439"/>
      <c r="AX91" s="1439"/>
      <c r="AY91" s="1439"/>
      <c r="AZ91" s="1439"/>
      <c r="BA91" s="1439"/>
      <c r="BB91" s="1439"/>
      <c r="BC91" s="1439"/>
      <c r="BD91" s="1439"/>
      <c r="BE91" s="1439"/>
      <c r="BF91" s="1439"/>
      <c r="BG91" s="1439"/>
      <c r="BH91" s="1439"/>
      <c r="BI91" s="1439"/>
      <c r="BJ91" s="1439"/>
      <c r="BK91" s="1439"/>
      <c r="BL91" s="1439"/>
      <c r="BM91" s="1439"/>
      <c r="BN91" s="1439"/>
      <c r="BO91" s="1439"/>
      <c r="BP91" s="1439"/>
      <c r="BQ91" s="1439"/>
      <c r="BR91" s="1439"/>
      <c r="BS91" s="1439"/>
      <c r="BT91" s="1439"/>
      <c r="BU91" s="1439"/>
      <c r="BV91" s="1439"/>
      <c r="BW91" s="1439"/>
      <c r="BX91" s="1439"/>
      <c r="BY91" s="1439"/>
      <c r="BZ91" s="1439"/>
      <c r="CA91" s="1439"/>
      <c r="CB91" s="1439"/>
      <c r="CC91" s="1439"/>
      <c r="CD91" s="1439"/>
      <c r="CE91" s="1439"/>
      <c r="CF91" s="1439"/>
      <c r="CG91" s="1439"/>
      <c r="CH91" s="1439"/>
      <c r="CI91" s="1439"/>
      <c r="CJ91" s="1439"/>
      <c r="CK91" s="1439"/>
      <c r="CL91" s="1439"/>
      <c r="CM91" s="1439"/>
      <c r="CN91" s="1439"/>
      <c r="CO91" s="1439"/>
      <c r="CP91" s="1439"/>
      <c r="CQ91" s="1439"/>
      <c r="CR91" s="1439"/>
      <c r="CS91" s="1439"/>
      <c r="CT91" s="1439"/>
      <c r="CU91" s="1439"/>
      <c r="CV91" s="1439"/>
      <c r="CW91" s="1439"/>
      <c r="CX91" s="1439"/>
      <c r="CY91" s="1439"/>
      <c r="CZ91" s="1439"/>
      <c r="DA91" s="1439"/>
      <c r="DB91" s="1439"/>
      <c r="DC91" s="1439"/>
      <c r="DD91" s="1439"/>
      <c r="DE91" s="1439"/>
      <c r="DF91" s="1439"/>
      <c r="DG91" s="1439"/>
      <c r="DH91" s="1439"/>
      <c r="DI91" s="1439"/>
      <c r="DJ91" s="1439"/>
      <c r="DK91" s="1439"/>
      <c r="DL91" s="1439"/>
      <c r="DM91" s="1439"/>
      <c r="DN91" s="1439"/>
      <c r="DO91" s="1439"/>
      <c r="DP91" s="1439"/>
      <c r="DQ91" s="1439"/>
      <c r="DR91" s="1439"/>
      <c r="DS91" s="1439"/>
      <c r="DT91" s="1439"/>
      <c r="DU91" s="1439"/>
      <c r="DV91" s="1439"/>
      <c r="DW91" s="1439"/>
      <c r="DX91" s="1439"/>
      <c r="DY91" s="1439"/>
      <c r="DZ91" s="1439"/>
      <c r="EA91" s="1439"/>
      <c r="EB91" s="1439"/>
      <c r="EC91" s="1440"/>
    </row>
    <row r="92" spans="1:133">
      <c r="A92" s="1441" t="s">
        <v>775</v>
      </c>
      <c r="B92" s="1442"/>
      <c r="C92" s="1443"/>
      <c r="D92" s="1443"/>
      <c r="E92" s="1443"/>
      <c r="F92" s="1443"/>
      <c r="G92" s="1443"/>
      <c r="H92" s="1443"/>
      <c r="I92" s="1443"/>
      <c r="J92" s="1443"/>
      <c r="K92" s="1443"/>
      <c r="L92" s="1443"/>
      <c r="M92" s="1444"/>
      <c r="N92" s="1442"/>
      <c r="O92" s="1443"/>
      <c r="P92" s="1443"/>
      <c r="Q92" s="1443"/>
      <c r="R92" s="1443"/>
      <c r="S92" s="1443"/>
      <c r="T92" s="1443"/>
      <c r="U92" s="1443"/>
      <c r="V92" s="1443"/>
      <c r="W92" s="1443"/>
      <c r="X92" s="1443"/>
      <c r="Y92" s="1444"/>
      <c r="Z92" s="1442"/>
      <c r="AA92" s="1443"/>
      <c r="AB92" s="1443"/>
      <c r="AC92" s="1443"/>
      <c r="AD92" s="1443"/>
      <c r="AE92" s="1443"/>
      <c r="AF92" s="1443"/>
      <c r="AG92" s="1443"/>
      <c r="AH92" s="1443"/>
      <c r="AI92" s="1443"/>
      <c r="AJ92" s="1443"/>
      <c r="AK92" s="1444"/>
      <c r="AL92" s="1442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4"/>
      <c r="AX92" s="1442"/>
      <c r="AY92" s="1443"/>
      <c r="AZ92" s="1443"/>
      <c r="BA92" s="1443"/>
      <c r="BB92" s="1443"/>
      <c r="BC92" s="1443"/>
      <c r="BD92" s="1443"/>
      <c r="BE92" s="1443"/>
      <c r="BF92" s="1443"/>
      <c r="BG92" s="1443"/>
      <c r="BH92" s="1443"/>
      <c r="BI92" s="1444"/>
      <c r="BJ92" s="1442"/>
      <c r="BK92" s="1443"/>
      <c r="BL92" s="1443"/>
      <c r="BM92" s="1443"/>
      <c r="BN92" s="1443"/>
      <c r="BO92" s="1443"/>
      <c r="BP92" s="1443"/>
      <c r="BQ92" s="1443"/>
      <c r="BR92" s="1443"/>
      <c r="BS92" s="1443"/>
      <c r="BT92" s="1443"/>
      <c r="BU92" s="1444"/>
      <c r="BV92" s="1442"/>
      <c r="BW92" s="1443"/>
      <c r="BX92" s="1443"/>
      <c r="BY92" s="1443"/>
      <c r="BZ92" s="1443"/>
      <c r="CA92" s="1443"/>
      <c r="CB92" s="1443"/>
      <c r="CC92" s="1443"/>
      <c r="CD92" s="1443"/>
      <c r="CE92" s="1443"/>
      <c r="CF92" s="1443"/>
      <c r="CG92" s="1444"/>
      <c r="CH92" s="1442"/>
      <c r="CI92" s="1443"/>
      <c r="CJ92" s="1443"/>
      <c r="CK92" s="1443"/>
      <c r="CL92" s="1443"/>
      <c r="CM92" s="1443"/>
      <c r="CN92" s="1443"/>
      <c r="CO92" s="1443"/>
      <c r="CP92" s="1443"/>
      <c r="CQ92" s="1443"/>
      <c r="CR92" s="1443"/>
      <c r="CS92" s="1444"/>
      <c r="CT92" s="1442"/>
      <c r="CU92" s="1443"/>
      <c r="CV92" s="1443"/>
      <c r="CW92" s="1443"/>
      <c r="CX92" s="1443"/>
      <c r="CY92" s="1443"/>
      <c r="CZ92" s="1443"/>
      <c r="DA92" s="1443"/>
      <c r="DB92" s="1443"/>
      <c r="DC92" s="1443"/>
      <c r="DD92" s="1443"/>
      <c r="DE92" s="1444"/>
      <c r="DF92" s="1442"/>
      <c r="DG92" s="1443"/>
      <c r="DH92" s="1443"/>
      <c r="DI92" s="1443"/>
      <c r="DJ92" s="1443"/>
      <c r="DK92" s="1443"/>
      <c r="DL92" s="1443"/>
      <c r="DM92" s="1443"/>
      <c r="DN92" s="1443"/>
      <c r="DO92" s="1443"/>
      <c r="DP92" s="1443"/>
      <c r="DQ92" s="1444"/>
      <c r="DR92" s="1448">
        <f t="shared" ref="DR92:EC111" si="14">SUM(B92,N92,Z92,AL92,AX92,BJ92,BV92,CH92,CT92,DF92)</f>
        <v>0</v>
      </c>
      <c r="DS92" s="1446">
        <f t="shared" si="14"/>
        <v>0</v>
      </c>
      <c r="DT92" s="1446">
        <f t="shared" si="14"/>
        <v>0</v>
      </c>
      <c r="DU92" s="1446">
        <f t="shared" si="14"/>
        <v>0</v>
      </c>
      <c r="DV92" s="1446">
        <f t="shared" si="14"/>
        <v>0</v>
      </c>
      <c r="DW92" s="1446">
        <f t="shared" si="14"/>
        <v>0</v>
      </c>
      <c r="DX92" s="1446">
        <f t="shared" si="14"/>
        <v>0</v>
      </c>
      <c r="DY92" s="1446">
        <f t="shared" si="14"/>
        <v>0</v>
      </c>
      <c r="DZ92" s="1446">
        <f t="shared" si="14"/>
        <v>0</v>
      </c>
      <c r="EA92" s="1446">
        <f t="shared" si="14"/>
        <v>0</v>
      </c>
      <c r="EB92" s="1446">
        <f t="shared" si="14"/>
        <v>0</v>
      </c>
      <c r="EC92" s="1447">
        <f t="shared" si="14"/>
        <v>0</v>
      </c>
    </row>
    <row r="93" spans="1:133">
      <c r="A93" s="1441" t="s">
        <v>776</v>
      </c>
      <c r="B93" s="1442"/>
      <c r="C93" s="1443"/>
      <c r="D93" s="1443"/>
      <c r="E93" s="1443"/>
      <c r="F93" s="1443"/>
      <c r="G93" s="1443"/>
      <c r="H93" s="1443"/>
      <c r="I93" s="1443"/>
      <c r="J93" s="1443"/>
      <c r="K93" s="1443"/>
      <c r="L93" s="1443"/>
      <c r="M93" s="1444"/>
      <c r="N93" s="1442"/>
      <c r="O93" s="1443"/>
      <c r="P93" s="1443"/>
      <c r="Q93" s="1443"/>
      <c r="R93" s="1443"/>
      <c r="S93" s="1443"/>
      <c r="T93" s="1443"/>
      <c r="U93" s="1443"/>
      <c r="V93" s="1443"/>
      <c r="W93" s="1443"/>
      <c r="X93" s="1443"/>
      <c r="Y93" s="1444"/>
      <c r="Z93" s="1442"/>
      <c r="AA93" s="1443"/>
      <c r="AB93" s="1443"/>
      <c r="AC93" s="1443"/>
      <c r="AD93" s="1443"/>
      <c r="AE93" s="1443"/>
      <c r="AF93" s="1443"/>
      <c r="AG93" s="1443"/>
      <c r="AH93" s="1443"/>
      <c r="AI93" s="1443"/>
      <c r="AJ93" s="1443"/>
      <c r="AK93" s="1444"/>
      <c r="AL93" s="1442"/>
      <c r="AM93" s="1443"/>
      <c r="AN93" s="1443"/>
      <c r="AO93" s="1443"/>
      <c r="AP93" s="1443"/>
      <c r="AQ93" s="1443"/>
      <c r="AR93" s="1443"/>
      <c r="AS93" s="1443"/>
      <c r="AT93" s="1443"/>
      <c r="AU93" s="1443"/>
      <c r="AV93" s="1443"/>
      <c r="AW93" s="1444"/>
      <c r="AX93" s="1442"/>
      <c r="AY93" s="1443"/>
      <c r="AZ93" s="1443"/>
      <c r="BA93" s="1443"/>
      <c r="BB93" s="1443"/>
      <c r="BC93" s="1443"/>
      <c r="BD93" s="1443"/>
      <c r="BE93" s="1443"/>
      <c r="BF93" s="1443"/>
      <c r="BG93" s="1443"/>
      <c r="BH93" s="1443"/>
      <c r="BI93" s="1444"/>
      <c r="BJ93" s="1442"/>
      <c r="BK93" s="1443"/>
      <c r="BL93" s="1443"/>
      <c r="BM93" s="1443"/>
      <c r="BN93" s="1443"/>
      <c r="BO93" s="1443"/>
      <c r="BP93" s="1443"/>
      <c r="BQ93" s="1443"/>
      <c r="BR93" s="1443"/>
      <c r="BS93" s="1443"/>
      <c r="BT93" s="1443"/>
      <c r="BU93" s="1444"/>
      <c r="BV93" s="1442"/>
      <c r="BW93" s="1443"/>
      <c r="BX93" s="1443"/>
      <c r="BY93" s="1443"/>
      <c r="BZ93" s="1443"/>
      <c r="CA93" s="1443"/>
      <c r="CB93" s="1443"/>
      <c r="CC93" s="1443"/>
      <c r="CD93" s="1443"/>
      <c r="CE93" s="1443"/>
      <c r="CF93" s="1443"/>
      <c r="CG93" s="1444"/>
      <c r="CH93" s="1442"/>
      <c r="CI93" s="1443"/>
      <c r="CJ93" s="1443"/>
      <c r="CK93" s="1443"/>
      <c r="CL93" s="1443"/>
      <c r="CM93" s="1443"/>
      <c r="CN93" s="1443"/>
      <c r="CO93" s="1443"/>
      <c r="CP93" s="1443"/>
      <c r="CQ93" s="1443"/>
      <c r="CR93" s="1443"/>
      <c r="CS93" s="1444"/>
      <c r="CT93" s="1442"/>
      <c r="CU93" s="1443"/>
      <c r="CV93" s="1443"/>
      <c r="CW93" s="1443"/>
      <c r="CX93" s="1443"/>
      <c r="CY93" s="1443"/>
      <c r="CZ93" s="1443"/>
      <c r="DA93" s="1443"/>
      <c r="DB93" s="1443"/>
      <c r="DC93" s="1443"/>
      <c r="DD93" s="1443"/>
      <c r="DE93" s="1444"/>
      <c r="DF93" s="1442"/>
      <c r="DG93" s="1443"/>
      <c r="DH93" s="1443"/>
      <c r="DI93" s="1443"/>
      <c r="DJ93" s="1443"/>
      <c r="DK93" s="1443"/>
      <c r="DL93" s="1443"/>
      <c r="DM93" s="1443"/>
      <c r="DN93" s="1443"/>
      <c r="DO93" s="1443"/>
      <c r="DP93" s="1443"/>
      <c r="DQ93" s="1444"/>
      <c r="DR93" s="1448">
        <f t="shared" si="14"/>
        <v>0</v>
      </c>
      <c r="DS93" s="1446">
        <f t="shared" si="14"/>
        <v>0</v>
      </c>
      <c r="DT93" s="1446">
        <f t="shared" si="14"/>
        <v>0</v>
      </c>
      <c r="DU93" s="1446">
        <f t="shared" si="14"/>
        <v>0</v>
      </c>
      <c r="DV93" s="1446">
        <f t="shared" si="14"/>
        <v>0</v>
      </c>
      <c r="DW93" s="1446">
        <f t="shared" si="14"/>
        <v>0</v>
      </c>
      <c r="DX93" s="1446">
        <f t="shared" si="14"/>
        <v>0</v>
      </c>
      <c r="DY93" s="1446">
        <f t="shared" si="14"/>
        <v>0</v>
      </c>
      <c r="DZ93" s="1446">
        <f t="shared" si="14"/>
        <v>0</v>
      </c>
      <c r="EA93" s="1446">
        <f t="shared" si="14"/>
        <v>0</v>
      </c>
      <c r="EB93" s="1446">
        <f t="shared" si="14"/>
        <v>0</v>
      </c>
      <c r="EC93" s="1447">
        <f t="shared" si="14"/>
        <v>0</v>
      </c>
    </row>
    <row r="94" spans="1:133">
      <c r="A94" s="1441" t="s">
        <v>777</v>
      </c>
      <c r="B94" s="1442"/>
      <c r="C94" s="1443"/>
      <c r="D94" s="1443"/>
      <c r="E94" s="1443"/>
      <c r="F94" s="1443"/>
      <c r="G94" s="1443"/>
      <c r="H94" s="1443"/>
      <c r="I94" s="1443"/>
      <c r="J94" s="1443"/>
      <c r="K94" s="1443"/>
      <c r="L94" s="1443"/>
      <c r="M94" s="1444"/>
      <c r="N94" s="1442"/>
      <c r="O94" s="1443"/>
      <c r="P94" s="1443"/>
      <c r="Q94" s="1443"/>
      <c r="R94" s="1443"/>
      <c r="S94" s="1443"/>
      <c r="T94" s="1443"/>
      <c r="U94" s="1443"/>
      <c r="V94" s="1443"/>
      <c r="W94" s="1443"/>
      <c r="X94" s="1443"/>
      <c r="Y94" s="1444"/>
      <c r="Z94" s="1442"/>
      <c r="AA94" s="1443"/>
      <c r="AB94" s="1443"/>
      <c r="AC94" s="1443"/>
      <c r="AD94" s="1443"/>
      <c r="AE94" s="1443"/>
      <c r="AF94" s="1443"/>
      <c r="AG94" s="1443"/>
      <c r="AH94" s="1443"/>
      <c r="AI94" s="1443"/>
      <c r="AJ94" s="1443"/>
      <c r="AK94" s="1444"/>
      <c r="AL94" s="1442"/>
      <c r="AM94" s="1443"/>
      <c r="AN94" s="1443"/>
      <c r="AO94" s="1443"/>
      <c r="AP94" s="1443"/>
      <c r="AQ94" s="1443"/>
      <c r="AR94" s="1443"/>
      <c r="AS94" s="1443"/>
      <c r="AT94" s="1443"/>
      <c r="AU94" s="1443"/>
      <c r="AV94" s="1443"/>
      <c r="AW94" s="1444"/>
      <c r="AX94" s="1442"/>
      <c r="AY94" s="1443"/>
      <c r="AZ94" s="1443"/>
      <c r="BA94" s="1443"/>
      <c r="BB94" s="1443"/>
      <c r="BC94" s="1443"/>
      <c r="BD94" s="1443"/>
      <c r="BE94" s="1443"/>
      <c r="BF94" s="1443"/>
      <c r="BG94" s="1443"/>
      <c r="BH94" s="1443"/>
      <c r="BI94" s="1444"/>
      <c r="BJ94" s="1442"/>
      <c r="BK94" s="1443"/>
      <c r="BL94" s="1443"/>
      <c r="BM94" s="1443"/>
      <c r="BN94" s="1443"/>
      <c r="BO94" s="1443"/>
      <c r="BP94" s="1443"/>
      <c r="BQ94" s="1443"/>
      <c r="BR94" s="1443"/>
      <c r="BS94" s="1443"/>
      <c r="BT94" s="1443"/>
      <c r="BU94" s="1444"/>
      <c r="BV94" s="1442"/>
      <c r="BW94" s="1443"/>
      <c r="BX94" s="1443"/>
      <c r="BY94" s="1443"/>
      <c r="BZ94" s="1443"/>
      <c r="CA94" s="1443"/>
      <c r="CB94" s="1443"/>
      <c r="CC94" s="1443"/>
      <c r="CD94" s="1443"/>
      <c r="CE94" s="1443"/>
      <c r="CF94" s="1443"/>
      <c r="CG94" s="1444"/>
      <c r="CH94" s="1442"/>
      <c r="CI94" s="1443"/>
      <c r="CJ94" s="1443"/>
      <c r="CK94" s="1443"/>
      <c r="CL94" s="1443"/>
      <c r="CM94" s="1443"/>
      <c r="CN94" s="1443"/>
      <c r="CO94" s="1443"/>
      <c r="CP94" s="1443"/>
      <c r="CQ94" s="1443"/>
      <c r="CR94" s="1443"/>
      <c r="CS94" s="1444"/>
      <c r="CT94" s="1442"/>
      <c r="CU94" s="1443"/>
      <c r="CV94" s="1443"/>
      <c r="CW94" s="1443"/>
      <c r="CX94" s="1443"/>
      <c r="CY94" s="1443"/>
      <c r="CZ94" s="1443"/>
      <c r="DA94" s="1443"/>
      <c r="DB94" s="1443"/>
      <c r="DC94" s="1443"/>
      <c r="DD94" s="1443"/>
      <c r="DE94" s="1444"/>
      <c r="DF94" s="1442"/>
      <c r="DG94" s="1443"/>
      <c r="DH94" s="1443"/>
      <c r="DI94" s="1443"/>
      <c r="DJ94" s="1443"/>
      <c r="DK94" s="1443"/>
      <c r="DL94" s="1443"/>
      <c r="DM94" s="1443"/>
      <c r="DN94" s="1443"/>
      <c r="DO94" s="1443"/>
      <c r="DP94" s="1443"/>
      <c r="DQ94" s="1444"/>
      <c r="DR94" s="1448">
        <f t="shared" si="14"/>
        <v>0</v>
      </c>
      <c r="DS94" s="1446">
        <f t="shared" si="14"/>
        <v>0</v>
      </c>
      <c r="DT94" s="1446">
        <f t="shared" si="14"/>
        <v>0</v>
      </c>
      <c r="DU94" s="1446">
        <f t="shared" si="14"/>
        <v>0</v>
      </c>
      <c r="DV94" s="1446">
        <f t="shared" si="14"/>
        <v>0</v>
      </c>
      <c r="DW94" s="1446">
        <f t="shared" si="14"/>
        <v>0</v>
      </c>
      <c r="DX94" s="1446">
        <f t="shared" si="14"/>
        <v>0</v>
      </c>
      <c r="DY94" s="1446">
        <f t="shared" si="14"/>
        <v>0</v>
      </c>
      <c r="DZ94" s="1446">
        <f t="shared" si="14"/>
        <v>0</v>
      </c>
      <c r="EA94" s="1446">
        <f t="shared" si="14"/>
        <v>0</v>
      </c>
      <c r="EB94" s="1446">
        <f t="shared" si="14"/>
        <v>0</v>
      </c>
      <c r="EC94" s="1447">
        <f t="shared" si="14"/>
        <v>0</v>
      </c>
    </row>
    <row r="95" spans="1:133">
      <c r="A95" s="1441" t="s">
        <v>778</v>
      </c>
      <c r="B95" s="1442"/>
      <c r="C95" s="1443"/>
      <c r="D95" s="1443"/>
      <c r="E95" s="1443"/>
      <c r="F95" s="1443"/>
      <c r="G95" s="1443"/>
      <c r="H95" s="1443"/>
      <c r="I95" s="1443"/>
      <c r="J95" s="1443"/>
      <c r="K95" s="1443"/>
      <c r="L95" s="1443"/>
      <c r="M95" s="1444"/>
      <c r="N95" s="1442"/>
      <c r="O95" s="1443"/>
      <c r="P95" s="1443"/>
      <c r="Q95" s="1443"/>
      <c r="R95" s="1443"/>
      <c r="S95" s="1443"/>
      <c r="T95" s="1443"/>
      <c r="U95" s="1443"/>
      <c r="V95" s="1443"/>
      <c r="W95" s="1443"/>
      <c r="X95" s="1443"/>
      <c r="Y95" s="1444"/>
      <c r="Z95" s="1442"/>
      <c r="AA95" s="1443"/>
      <c r="AB95" s="1443"/>
      <c r="AC95" s="1443"/>
      <c r="AD95" s="1443"/>
      <c r="AE95" s="1443"/>
      <c r="AF95" s="1443"/>
      <c r="AG95" s="1443"/>
      <c r="AH95" s="1443"/>
      <c r="AI95" s="1443"/>
      <c r="AJ95" s="1443"/>
      <c r="AK95" s="1444"/>
      <c r="AL95" s="1442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4"/>
      <c r="AX95" s="1442"/>
      <c r="AY95" s="1443"/>
      <c r="AZ95" s="1443"/>
      <c r="BA95" s="1443"/>
      <c r="BB95" s="1443"/>
      <c r="BC95" s="1443"/>
      <c r="BD95" s="1443"/>
      <c r="BE95" s="1443"/>
      <c r="BF95" s="1443"/>
      <c r="BG95" s="1443"/>
      <c r="BH95" s="1443"/>
      <c r="BI95" s="1444"/>
      <c r="BJ95" s="1442"/>
      <c r="BK95" s="1443"/>
      <c r="BL95" s="1443"/>
      <c r="BM95" s="1443"/>
      <c r="BN95" s="1443"/>
      <c r="BO95" s="1443"/>
      <c r="BP95" s="1443"/>
      <c r="BQ95" s="1443"/>
      <c r="BR95" s="1443"/>
      <c r="BS95" s="1443"/>
      <c r="BT95" s="1443"/>
      <c r="BU95" s="1444"/>
      <c r="BV95" s="1442"/>
      <c r="BW95" s="1443"/>
      <c r="BX95" s="1443"/>
      <c r="BY95" s="1443"/>
      <c r="BZ95" s="1443"/>
      <c r="CA95" s="1443"/>
      <c r="CB95" s="1443"/>
      <c r="CC95" s="1443"/>
      <c r="CD95" s="1443"/>
      <c r="CE95" s="1443"/>
      <c r="CF95" s="1443"/>
      <c r="CG95" s="1444"/>
      <c r="CH95" s="1442"/>
      <c r="CI95" s="1443"/>
      <c r="CJ95" s="1443"/>
      <c r="CK95" s="1443"/>
      <c r="CL95" s="1443"/>
      <c r="CM95" s="1443"/>
      <c r="CN95" s="1443"/>
      <c r="CO95" s="1443"/>
      <c r="CP95" s="1443"/>
      <c r="CQ95" s="1443"/>
      <c r="CR95" s="1443"/>
      <c r="CS95" s="1444"/>
      <c r="CT95" s="1442"/>
      <c r="CU95" s="1443"/>
      <c r="CV95" s="1443"/>
      <c r="CW95" s="1443"/>
      <c r="CX95" s="1443"/>
      <c r="CY95" s="1443"/>
      <c r="CZ95" s="1443"/>
      <c r="DA95" s="1443"/>
      <c r="DB95" s="1443"/>
      <c r="DC95" s="1443"/>
      <c r="DD95" s="1443"/>
      <c r="DE95" s="1444"/>
      <c r="DF95" s="1442"/>
      <c r="DG95" s="1443"/>
      <c r="DH95" s="1443"/>
      <c r="DI95" s="1443"/>
      <c r="DJ95" s="1443"/>
      <c r="DK95" s="1443"/>
      <c r="DL95" s="1443"/>
      <c r="DM95" s="1443"/>
      <c r="DN95" s="1443"/>
      <c r="DO95" s="1443"/>
      <c r="DP95" s="1443"/>
      <c r="DQ95" s="1444"/>
      <c r="DR95" s="1448">
        <f t="shared" si="14"/>
        <v>0</v>
      </c>
      <c r="DS95" s="1446">
        <f t="shared" si="14"/>
        <v>0</v>
      </c>
      <c r="DT95" s="1446">
        <f t="shared" si="14"/>
        <v>0</v>
      </c>
      <c r="DU95" s="1446">
        <f t="shared" si="14"/>
        <v>0</v>
      </c>
      <c r="DV95" s="1446">
        <f t="shared" si="14"/>
        <v>0</v>
      </c>
      <c r="DW95" s="1446">
        <f t="shared" si="14"/>
        <v>0</v>
      </c>
      <c r="DX95" s="1446">
        <f t="shared" si="14"/>
        <v>0</v>
      </c>
      <c r="DY95" s="1446">
        <f t="shared" si="14"/>
        <v>0</v>
      </c>
      <c r="DZ95" s="1446">
        <f t="shared" si="14"/>
        <v>0</v>
      </c>
      <c r="EA95" s="1446">
        <f t="shared" si="14"/>
        <v>0</v>
      </c>
      <c r="EB95" s="1446">
        <f t="shared" si="14"/>
        <v>0</v>
      </c>
      <c r="EC95" s="1447">
        <f t="shared" si="14"/>
        <v>0</v>
      </c>
    </row>
    <row r="96" spans="1:133">
      <c r="A96" s="1441" t="s">
        <v>779</v>
      </c>
      <c r="B96" s="1442"/>
      <c r="C96" s="1443"/>
      <c r="D96" s="1443"/>
      <c r="E96" s="1443"/>
      <c r="F96" s="1443"/>
      <c r="G96" s="1443"/>
      <c r="H96" s="1443"/>
      <c r="I96" s="1443"/>
      <c r="J96" s="1443"/>
      <c r="K96" s="1443"/>
      <c r="L96" s="1443"/>
      <c r="M96" s="1444"/>
      <c r="N96" s="1442"/>
      <c r="O96" s="1443"/>
      <c r="P96" s="1443"/>
      <c r="Q96" s="1443"/>
      <c r="R96" s="1443"/>
      <c r="S96" s="1443"/>
      <c r="T96" s="1443"/>
      <c r="U96" s="1443"/>
      <c r="V96" s="1443"/>
      <c r="W96" s="1443"/>
      <c r="X96" s="1443"/>
      <c r="Y96" s="1444"/>
      <c r="Z96" s="1442"/>
      <c r="AA96" s="1443"/>
      <c r="AB96" s="1443"/>
      <c r="AC96" s="1443"/>
      <c r="AD96" s="1443"/>
      <c r="AE96" s="1443"/>
      <c r="AF96" s="1443"/>
      <c r="AG96" s="1443"/>
      <c r="AH96" s="1443"/>
      <c r="AI96" s="1443"/>
      <c r="AJ96" s="1443"/>
      <c r="AK96" s="1444"/>
      <c r="AL96" s="1442"/>
      <c r="AM96" s="1443"/>
      <c r="AN96" s="1443"/>
      <c r="AO96" s="1443"/>
      <c r="AP96" s="1443"/>
      <c r="AQ96" s="1443"/>
      <c r="AR96" s="1443"/>
      <c r="AS96" s="1443"/>
      <c r="AT96" s="1443"/>
      <c r="AU96" s="1443"/>
      <c r="AV96" s="1443"/>
      <c r="AW96" s="1444"/>
      <c r="AX96" s="1442"/>
      <c r="AY96" s="1443"/>
      <c r="AZ96" s="1443"/>
      <c r="BA96" s="1443"/>
      <c r="BB96" s="1443"/>
      <c r="BC96" s="1443"/>
      <c r="BD96" s="1443"/>
      <c r="BE96" s="1443"/>
      <c r="BF96" s="1443"/>
      <c r="BG96" s="1443"/>
      <c r="BH96" s="1443"/>
      <c r="BI96" s="1444"/>
      <c r="BJ96" s="1442"/>
      <c r="BK96" s="1443"/>
      <c r="BL96" s="1443"/>
      <c r="BM96" s="1443"/>
      <c r="BN96" s="1443"/>
      <c r="BO96" s="1443"/>
      <c r="BP96" s="1443"/>
      <c r="BQ96" s="1443"/>
      <c r="BR96" s="1443"/>
      <c r="BS96" s="1443"/>
      <c r="BT96" s="1443"/>
      <c r="BU96" s="1444"/>
      <c r="BV96" s="1442"/>
      <c r="BW96" s="1443"/>
      <c r="BX96" s="1443"/>
      <c r="BY96" s="1443"/>
      <c r="BZ96" s="1443"/>
      <c r="CA96" s="1443"/>
      <c r="CB96" s="1443"/>
      <c r="CC96" s="1443"/>
      <c r="CD96" s="1443"/>
      <c r="CE96" s="1443"/>
      <c r="CF96" s="1443"/>
      <c r="CG96" s="1444"/>
      <c r="CH96" s="1442"/>
      <c r="CI96" s="1443"/>
      <c r="CJ96" s="1443"/>
      <c r="CK96" s="1443"/>
      <c r="CL96" s="1443"/>
      <c r="CM96" s="1443"/>
      <c r="CN96" s="1443"/>
      <c r="CO96" s="1443"/>
      <c r="CP96" s="1443"/>
      <c r="CQ96" s="1443"/>
      <c r="CR96" s="1443"/>
      <c r="CS96" s="1444"/>
      <c r="CT96" s="1442"/>
      <c r="CU96" s="1443"/>
      <c r="CV96" s="1443"/>
      <c r="CW96" s="1443"/>
      <c r="CX96" s="1443"/>
      <c r="CY96" s="1443"/>
      <c r="CZ96" s="1443"/>
      <c r="DA96" s="1443"/>
      <c r="DB96" s="1443"/>
      <c r="DC96" s="1443"/>
      <c r="DD96" s="1443"/>
      <c r="DE96" s="1444"/>
      <c r="DF96" s="1442"/>
      <c r="DG96" s="1443"/>
      <c r="DH96" s="1443"/>
      <c r="DI96" s="1443"/>
      <c r="DJ96" s="1443"/>
      <c r="DK96" s="1443"/>
      <c r="DL96" s="1443"/>
      <c r="DM96" s="1443"/>
      <c r="DN96" s="1443"/>
      <c r="DO96" s="1443"/>
      <c r="DP96" s="1443"/>
      <c r="DQ96" s="1444"/>
      <c r="DR96" s="1448">
        <f t="shared" si="14"/>
        <v>0</v>
      </c>
      <c r="DS96" s="1446">
        <f t="shared" si="14"/>
        <v>0</v>
      </c>
      <c r="DT96" s="1446">
        <f t="shared" si="14"/>
        <v>0</v>
      </c>
      <c r="DU96" s="1446">
        <f t="shared" si="14"/>
        <v>0</v>
      </c>
      <c r="DV96" s="1446">
        <f t="shared" si="14"/>
        <v>0</v>
      </c>
      <c r="DW96" s="1446">
        <f t="shared" si="14"/>
        <v>0</v>
      </c>
      <c r="DX96" s="1446">
        <f t="shared" si="14"/>
        <v>0</v>
      </c>
      <c r="DY96" s="1446">
        <f t="shared" si="14"/>
        <v>0</v>
      </c>
      <c r="DZ96" s="1446">
        <f t="shared" si="14"/>
        <v>0</v>
      </c>
      <c r="EA96" s="1446">
        <f t="shared" si="14"/>
        <v>0</v>
      </c>
      <c r="EB96" s="1446">
        <f t="shared" si="14"/>
        <v>0</v>
      </c>
      <c r="EC96" s="1447">
        <f t="shared" si="14"/>
        <v>0</v>
      </c>
    </row>
    <row r="97" spans="1:133">
      <c r="A97" s="1441" t="s">
        <v>780</v>
      </c>
      <c r="B97" s="1442"/>
      <c r="C97" s="1443"/>
      <c r="D97" s="1443"/>
      <c r="E97" s="1443"/>
      <c r="F97" s="1443"/>
      <c r="G97" s="1443"/>
      <c r="H97" s="1443"/>
      <c r="I97" s="1443"/>
      <c r="J97" s="1443"/>
      <c r="K97" s="1443"/>
      <c r="L97" s="1443"/>
      <c r="M97" s="1444"/>
      <c r="N97" s="1442"/>
      <c r="O97" s="1443"/>
      <c r="P97" s="1443"/>
      <c r="Q97" s="1443"/>
      <c r="R97" s="1443"/>
      <c r="S97" s="1443"/>
      <c r="T97" s="1443"/>
      <c r="U97" s="1443"/>
      <c r="V97" s="1443"/>
      <c r="W97" s="1443"/>
      <c r="X97" s="1443"/>
      <c r="Y97" s="1444"/>
      <c r="Z97" s="1442"/>
      <c r="AA97" s="1443"/>
      <c r="AB97" s="1443"/>
      <c r="AC97" s="1443"/>
      <c r="AD97" s="1443"/>
      <c r="AE97" s="1443"/>
      <c r="AF97" s="1443"/>
      <c r="AG97" s="1443"/>
      <c r="AH97" s="1443"/>
      <c r="AI97" s="1443"/>
      <c r="AJ97" s="1443"/>
      <c r="AK97" s="1444"/>
      <c r="AL97" s="1442"/>
      <c r="AM97" s="1443"/>
      <c r="AN97" s="1443"/>
      <c r="AO97" s="1443"/>
      <c r="AP97" s="1443"/>
      <c r="AQ97" s="1443"/>
      <c r="AR97" s="1443"/>
      <c r="AS97" s="1443"/>
      <c r="AT97" s="1443"/>
      <c r="AU97" s="1443"/>
      <c r="AV97" s="1443"/>
      <c r="AW97" s="1444"/>
      <c r="AX97" s="1442"/>
      <c r="AY97" s="1443"/>
      <c r="AZ97" s="1443"/>
      <c r="BA97" s="1443"/>
      <c r="BB97" s="1443"/>
      <c r="BC97" s="1443"/>
      <c r="BD97" s="1443"/>
      <c r="BE97" s="1443"/>
      <c r="BF97" s="1443"/>
      <c r="BG97" s="1443"/>
      <c r="BH97" s="1443"/>
      <c r="BI97" s="1444"/>
      <c r="BJ97" s="1442"/>
      <c r="BK97" s="1443"/>
      <c r="BL97" s="1443"/>
      <c r="BM97" s="1443"/>
      <c r="BN97" s="1443"/>
      <c r="BO97" s="1443"/>
      <c r="BP97" s="1443"/>
      <c r="BQ97" s="1443"/>
      <c r="BR97" s="1443"/>
      <c r="BS97" s="1443"/>
      <c r="BT97" s="1443"/>
      <c r="BU97" s="1444"/>
      <c r="BV97" s="1442"/>
      <c r="BW97" s="1443"/>
      <c r="BX97" s="1443"/>
      <c r="BY97" s="1443"/>
      <c r="BZ97" s="1443"/>
      <c r="CA97" s="1443"/>
      <c r="CB97" s="1443"/>
      <c r="CC97" s="1443"/>
      <c r="CD97" s="1443"/>
      <c r="CE97" s="1443"/>
      <c r="CF97" s="1443"/>
      <c r="CG97" s="1444"/>
      <c r="CH97" s="1442"/>
      <c r="CI97" s="1443"/>
      <c r="CJ97" s="1443"/>
      <c r="CK97" s="1443"/>
      <c r="CL97" s="1443"/>
      <c r="CM97" s="1443"/>
      <c r="CN97" s="1443"/>
      <c r="CO97" s="1443"/>
      <c r="CP97" s="1443"/>
      <c r="CQ97" s="1443"/>
      <c r="CR97" s="1443"/>
      <c r="CS97" s="1444"/>
      <c r="CT97" s="1442"/>
      <c r="CU97" s="1443"/>
      <c r="CV97" s="1443"/>
      <c r="CW97" s="1443"/>
      <c r="CX97" s="1443"/>
      <c r="CY97" s="1443"/>
      <c r="CZ97" s="1443"/>
      <c r="DA97" s="1443"/>
      <c r="DB97" s="1443"/>
      <c r="DC97" s="1443"/>
      <c r="DD97" s="1443"/>
      <c r="DE97" s="1444"/>
      <c r="DF97" s="1442"/>
      <c r="DG97" s="1443"/>
      <c r="DH97" s="1443"/>
      <c r="DI97" s="1443"/>
      <c r="DJ97" s="1443"/>
      <c r="DK97" s="1443"/>
      <c r="DL97" s="1443"/>
      <c r="DM97" s="1443"/>
      <c r="DN97" s="1443"/>
      <c r="DO97" s="1443"/>
      <c r="DP97" s="1443"/>
      <c r="DQ97" s="1444"/>
      <c r="DR97" s="1448">
        <f t="shared" si="14"/>
        <v>0</v>
      </c>
      <c r="DS97" s="1446">
        <f t="shared" si="14"/>
        <v>0</v>
      </c>
      <c r="DT97" s="1446">
        <f t="shared" si="14"/>
        <v>0</v>
      </c>
      <c r="DU97" s="1446">
        <f t="shared" si="14"/>
        <v>0</v>
      </c>
      <c r="DV97" s="1446">
        <f t="shared" si="14"/>
        <v>0</v>
      </c>
      <c r="DW97" s="1446">
        <f t="shared" si="14"/>
        <v>0</v>
      </c>
      <c r="DX97" s="1446">
        <f t="shared" si="14"/>
        <v>0</v>
      </c>
      <c r="DY97" s="1446">
        <f t="shared" si="14"/>
        <v>0</v>
      </c>
      <c r="DZ97" s="1446">
        <f t="shared" si="14"/>
        <v>0</v>
      </c>
      <c r="EA97" s="1446">
        <f t="shared" si="14"/>
        <v>0</v>
      </c>
      <c r="EB97" s="1446">
        <f t="shared" si="14"/>
        <v>0</v>
      </c>
      <c r="EC97" s="1447">
        <f t="shared" si="14"/>
        <v>0</v>
      </c>
    </row>
    <row r="98" spans="1:133">
      <c r="A98" s="1441" t="s">
        <v>781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  <c r="L98" s="1443"/>
      <c r="M98" s="1444"/>
      <c r="N98" s="1442"/>
      <c r="O98" s="1443"/>
      <c r="P98" s="1443"/>
      <c r="Q98" s="1443"/>
      <c r="R98" s="1443"/>
      <c r="S98" s="1443"/>
      <c r="T98" s="1443"/>
      <c r="U98" s="1443"/>
      <c r="V98" s="1443"/>
      <c r="W98" s="1443"/>
      <c r="X98" s="1443"/>
      <c r="Y98" s="1444"/>
      <c r="Z98" s="1442"/>
      <c r="AA98" s="1443"/>
      <c r="AB98" s="1443"/>
      <c r="AC98" s="1443"/>
      <c r="AD98" s="1443"/>
      <c r="AE98" s="1443"/>
      <c r="AF98" s="1443"/>
      <c r="AG98" s="1443"/>
      <c r="AH98" s="1443"/>
      <c r="AI98" s="1443"/>
      <c r="AJ98" s="1443"/>
      <c r="AK98" s="1444"/>
      <c r="AL98" s="1442"/>
      <c r="AM98" s="1443"/>
      <c r="AN98" s="1443"/>
      <c r="AO98" s="1443"/>
      <c r="AP98" s="1443"/>
      <c r="AQ98" s="1443"/>
      <c r="AR98" s="1443"/>
      <c r="AS98" s="1443"/>
      <c r="AT98" s="1443"/>
      <c r="AU98" s="1443"/>
      <c r="AV98" s="1443"/>
      <c r="AW98" s="1444"/>
      <c r="AX98" s="1442"/>
      <c r="AY98" s="1443"/>
      <c r="AZ98" s="1443"/>
      <c r="BA98" s="1443"/>
      <c r="BB98" s="1443"/>
      <c r="BC98" s="1443"/>
      <c r="BD98" s="1443"/>
      <c r="BE98" s="1443"/>
      <c r="BF98" s="1443"/>
      <c r="BG98" s="1443"/>
      <c r="BH98" s="1443"/>
      <c r="BI98" s="1444"/>
      <c r="BJ98" s="1442"/>
      <c r="BK98" s="1443"/>
      <c r="BL98" s="1443"/>
      <c r="BM98" s="1443"/>
      <c r="BN98" s="1443"/>
      <c r="BO98" s="1443"/>
      <c r="BP98" s="1443"/>
      <c r="BQ98" s="1443"/>
      <c r="BR98" s="1443"/>
      <c r="BS98" s="1443"/>
      <c r="BT98" s="1443"/>
      <c r="BU98" s="1444"/>
      <c r="BV98" s="1442"/>
      <c r="BW98" s="1443"/>
      <c r="BX98" s="1443"/>
      <c r="BY98" s="1443"/>
      <c r="BZ98" s="1443"/>
      <c r="CA98" s="1443"/>
      <c r="CB98" s="1443"/>
      <c r="CC98" s="1443"/>
      <c r="CD98" s="1443"/>
      <c r="CE98" s="1443"/>
      <c r="CF98" s="1443"/>
      <c r="CG98" s="1444"/>
      <c r="CH98" s="1442"/>
      <c r="CI98" s="1443"/>
      <c r="CJ98" s="1443"/>
      <c r="CK98" s="1443"/>
      <c r="CL98" s="1443"/>
      <c r="CM98" s="1443"/>
      <c r="CN98" s="1443"/>
      <c r="CO98" s="1443"/>
      <c r="CP98" s="1443"/>
      <c r="CQ98" s="1443"/>
      <c r="CR98" s="1443"/>
      <c r="CS98" s="1444"/>
      <c r="CT98" s="1442"/>
      <c r="CU98" s="1443"/>
      <c r="CV98" s="1443"/>
      <c r="CW98" s="1443"/>
      <c r="CX98" s="1443"/>
      <c r="CY98" s="1443"/>
      <c r="CZ98" s="1443"/>
      <c r="DA98" s="1443"/>
      <c r="DB98" s="1443"/>
      <c r="DC98" s="1443"/>
      <c r="DD98" s="1443"/>
      <c r="DE98" s="1444"/>
      <c r="DF98" s="1442"/>
      <c r="DG98" s="1443"/>
      <c r="DH98" s="1443"/>
      <c r="DI98" s="1443"/>
      <c r="DJ98" s="1443"/>
      <c r="DK98" s="1443"/>
      <c r="DL98" s="1443"/>
      <c r="DM98" s="1443"/>
      <c r="DN98" s="1443"/>
      <c r="DO98" s="1443"/>
      <c r="DP98" s="1443"/>
      <c r="DQ98" s="1444"/>
      <c r="DR98" s="1448">
        <f t="shared" si="14"/>
        <v>0</v>
      </c>
      <c r="DS98" s="1446">
        <f t="shared" si="14"/>
        <v>0</v>
      </c>
      <c r="DT98" s="1446">
        <f t="shared" si="14"/>
        <v>0</v>
      </c>
      <c r="DU98" s="1446">
        <f t="shared" si="14"/>
        <v>0</v>
      </c>
      <c r="DV98" s="1446">
        <f t="shared" si="14"/>
        <v>0</v>
      </c>
      <c r="DW98" s="1446">
        <f t="shared" si="14"/>
        <v>0</v>
      </c>
      <c r="DX98" s="1446">
        <f t="shared" si="14"/>
        <v>0</v>
      </c>
      <c r="DY98" s="1446">
        <f t="shared" si="14"/>
        <v>0</v>
      </c>
      <c r="DZ98" s="1446">
        <f t="shared" si="14"/>
        <v>0</v>
      </c>
      <c r="EA98" s="1446">
        <f t="shared" si="14"/>
        <v>0</v>
      </c>
      <c r="EB98" s="1446">
        <f t="shared" si="14"/>
        <v>0</v>
      </c>
      <c r="EC98" s="1447">
        <f t="shared" si="14"/>
        <v>0</v>
      </c>
    </row>
    <row r="99" spans="1:133">
      <c r="A99" s="1441" t="s">
        <v>782</v>
      </c>
      <c r="B99" s="1442"/>
      <c r="C99" s="1443"/>
      <c r="D99" s="1443"/>
      <c r="E99" s="1443"/>
      <c r="F99" s="1443"/>
      <c r="G99" s="1443"/>
      <c r="H99" s="1443"/>
      <c r="I99" s="1443"/>
      <c r="J99" s="1443"/>
      <c r="K99" s="1443"/>
      <c r="L99" s="1443"/>
      <c r="M99" s="1444"/>
      <c r="N99" s="1442"/>
      <c r="O99" s="1443"/>
      <c r="P99" s="1443"/>
      <c r="Q99" s="1443"/>
      <c r="R99" s="1443"/>
      <c r="S99" s="1443"/>
      <c r="T99" s="1443"/>
      <c r="U99" s="1443"/>
      <c r="V99" s="1443"/>
      <c r="W99" s="1443"/>
      <c r="X99" s="1443"/>
      <c r="Y99" s="1444"/>
      <c r="Z99" s="1442"/>
      <c r="AA99" s="1443"/>
      <c r="AB99" s="1443"/>
      <c r="AC99" s="1443"/>
      <c r="AD99" s="1443"/>
      <c r="AE99" s="1443"/>
      <c r="AF99" s="1443"/>
      <c r="AG99" s="1443"/>
      <c r="AH99" s="1443"/>
      <c r="AI99" s="1443"/>
      <c r="AJ99" s="1443"/>
      <c r="AK99" s="1444"/>
      <c r="AL99" s="1442"/>
      <c r="AM99" s="1443"/>
      <c r="AN99" s="1443"/>
      <c r="AO99" s="1443"/>
      <c r="AP99" s="1443"/>
      <c r="AQ99" s="1443"/>
      <c r="AR99" s="1443"/>
      <c r="AS99" s="1443"/>
      <c r="AT99" s="1443"/>
      <c r="AU99" s="1443"/>
      <c r="AV99" s="1443"/>
      <c r="AW99" s="1444"/>
      <c r="AX99" s="1442"/>
      <c r="AY99" s="1443"/>
      <c r="AZ99" s="1443"/>
      <c r="BA99" s="1443"/>
      <c r="BB99" s="1443"/>
      <c r="BC99" s="1443"/>
      <c r="BD99" s="1443"/>
      <c r="BE99" s="1443"/>
      <c r="BF99" s="1443"/>
      <c r="BG99" s="1443"/>
      <c r="BH99" s="1443"/>
      <c r="BI99" s="1444"/>
      <c r="BJ99" s="1442"/>
      <c r="BK99" s="1443"/>
      <c r="BL99" s="1443"/>
      <c r="BM99" s="1443"/>
      <c r="BN99" s="1443"/>
      <c r="BO99" s="1443"/>
      <c r="BP99" s="1443"/>
      <c r="BQ99" s="1443"/>
      <c r="BR99" s="1443"/>
      <c r="BS99" s="1443"/>
      <c r="BT99" s="1443"/>
      <c r="BU99" s="1444"/>
      <c r="BV99" s="1442"/>
      <c r="BW99" s="1443"/>
      <c r="BX99" s="1443"/>
      <c r="BY99" s="1443"/>
      <c r="BZ99" s="1443"/>
      <c r="CA99" s="1443"/>
      <c r="CB99" s="1443"/>
      <c r="CC99" s="1443"/>
      <c r="CD99" s="1443"/>
      <c r="CE99" s="1443"/>
      <c r="CF99" s="1443"/>
      <c r="CG99" s="1444"/>
      <c r="CH99" s="1442"/>
      <c r="CI99" s="1443"/>
      <c r="CJ99" s="1443"/>
      <c r="CK99" s="1443"/>
      <c r="CL99" s="1443"/>
      <c r="CM99" s="1443"/>
      <c r="CN99" s="1443"/>
      <c r="CO99" s="1443"/>
      <c r="CP99" s="1443"/>
      <c r="CQ99" s="1443"/>
      <c r="CR99" s="1443"/>
      <c r="CS99" s="1444"/>
      <c r="CT99" s="1442"/>
      <c r="CU99" s="1443"/>
      <c r="CV99" s="1443"/>
      <c r="CW99" s="1443"/>
      <c r="CX99" s="1443"/>
      <c r="CY99" s="1443"/>
      <c r="CZ99" s="1443"/>
      <c r="DA99" s="1443"/>
      <c r="DB99" s="1443"/>
      <c r="DC99" s="1443"/>
      <c r="DD99" s="1443"/>
      <c r="DE99" s="1444"/>
      <c r="DF99" s="1442"/>
      <c r="DG99" s="1443"/>
      <c r="DH99" s="1443"/>
      <c r="DI99" s="1443"/>
      <c r="DJ99" s="1443"/>
      <c r="DK99" s="1443"/>
      <c r="DL99" s="1443"/>
      <c r="DM99" s="1443"/>
      <c r="DN99" s="1443"/>
      <c r="DO99" s="1443"/>
      <c r="DP99" s="1443"/>
      <c r="DQ99" s="1444"/>
      <c r="DR99" s="1448">
        <f t="shared" si="14"/>
        <v>0</v>
      </c>
      <c r="DS99" s="1446">
        <f t="shared" si="14"/>
        <v>0</v>
      </c>
      <c r="DT99" s="1446">
        <f t="shared" si="14"/>
        <v>0</v>
      </c>
      <c r="DU99" s="1446">
        <f t="shared" si="14"/>
        <v>0</v>
      </c>
      <c r="DV99" s="1446">
        <f t="shared" si="14"/>
        <v>0</v>
      </c>
      <c r="DW99" s="1446">
        <f t="shared" si="14"/>
        <v>0</v>
      </c>
      <c r="DX99" s="1446">
        <f t="shared" si="14"/>
        <v>0</v>
      </c>
      <c r="DY99" s="1446">
        <f t="shared" si="14"/>
        <v>0</v>
      </c>
      <c r="DZ99" s="1446">
        <f t="shared" si="14"/>
        <v>0</v>
      </c>
      <c r="EA99" s="1446">
        <f t="shared" si="14"/>
        <v>0</v>
      </c>
      <c r="EB99" s="1446">
        <f t="shared" si="14"/>
        <v>0</v>
      </c>
      <c r="EC99" s="1447">
        <f t="shared" si="14"/>
        <v>0</v>
      </c>
    </row>
    <row r="100" spans="1:133">
      <c r="A100" s="1441" t="s">
        <v>783</v>
      </c>
      <c r="B100" s="1442"/>
      <c r="C100" s="1443"/>
      <c r="D100" s="1443"/>
      <c r="E100" s="1443"/>
      <c r="F100" s="1443"/>
      <c r="G100" s="1443"/>
      <c r="H100" s="1443"/>
      <c r="I100" s="1443"/>
      <c r="J100" s="1443"/>
      <c r="K100" s="1443"/>
      <c r="L100" s="1443"/>
      <c r="M100" s="1444"/>
      <c r="N100" s="1442"/>
      <c r="O100" s="1443"/>
      <c r="P100" s="1443"/>
      <c r="Q100" s="1443"/>
      <c r="R100" s="1443"/>
      <c r="S100" s="1443"/>
      <c r="T100" s="1443"/>
      <c r="U100" s="1443"/>
      <c r="V100" s="1443"/>
      <c r="W100" s="1443"/>
      <c r="X100" s="1443"/>
      <c r="Y100" s="1444"/>
      <c r="Z100" s="1442"/>
      <c r="AA100" s="1443"/>
      <c r="AB100" s="1443"/>
      <c r="AC100" s="1443"/>
      <c r="AD100" s="1443"/>
      <c r="AE100" s="1443"/>
      <c r="AF100" s="1443"/>
      <c r="AG100" s="1443"/>
      <c r="AH100" s="1443"/>
      <c r="AI100" s="1443"/>
      <c r="AJ100" s="1443"/>
      <c r="AK100" s="1444"/>
      <c r="AL100" s="1442"/>
      <c r="AM100" s="1443"/>
      <c r="AN100" s="1443"/>
      <c r="AO100" s="1443"/>
      <c r="AP100" s="1443"/>
      <c r="AQ100" s="1443"/>
      <c r="AR100" s="1443"/>
      <c r="AS100" s="1443"/>
      <c r="AT100" s="1443"/>
      <c r="AU100" s="1443"/>
      <c r="AV100" s="1443"/>
      <c r="AW100" s="1444"/>
      <c r="AX100" s="1442"/>
      <c r="AY100" s="1443"/>
      <c r="AZ100" s="1443"/>
      <c r="BA100" s="1443"/>
      <c r="BB100" s="1443"/>
      <c r="BC100" s="1443"/>
      <c r="BD100" s="1443"/>
      <c r="BE100" s="1443"/>
      <c r="BF100" s="1443"/>
      <c r="BG100" s="1443"/>
      <c r="BH100" s="1443"/>
      <c r="BI100" s="1444"/>
      <c r="BJ100" s="1442"/>
      <c r="BK100" s="1443"/>
      <c r="BL100" s="1443"/>
      <c r="BM100" s="1443"/>
      <c r="BN100" s="1443"/>
      <c r="BO100" s="1443"/>
      <c r="BP100" s="1443"/>
      <c r="BQ100" s="1443"/>
      <c r="BR100" s="1443"/>
      <c r="BS100" s="1443"/>
      <c r="BT100" s="1443"/>
      <c r="BU100" s="1444"/>
      <c r="BV100" s="1442"/>
      <c r="BW100" s="1443"/>
      <c r="BX100" s="1443"/>
      <c r="BY100" s="1443"/>
      <c r="BZ100" s="1443"/>
      <c r="CA100" s="1443"/>
      <c r="CB100" s="1443"/>
      <c r="CC100" s="1443"/>
      <c r="CD100" s="1443"/>
      <c r="CE100" s="1443"/>
      <c r="CF100" s="1443"/>
      <c r="CG100" s="1444"/>
      <c r="CH100" s="1442"/>
      <c r="CI100" s="1443"/>
      <c r="CJ100" s="1443"/>
      <c r="CK100" s="1443"/>
      <c r="CL100" s="1443"/>
      <c r="CM100" s="1443"/>
      <c r="CN100" s="1443"/>
      <c r="CO100" s="1443"/>
      <c r="CP100" s="1443"/>
      <c r="CQ100" s="1443"/>
      <c r="CR100" s="1443"/>
      <c r="CS100" s="1444"/>
      <c r="CT100" s="1442"/>
      <c r="CU100" s="1443"/>
      <c r="CV100" s="1443"/>
      <c r="CW100" s="1443"/>
      <c r="CX100" s="1443"/>
      <c r="CY100" s="1443"/>
      <c r="CZ100" s="1443"/>
      <c r="DA100" s="1443"/>
      <c r="DB100" s="1443"/>
      <c r="DC100" s="1443"/>
      <c r="DD100" s="1443"/>
      <c r="DE100" s="1444"/>
      <c r="DF100" s="1442"/>
      <c r="DG100" s="1443"/>
      <c r="DH100" s="1443"/>
      <c r="DI100" s="1443"/>
      <c r="DJ100" s="1443"/>
      <c r="DK100" s="1443"/>
      <c r="DL100" s="1443"/>
      <c r="DM100" s="1443"/>
      <c r="DN100" s="1443"/>
      <c r="DO100" s="1443"/>
      <c r="DP100" s="1443"/>
      <c r="DQ100" s="1444"/>
      <c r="DR100" s="1448">
        <f t="shared" si="14"/>
        <v>0</v>
      </c>
      <c r="DS100" s="1446">
        <f t="shared" si="14"/>
        <v>0</v>
      </c>
      <c r="DT100" s="1446">
        <f t="shared" si="14"/>
        <v>0</v>
      </c>
      <c r="DU100" s="1446">
        <f t="shared" si="14"/>
        <v>0</v>
      </c>
      <c r="DV100" s="1446">
        <f t="shared" si="14"/>
        <v>0</v>
      </c>
      <c r="DW100" s="1446">
        <f t="shared" si="14"/>
        <v>0</v>
      </c>
      <c r="DX100" s="1446">
        <f t="shared" si="14"/>
        <v>0</v>
      </c>
      <c r="DY100" s="1446">
        <f t="shared" si="14"/>
        <v>0</v>
      </c>
      <c r="DZ100" s="1446">
        <f t="shared" si="14"/>
        <v>0</v>
      </c>
      <c r="EA100" s="1446">
        <f t="shared" si="14"/>
        <v>0</v>
      </c>
      <c r="EB100" s="1446">
        <f t="shared" si="14"/>
        <v>0</v>
      </c>
      <c r="EC100" s="1447">
        <f t="shared" si="14"/>
        <v>0</v>
      </c>
    </row>
    <row r="101" spans="1:133">
      <c r="A101" s="1441" t="s">
        <v>784</v>
      </c>
      <c r="B101" s="1442"/>
      <c r="C101" s="1443"/>
      <c r="D101" s="1451"/>
      <c r="E101" s="1451"/>
      <c r="F101" s="1451"/>
      <c r="G101" s="1451"/>
      <c r="H101" s="1451"/>
      <c r="I101" s="1451"/>
      <c r="J101" s="1451"/>
      <c r="K101" s="1451"/>
      <c r="L101" s="1451"/>
      <c r="M101" s="1452"/>
      <c r="N101" s="1450"/>
      <c r="O101" s="1451"/>
      <c r="P101" s="1451"/>
      <c r="Q101" s="1451"/>
      <c r="R101" s="1451"/>
      <c r="S101" s="1451"/>
      <c r="T101" s="1443"/>
      <c r="U101" s="1443"/>
      <c r="V101" s="1443"/>
      <c r="W101" s="1443"/>
      <c r="X101" s="1443"/>
      <c r="Y101" s="1444"/>
      <c r="Z101" s="1442"/>
      <c r="AA101" s="1443"/>
      <c r="AB101" s="1443"/>
      <c r="AC101" s="1443"/>
      <c r="AD101" s="1443"/>
      <c r="AE101" s="1443"/>
      <c r="AF101" s="1443"/>
      <c r="AG101" s="1443"/>
      <c r="AH101" s="1443"/>
      <c r="AI101" s="1443"/>
      <c r="AJ101" s="1443"/>
      <c r="AK101" s="1444"/>
      <c r="AL101" s="1442"/>
      <c r="AM101" s="1443"/>
      <c r="AN101" s="1443"/>
      <c r="AO101" s="1443"/>
      <c r="AP101" s="1443"/>
      <c r="AQ101" s="1443"/>
      <c r="AR101" s="1443"/>
      <c r="AS101" s="1443"/>
      <c r="AT101" s="1443"/>
      <c r="AU101" s="1443"/>
      <c r="AV101" s="1443"/>
      <c r="AW101" s="1444"/>
      <c r="AX101" s="1442"/>
      <c r="AY101" s="1443"/>
      <c r="AZ101" s="1443"/>
      <c r="BA101" s="1443"/>
      <c r="BB101" s="1443"/>
      <c r="BC101" s="1443"/>
      <c r="BD101" s="1443"/>
      <c r="BE101" s="1443"/>
      <c r="BF101" s="1443"/>
      <c r="BG101" s="1443"/>
      <c r="BH101" s="1443"/>
      <c r="BI101" s="1444"/>
      <c r="BJ101" s="1442"/>
      <c r="BK101" s="1443"/>
      <c r="BL101" s="1443"/>
      <c r="BM101" s="1443"/>
      <c r="BN101" s="1443"/>
      <c r="BO101" s="1443"/>
      <c r="BP101" s="1443"/>
      <c r="BQ101" s="1443"/>
      <c r="BR101" s="1443"/>
      <c r="BS101" s="1443"/>
      <c r="BT101" s="1443"/>
      <c r="BU101" s="1444"/>
      <c r="BV101" s="1442"/>
      <c r="BW101" s="1443"/>
      <c r="BX101" s="1443"/>
      <c r="BY101" s="1443"/>
      <c r="BZ101" s="1443"/>
      <c r="CA101" s="1443"/>
      <c r="CB101" s="1443"/>
      <c r="CC101" s="1443"/>
      <c r="CD101" s="1443"/>
      <c r="CE101" s="1443"/>
      <c r="CF101" s="1443"/>
      <c r="CG101" s="1444"/>
      <c r="CH101" s="1442"/>
      <c r="CI101" s="1443"/>
      <c r="CJ101" s="1443"/>
      <c r="CK101" s="1443"/>
      <c r="CL101" s="1443"/>
      <c r="CM101" s="1443"/>
      <c r="CN101" s="1443"/>
      <c r="CO101" s="1443"/>
      <c r="CP101" s="1443"/>
      <c r="CQ101" s="1443"/>
      <c r="CR101" s="1443"/>
      <c r="CS101" s="1444"/>
      <c r="CT101" s="1442"/>
      <c r="CU101" s="1443"/>
      <c r="CV101" s="1443"/>
      <c r="CW101" s="1443"/>
      <c r="CX101" s="1443"/>
      <c r="CY101" s="1443"/>
      <c r="CZ101" s="1443"/>
      <c r="DA101" s="1443"/>
      <c r="DB101" s="1443"/>
      <c r="DC101" s="1443"/>
      <c r="DD101" s="1443"/>
      <c r="DE101" s="1444"/>
      <c r="DF101" s="1442"/>
      <c r="DG101" s="1443"/>
      <c r="DH101" s="1443"/>
      <c r="DI101" s="1443"/>
      <c r="DJ101" s="1443"/>
      <c r="DK101" s="1443"/>
      <c r="DL101" s="1443"/>
      <c r="DM101" s="1443"/>
      <c r="DN101" s="1443"/>
      <c r="DO101" s="1443"/>
      <c r="DP101" s="1443"/>
      <c r="DQ101" s="1444"/>
      <c r="DR101" s="1448">
        <f t="shared" si="14"/>
        <v>0</v>
      </c>
      <c r="DS101" s="1446">
        <f t="shared" si="14"/>
        <v>0</v>
      </c>
      <c r="DT101" s="1446">
        <f t="shared" si="14"/>
        <v>0</v>
      </c>
      <c r="DU101" s="1446">
        <f t="shared" si="14"/>
        <v>0</v>
      </c>
      <c r="DV101" s="1446">
        <f t="shared" si="14"/>
        <v>0</v>
      </c>
      <c r="DW101" s="1446">
        <f t="shared" si="14"/>
        <v>0</v>
      </c>
      <c r="DX101" s="1446">
        <f t="shared" si="14"/>
        <v>0</v>
      </c>
      <c r="DY101" s="1446">
        <f t="shared" si="14"/>
        <v>0</v>
      </c>
      <c r="DZ101" s="1446">
        <f t="shared" si="14"/>
        <v>0</v>
      </c>
      <c r="EA101" s="1446">
        <f t="shared" si="14"/>
        <v>0</v>
      </c>
      <c r="EB101" s="1446">
        <f t="shared" si="14"/>
        <v>0</v>
      </c>
      <c r="EC101" s="1447">
        <f t="shared" si="14"/>
        <v>0</v>
      </c>
    </row>
    <row r="102" spans="1:133">
      <c r="A102" s="1441" t="s">
        <v>785</v>
      </c>
      <c r="B102" s="1442"/>
      <c r="C102" s="1443"/>
      <c r="D102" s="1443"/>
      <c r="E102" s="1443"/>
      <c r="F102" s="1443"/>
      <c r="G102" s="1443"/>
      <c r="H102" s="1443"/>
      <c r="I102" s="1443"/>
      <c r="J102" s="1443"/>
      <c r="K102" s="1443"/>
      <c r="L102" s="1443"/>
      <c r="M102" s="1444"/>
      <c r="N102" s="1442"/>
      <c r="O102" s="1443"/>
      <c r="P102" s="1443"/>
      <c r="Q102" s="1443"/>
      <c r="R102" s="1443"/>
      <c r="S102" s="1443"/>
      <c r="T102" s="1443"/>
      <c r="U102" s="1443"/>
      <c r="V102" s="1443"/>
      <c r="W102" s="1443"/>
      <c r="X102" s="1443"/>
      <c r="Y102" s="1444"/>
      <c r="Z102" s="1442"/>
      <c r="AA102" s="1443"/>
      <c r="AB102" s="1443"/>
      <c r="AC102" s="1443"/>
      <c r="AD102" s="1443"/>
      <c r="AE102" s="1443"/>
      <c r="AF102" s="1443"/>
      <c r="AG102" s="1443"/>
      <c r="AH102" s="1443"/>
      <c r="AI102" s="1443"/>
      <c r="AJ102" s="1443"/>
      <c r="AK102" s="1444"/>
      <c r="AL102" s="1442"/>
      <c r="AM102" s="1443"/>
      <c r="AN102" s="1443"/>
      <c r="AO102" s="1443"/>
      <c r="AP102" s="1443"/>
      <c r="AQ102" s="1443"/>
      <c r="AR102" s="1443"/>
      <c r="AS102" s="1443"/>
      <c r="AT102" s="1443"/>
      <c r="AU102" s="1443"/>
      <c r="AV102" s="1443"/>
      <c r="AW102" s="1444"/>
      <c r="AX102" s="1442"/>
      <c r="AY102" s="1443"/>
      <c r="AZ102" s="1443"/>
      <c r="BA102" s="1443"/>
      <c r="BB102" s="1443"/>
      <c r="BC102" s="1443"/>
      <c r="BD102" s="1443"/>
      <c r="BE102" s="1443"/>
      <c r="BF102" s="1443"/>
      <c r="BG102" s="1443"/>
      <c r="BH102" s="1443"/>
      <c r="BI102" s="1444"/>
      <c r="BJ102" s="1442"/>
      <c r="BK102" s="1443"/>
      <c r="BL102" s="1443"/>
      <c r="BM102" s="1443"/>
      <c r="BN102" s="1443"/>
      <c r="BO102" s="1443"/>
      <c r="BP102" s="1443"/>
      <c r="BQ102" s="1443"/>
      <c r="BR102" s="1443"/>
      <c r="BS102" s="1443"/>
      <c r="BT102" s="1443"/>
      <c r="BU102" s="1444"/>
      <c r="BV102" s="1442"/>
      <c r="BW102" s="1443"/>
      <c r="BX102" s="1443"/>
      <c r="BY102" s="1443"/>
      <c r="BZ102" s="1443"/>
      <c r="CA102" s="1443"/>
      <c r="CB102" s="1443"/>
      <c r="CC102" s="1443"/>
      <c r="CD102" s="1443"/>
      <c r="CE102" s="1443"/>
      <c r="CF102" s="1443"/>
      <c r="CG102" s="1444"/>
      <c r="CH102" s="1442"/>
      <c r="CI102" s="1443"/>
      <c r="CJ102" s="1443"/>
      <c r="CK102" s="1443"/>
      <c r="CL102" s="1443"/>
      <c r="CM102" s="1443"/>
      <c r="CN102" s="1443"/>
      <c r="CO102" s="1443"/>
      <c r="CP102" s="1443"/>
      <c r="CQ102" s="1443"/>
      <c r="CR102" s="1443"/>
      <c r="CS102" s="1444"/>
      <c r="CT102" s="1442"/>
      <c r="CU102" s="1443"/>
      <c r="CV102" s="1443"/>
      <c r="CW102" s="1443"/>
      <c r="CX102" s="1443"/>
      <c r="CY102" s="1443"/>
      <c r="CZ102" s="1443"/>
      <c r="DA102" s="1443"/>
      <c r="DB102" s="1443"/>
      <c r="DC102" s="1443"/>
      <c r="DD102" s="1443"/>
      <c r="DE102" s="1444"/>
      <c r="DF102" s="1442"/>
      <c r="DG102" s="1443"/>
      <c r="DH102" s="1443"/>
      <c r="DI102" s="1443"/>
      <c r="DJ102" s="1443"/>
      <c r="DK102" s="1443"/>
      <c r="DL102" s="1443"/>
      <c r="DM102" s="1443"/>
      <c r="DN102" s="1443"/>
      <c r="DO102" s="1443"/>
      <c r="DP102" s="1443"/>
      <c r="DQ102" s="1444"/>
      <c r="DR102" s="1448">
        <f t="shared" si="14"/>
        <v>0</v>
      </c>
      <c r="DS102" s="1446">
        <f t="shared" si="14"/>
        <v>0</v>
      </c>
      <c r="DT102" s="1446">
        <f t="shared" si="14"/>
        <v>0</v>
      </c>
      <c r="DU102" s="1446">
        <f t="shared" si="14"/>
        <v>0</v>
      </c>
      <c r="DV102" s="1446">
        <f t="shared" si="14"/>
        <v>0</v>
      </c>
      <c r="DW102" s="1446">
        <f t="shared" si="14"/>
        <v>0</v>
      </c>
      <c r="DX102" s="1446">
        <f t="shared" si="14"/>
        <v>0</v>
      </c>
      <c r="DY102" s="1446">
        <f t="shared" si="14"/>
        <v>0</v>
      </c>
      <c r="DZ102" s="1446">
        <f t="shared" si="14"/>
        <v>0</v>
      </c>
      <c r="EA102" s="1446">
        <f t="shared" si="14"/>
        <v>0</v>
      </c>
      <c r="EB102" s="1446">
        <f t="shared" si="14"/>
        <v>0</v>
      </c>
      <c r="EC102" s="1447">
        <f t="shared" si="14"/>
        <v>0</v>
      </c>
    </row>
    <row r="103" spans="1:133">
      <c r="A103" s="1441" t="s">
        <v>786</v>
      </c>
      <c r="B103" s="1442"/>
      <c r="C103" s="1443"/>
      <c r="D103" s="1443"/>
      <c r="E103" s="1443"/>
      <c r="F103" s="1443"/>
      <c r="G103" s="1443"/>
      <c r="H103" s="1443"/>
      <c r="I103" s="1443"/>
      <c r="J103" s="1443"/>
      <c r="K103" s="1443"/>
      <c r="L103" s="1443"/>
      <c r="M103" s="1444"/>
      <c r="N103" s="1442"/>
      <c r="O103" s="1443"/>
      <c r="P103" s="1443"/>
      <c r="Q103" s="1443"/>
      <c r="R103" s="1443"/>
      <c r="S103" s="1443"/>
      <c r="T103" s="1443"/>
      <c r="U103" s="1443"/>
      <c r="V103" s="1443"/>
      <c r="W103" s="1443"/>
      <c r="X103" s="1443"/>
      <c r="Y103" s="1444"/>
      <c r="Z103" s="1442"/>
      <c r="AA103" s="1443"/>
      <c r="AB103" s="1443"/>
      <c r="AC103" s="1443"/>
      <c r="AD103" s="1443"/>
      <c r="AE103" s="1443"/>
      <c r="AF103" s="1443"/>
      <c r="AG103" s="1443"/>
      <c r="AH103" s="1443"/>
      <c r="AI103" s="1443"/>
      <c r="AJ103" s="1443"/>
      <c r="AK103" s="1444"/>
      <c r="AL103" s="1442"/>
      <c r="AM103" s="1443"/>
      <c r="AN103" s="1443"/>
      <c r="AO103" s="1443"/>
      <c r="AP103" s="1443"/>
      <c r="AQ103" s="1443"/>
      <c r="AR103" s="1443"/>
      <c r="AS103" s="1443"/>
      <c r="AT103" s="1443"/>
      <c r="AU103" s="1443"/>
      <c r="AV103" s="1443"/>
      <c r="AW103" s="1444"/>
      <c r="AX103" s="1442"/>
      <c r="AY103" s="1443"/>
      <c r="AZ103" s="1443"/>
      <c r="BA103" s="1443"/>
      <c r="BB103" s="1443"/>
      <c r="BC103" s="1443"/>
      <c r="BD103" s="1443"/>
      <c r="BE103" s="1443"/>
      <c r="BF103" s="1443"/>
      <c r="BG103" s="1443"/>
      <c r="BH103" s="1443"/>
      <c r="BI103" s="1444"/>
      <c r="BJ103" s="1442"/>
      <c r="BK103" s="1443"/>
      <c r="BL103" s="1443"/>
      <c r="BM103" s="1443"/>
      <c r="BN103" s="1443"/>
      <c r="BO103" s="1443"/>
      <c r="BP103" s="1443"/>
      <c r="BQ103" s="1443"/>
      <c r="BR103" s="1443"/>
      <c r="BS103" s="1443"/>
      <c r="BT103" s="1443"/>
      <c r="BU103" s="1444"/>
      <c r="BV103" s="1442"/>
      <c r="BW103" s="1443"/>
      <c r="BX103" s="1443"/>
      <c r="BY103" s="1443"/>
      <c r="BZ103" s="1443"/>
      <c r="CA103" s="1443"/>
      <c r="CB103" s="1443"/>
      <c r="CC103" s="1443"/>
      <c r="CD103" s="1443"/>
      <c r="CE103" s="1443"/>
      <c r="CF103" s="1443"/>
      <c r="CG103" s="1444"/>
      <c r="CH103" s="1442"/>
      <c r="CI103" s="1443"/>
      <c r="CJ103" s="1443"/>
      <c r="CK103" s="1443"/>
      <c r="CL103" s="1443"/>
      <c r="CM103" s="1443"/>
      <c r="CN103" s="1443"/>
      <c r="CO103" s="1443"/>
      <c r="CP103" s="1443"/>
      <c r="CQ103" s="1443"/>
      <c r="CR103" s="1443"/>
      <c r="CS103" s="1444"/>
      <c r="CT103" s="1442"/>
      <c r="CU103" s="1443"/>
      <c r="CV103" s="1443"/>
      <c r="CW103" s="1443"/>
      <c r="CX103" s="1443"/>
      <c r="CY103" s="1443"/>
      <c r="CZ103" s="1443"/>
      <c r="DA103" s="1443"/>
      <c r="DB103" s="1443"/>
      <c r="DC103" s="1443"/>
      <c r="DD103" s="1443"/>
      <c r="DE103" s="1444"/>
      <c r="DF103" s="1442"/>
      <c r="DG103" s="1443"/>
      <c r="DH103" s="1443"/>
      <c r="DI103" s="1443"/>
      <c r="DJ103" s="1443"/>
      <c r="DK103" s="1443"/>
      <c r="DL103" s="1443"/>
      <c r="DM103" s="1443"/>
      <c r="DN103" s="1443"/>
      <c r="DO103" s="1443"/>
      <c r="DP103" s="1443"/>
      <c r="DQ103" s="1444"/>
      <c r="DR103" s="1448">
        <f t="shared" si="14"/>
        <v>0</v>
      </c>
      <c r="DS103" s="1446">
        <f t="shared" si="14"/>
        <v>0</v>
      </c>
      <c r="DT103" s="1446">
        <f t="shared" si="14"/>
        <v>0</v>
      </c>
      <c r="DU103" s="1446">
        <f t="shared" si="14"/>
        <v>0</v>
      </c>
      <c r="DV103" s="1446">
        <f t="shared" si="14"/>
        <v>0</v>
      </c>
      <c r="DW103" s="1446">
        <f t="shared" si="14"/>
        <v>0</v>
      </c>
      <c r="DX103" s="1446">
        <f t="shared" si="14"/>
        <v>0</v>
      </c>
      <c r="DY103" s="1446">
        <f t="shared" si="14"/>
        <v>0</v>
      </c>
      <c r="DZ103" s="1446">
        <f t="shared" si="14"/>
        <v>0</v>
      </c>
      <c r="EA103" s="1446">
        <f t="shared" si="14"/>
        <v>0</v>
      </c>
      <c r="EB103" s="1446">
        <f t="shared" si="14"/>
        <v>0</v>
      </c>
      <c r="EC103" s="1447">
        <f t="shared" si="14"/>
        <v>0</v>
      </c>
    </row>
    <row r="104" spans="1:133">
      <c r="A104" s="1441" t="s">
        <v>787</v>
      </c>
      <c r="B104" s="1442"/>
      <c r="C104" s="1443"/>
      <c r="D104" s="1443"/>
      <c r="E104" s="1443"/>
      <c r="F104" s="1443"/>
      <c r="G104" s="1443"/>
      <c r="H104" s="1443"/>
      <c r="I104" s="1443"/>
      <c r="J104" s="1443"/>
      <c r="K104" s="1443"/>
      <c r="L104" s="1443"/>
      <c r="M104" s="1444"/>
      <c r="N104" s="1442"/>
      <c r="O104" s="1443"/>
      <c r="P104" s="1443"/>
      <c r="Q104" s="1443"/>
      <c r="R104" s="1443"/>
      <c r="S104" s="1443"/>
      <c r="T104" s="1443"/>
      <c r="U104" s="1443"/>
      <c r="V104" s="1443"/>
      <c r="W104" s="1443"/>
      <c r="X104" s="1443"/>
      <c r="Y104" s="1444"/>
      <c r="Z104" s="1442"/>
      <c r="AA104" s="1443"/>
      <c r="AB104" s="1443"/>
      <c r="AC104" s="1443"/>
      <c r="AD104" s="1443"/>
      <c r="AE104" s="1443"/>
      <c r="AF104" s="1443"/>
      <c r="AG104" s="1443"/>
      <c r="AH104" s="1443"/>
      <c r="AI104" s="1443"/>
      <c r="AJ104" s="1443"/>
      <c r="AK104" s="1444"/>
      <c r="AL104" s="1442"/>
      <c r="AM104" s="1443"/>
      <c r="AN104" s="1443"/>
      <c r="AO104" s="1443"/>
      <c r="AP104" s="1443"/>
      <c r="AQ104" s="1443"/>
      <c r="AR104" s="1443"/>
      <c r="AS104" s="1443"/>
      <c r="AT104" s="1443"/>
      <c r="AU104" s="1443"/>
      <c r="AV104" s="1443"/>
      <c r="AW104" s="1444"/>
      <c r="AX104" s="1442"/>
      <c r="AY104" s="1443"/>
      <c r="AZ104" s="1443"/>
      <c r="BA104" s="1443"/>
      <c r="BB104" s="1443"/>
      <c r="BC104" s="1443"/>
      <c r="BD104" s="1443"/>
      <c r="BE104" s="1443"/>
      <c r="BF104" s="1443"/>
      <c r="BG104" s="1443"/>
      <c r="BH104" s="1443"/>
      <c r="BI104" s="1444"/>
      <c r="BJ104" s="1442"/>
      <c r="BK104" s="1443"/>
      <c r="BL104" s="1443"/>
      <c r="BM104" s="1443"/>
      <c r="BN104" s="1443"/>
      <c r="BO104" s="1443"/>
      <c r="BP104" s="1443"/>
      <c r="BQ104" s="1443"/>
      <c r="BR104" s="1443"/>
      <c r="BS104" s="1443"/>
      <c r="BT104" s="1443"/>
      <c r="BU104" s="1444"/>
      <c r="BV104" s="1442"/>
      <c r="BW104" s="1443"/>
      <c r="BX104" s="1443"/>
      <c r="BY104" s="1443"/>
      <c r="BZ104" s="1443"/>
      <c r="CA104" s="1443"/>
      <c r="CB104" s="1443"/>
      <c r="CC104" s="1443"/>
      <c r="CD104" s="1443"/>
      <c r="CE104" s="1443"/>
      <c r="CF104" s="1443"/>
      <c r="CG104" s="1444"/>
      <c r="CH104" s="1442"/>
      <c r="CI104" s="1443"/>
      <c r="CJ104" s="1443"/>
      <c r="CK104" s="1443"/>
      <c r="CL104" s="1443"/>
      <c r="CM104" s="1443"/>
      <c r="CN104" s="1443"/>
      <c r="CO104" s="1443"/>
      <c r="CP104" s="1443"/>
      <c r="CQ104" s="1443"/>
      <c r="CR104" s="1443"/>
      <c r="CS104" s="1444"/>
      <c r="CT104" s="1442"/>
      <c r="CU104" s="1443"/>
      <c r="CV104" s="1443"/>
      <c r="CW104" s="1443"/>
      <c r="CX104" s="1443"/>
      <c r="CY104" s="1443"/>
      <c r="CZ104" s="1443"/>
      <c r="DA104" s="1443"/>
      <c r="DB104" s="1443"/>
      <c r="DC104" s="1443"/>
      <c r="DD104" s="1443"/>
      <c r="DE104" s="1444"/>
      <c r="DF104" s="1442"/>
      <c r="DG104" s="1443"/>
      <c r="DH104" s="1443"/>
      <c r="DI104" s="1443"/>
      <c r="DJ104" s="1443"/>
      <c r="DK104" s="1443"/>
      <c r="DL104" s="1443"/>
      <c r="DM104" s="1443"/>
      <c r="DN104" s="1443"/>
      <c r="DO104" s="1443"/>
      <c r="DP104" s="1443"/>
      <c r="DQ104" s="1444"/>
      <c r="DR104" s="1448">
        <f t="shared" si="14"/>
        <v>0</v>
      </c>
      <c r="DS104" s="1446">
        <f t="shared" si="14"/>
        <v>0</v>
      </c>
      <c r="DT104" s="1446">
        <f t="shared" si="14"/>
        <v>0</v>
      </c>
      <c r="DU104" s="1446">
        <f t="shared" si="14"/>
        <v>0</v>
      </c>
      <c r="DV104" s="1446">
        <f t="shared" si="14"/>
        <v>0</v>
      </c>
      <c r="DW104" s="1446">
        <f t="shared" si="14"/>
        <v>0</v>
      </c>
      <c r="DX104" s="1446">
        <f t="shared" si="14"/>
        <v>0</v>
      </c>
      <c r="DY104" s="1446">
        <f t="shared" si="14"/>
        <v>0</v>
      </c>
      <c r="DZ104" s="1446">
        <f t="shared" si="14"/>
        <v>0</v>
      </c>
      <c r="EA104" s="1446">
        <f t="shared" si="14"/>
        <v>0</v>
      </c>
      <c r="EB104" s="1446">
        <f t="shared" si="14"/>
        <v>0</v>
      </c>
      <c r="EC104" s="1447">
        <f t="shared" si="14"/>
        <v>0</v>
      </c>
    </row>
    <row r="105" spans="1:133">
      <c r="A105" s="1441" t="s">
        <v>788</v>
      </c>
      <c r="B105" s="1442"/>
      <c r="C105" s="1443"/>
      <c r="D105" s="1443"/>
      <c r="E105" s="1443"/>
      <c r="F105" s="1443"/>
      <c r="G105" s="1443"/>
      <c r="H105" s="1443"/>
      <c r="I105" s="1443"/>
      <c r="J105" s="1443"/>
      <c r="K105" s="1443"/>
      <c r="L105" s="1443"/>
      <c r="M105" s="1444"/>
      <c r="N105" s="1457"/>
      <c r="O105" s="1443"/>
      <c r="P105" s="1443"/>
      <c r="Q105" s="1443"/>
      <c r="R105" s="1443"/>
      <c r="S105" s="1443"/>
      <c r="T105" s="1443"/>
      <c r="U105" s="1443"/>
      <c r="V105" s="1443"/>
      <c r="W105" s="1443"/>
      <c r="X105" s="1443"/>
      <c r="Y105" s="1444"/>
      <c r="Z105" s="1442"/>
      <c r="AA105" s="1443"/>
      <c r="AB105" s="1443"/>
      <c r="AC105" s="1443"/>
      <c r="AD105" s="1443"/>
      <c r="AE105" s="1443"/>
      <c r="AF105" s="1443"/>
      <c r="AG105" s="1443"/>
      <c r="AH105" s="1443"/>
      <c r="AI105" s="1443"/>
      <c r="AJ105" s="1443"/>
      <c r="AK105" s="1444"/>
      <c r="AL105" s="1442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4"/>
      <c r="AX105" s="1442"/>
      <c r="AY105" s="1443"/>
      <c r="AZ105" s="1443"/>
      <c r="BA105" s="1443"/>
      <c r="BB105" s="1443"/>
      <c r="BC105" s="1443"/>
      <c r="BD105" s="1443"/>
      <c r="BE105" s="1443"/>
      <c r="BF105" s="1443"/>
      <c r="BG105" s="1443"/>
      <c r="BH105" s="1443"/>
      <c r="BI105" s="1444"/>
      <c r="BJ105" s="1442"/>
      <c r="BK105" s="1443"/>
      <c r="BL105" s="1443"/>
      <c r="BM105" s="1443"/>
      <c r="BN105" s="1443"/>
      <c r="BO105" s="1443"/>
      <c r="BP105" s="1443"/>
      <c r="BQ105" s="1443"/>
      <c r="BR105" s="1443"/>
      <c r="BS105" s="1443"/>
      <c r="BT105" s="1443"/>
      <c r="BU105" s="1444"/>
      <c r="BV105" s="1442"/>
      <c r="BW105" s="1443"/>
      <c r="BX105" s="1443"/>
      <c r="BY105" s="1443"/>
      <c r="BZ105" s="1443"/>
      <c r="CA105" s="1443"/>
      <c r="CB105" s="1443"/>
      <c r="CC105" s="1443"/>
      <c r="CD105" s="1443"/>
      <c r="CE105" s="1443"/>
      <c r="CF105" s="1443"/>
      <c r="CG105" s="1444"/>
      <c r="CH105" s="1442"/>
      <c r="CI105" s="1443"/>
      <c r="CJ105" s="1443"/>
      <c r="CK105" s="1443"/>
      <c r="CL105" s="1443"/>
      <c r="CM105" s="1443"/>
      <c r="CN105" s="1443"/>
      <c r="CO105" s="1443"/>
      <c r="CP105" s="1443"/>
      <c r="CQ105" s="1443"/>
      <c r="CR105" s="1443"/>
      <c r="CS105" s="1444"/>
      <c r="CT105" s="1442"/>
      <c r="CU105" s="1443"/>
      <c r="CV105" s="1443"/>
      <c r="CW105" s="1443"/>
      <c r="CX105" s="1443"/>
      <c r="CY105" s="1443"/>
      <c r="CZ105" s="1443"/>
      <c r="DA105" s="1443"/>
      <c r="DB105" s="1443"/>
      <c r="DC105" s="1443"/>
      <c r="DD105" s="1443"/>
      <c r="DE105" s="1444"/>
      <c r="DF105" s="1442"/>
      <c r="DG105" s="1443"/>
      <c r="DH105" s="1443"/>
      <c r="DI105" s="1443"/>
      <c r="DJ105" s="1443"/>
      <c r="DK105" s="1443"/>
      <c r="DL105" s="1443"/>
      <c r="DM105" s="1443"/>
      <c r="DN105" s="1443"/>
      <c r="DO105" s="1443"/>
      <c r="DP105" s="1443"/>
      <c r="DQ105" s="1444"/>
      <c r="DR105" s="1448">
        <f t="shared" si="14"/>
        <v>0</v>
      </c>
      <c r="DS105" s="1446">
        <f t="shared" si="14"/>
        <v>0</v>
      </c>
      <c r="DT105" s="1446">
        <f t="shared" si="14"/>
        <v>0</v>
      </c>
      <c r="DU105" s="1446">
        <f t="shared" si="14"/>
        <v>0</v>
      </c>
      <c r="DV105" s="1446">
        <f t="shared" si="14"/>
        <v>0</v>
      </c>
      <c r="DW105" s="1446">
        <f t="shared" si="14"/>
        <v>0</v>
      </c>
      <c r="DX105" s="1446">
        <f t="shared" si="14"/>
        <v>0</v>
      </c>
      <c r="DY105" s="1446">
        <f t="shared" si="14"/>
        <v>0</v>
      </c>
      <c r="DZ105" s="1446">
        <f t="shared" si="14"/>
        <v>0</v>
      </c>
      <c r="EA105" s="1446">
        <f t="shared" si="14"/>
        <v>0</v>
      </c>
      <c r="EB105" s="1446">
        <f t="shared" si="14"/>
        <v>0</v>
      </c>
      <c r="EC105" s="1447">
        <f t="shared" si="14"/>
        <v>0</v>
      </c>
    </row>
    <row r="106" spans="1:133">
      <c r="A106" s="1441" t="s">
        <v>789</v>
      </c>
      <c r="B106" s="1442"/>
      <c r="C106" s="1443"/>
      <c r="D106" s="1443"/>
      <c r="E106" s="1443"/>
      <c r="F106" s="1443"/>
      <c r="G106" s="1443"/>
      <c r="H106" s="1443"/>
      <c r="I106" s="1443"/>
      <c r="J106" s="1443"/>
      <c r="K106" s="1443"/>
      <c r="L106" s="1443"/>
      <c r="M106" s="1444"/>
      <c r="N106" s="1442"/>
      <c r="O106" s="1443"/>
      <c r="P106" s="1443"/>
      <c r="Q106" s="1443"/>
      <c r="R106" s="1443"/>
      <c r="S106" s="1443"/>
      <c r="T106" s="1443"/>
      <c r="U106" s="1443"/>
      <c r="V106" s="1443"/>
      <c r="W106" s="1443"/>
      <c r="X106" s="1443"/>
      <c r="Y106" s="1444"/>
      <c r="Z106" s="1442"/>
      <c r="AA106" s="1443"/>
      <c r="AB106" s="1443"/>
      <c r="AC106" s="1443"/>
      <c r="AD106" s="1443"/>
      <c r="AE106" s="1443"/>
      <c r="AF106" s="1443"/>
      <c r="AG106" s="1443"/>
      <c r="AH106" s="1443"/>
      <c r="AI106" s="1443"/>
      <c r="AJ106" s="1443"/>
      <c r="AK106" s="1444"/>
      <c r="AL106" s="1442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4"/>
      <c r="AX106" s="1442"/>
      <c r="AY106" s="1443"/>
      <c r="AZ106" s="1443"/>
      <c r="BA106" s="1443"/>
      <c r="BB106" s="1443"/>
      <c r="BC106" s="1443"/>
      <c r="BD106" s="1443"/>
      <c r="BE106" s="1443"/>
      <c r="BF106" s="1443"/>
      <c r="BG106" s="1443"/>
      <c r="BH106" s="1443"/>
      <c r="BI106" s="1444"/>
      <c r="BJ106" s="1442"/>
      <c r="BK106" s="1443"/>
      <c r="BL106" s="1443"/>
      <c r="BM106" s="1443"/>
      <c r="BN106" s="1443"/>
      <c r="BO106" s="1443"/>
      <c r="BP106" s="1443"/>
      <c r="BQ106" s="1443"/>
      <c r="BR106" s="1443"/>
      <c r="BS106" s="1443"/>
      <c r="BT106" s="1443"/>
      <c r="BU106" s="1444"/>
      <c r="BV106" s="1442"/>
      <c r="BW106" s="1443"/>
      <c r="BX106" s="1443"/>
      <c r="BY106" s="1443"/>
      <c r="BZ106" s="1443"/>
      <c r="CA106" s="1443"/>
      <c r="CB106" s="1443"/>
      <c r="CC106" s="1443"/>
      <c r="CD106" s="1443"/>
      <c r="CE106" s="1443"/>
      <c r="CF106" s="1443"/>
      <c r="CG106" s="1444"/>
      <c r="CH106" s="1442"/>
      <c r="CI106" s="1443"/>
      <c r="CJ106" s="1443"/>
      <c r="CK106" s="1443"/>
      <c r="CL106" s="1443"/>
      <c r="CM106" s="1443"/>
      <c r="CN106" s="1443"/>
      <c r="CO106" s="1443"/>
      <c r="CP106" s="1443"/>
      <c r="CQ106" s="1443"/>
      <c r="CR106" s="1443"/>
      <c r="CS106" s="1444"/>
      <c r="CT106" s="1442"/>
      <c r="CU106" s="1443"/>
      <c r="CV106" s="1443"/>
      <c r="CW106" s="1443"/>
      <c r="CX106" s="1443"/>
      <c r="CY106" s="1443"/>
      <c r="CZ106" s="1443"/>
      <c r="DA106" s="1443"/>
      <c r="DB106" s="1443"/>
      <c r="DC106" s="1443"/>
      <c r="DD106" s="1443"/>
      <c r="DE106" s="1444"/>
      <c r="DF106" s="1442"/>
      <c r="DG106" s="1443"/>
      <c r="DH106" s="1443"/>
      <c r="DI106" s="1443"/>
      <c r="DJ106" s="1443"/>
      <c r="DK106" s="1443"/>
      <c r="DL106" s="1443"/>
      <c r="DM106" s="1443"/>
      <c r="DN106" s="1443"/>
      <c r="DO106" s="1443"/>
      <c r="DP106" s="1443"/>
      <c r="DQ106" s="1444"/>
      <c r="DR106" s="1448">
        <f t="shared" si="14"/>
        <v>0</v>
      </c>
      <c r="DS106" s="1446">
        <f t="shared" si="14"/>
        <v>0</v>
      </c>
      <c r="DT106" s="1446">
        <f t="shared" si="14"/>
        <v>0</v>
      </c>
      <c r="DU106" s="1446">
        <f t="shared" si="14"/>
        <v>0</v>
      </c>
      <c r="DV106" s="1446">
        <f t="shared" si="14"/>
        <v>0</v>
      </c>
      <c r="DW106" s="1446">
        <f t="shared" si="14"/>
        <v>0</v>
      </c>
      <c r="DX106" s="1446">
        <f t="shared" si="14"/>
        <v>0</v>
      </c>
      <c r="DY106" s="1446">
        <f t="shared" si="14"/>
        <v>0</v>
      </c>
      <c r="DZ106" s="1446">
        <f t="shared" si="14"/>
        <v>0</v>
      </c>
      <c r="EA106" s="1446">
        <f t="shared" si="14"/>
        <v>0</v>
      </c>
      <c r="EB106" s="1446">
        <f t="shared" si="14"/>
        <v>0</v>
      </c>
      <c r="EC106" s="1447">
        <f t="shared" si="14"/>
        <v>0</v>
      </c>
    </row>
    <row r="107" spans="1:133">
      <c r="A107" s="1441" t="s">
        <v>790</v>
      </c>
      <c r="B107" s="1442"/>
      <c r="C107" s="1443"/>
      <c r="D107" s="1443"/>
      <c r="E107" s="1443"/>
      <c r="F107" s="1443"/>
      <c r="G107" s="1443"/>
      <c r="H107" s="1443"/>
      <c r="I107" s="1443"/>
      <c r="J107" s="1443"/>
      <c r="K107" s="1443"/>
      <c r="L107" s="1443"/>
      <c r="M107" s="1444"/>
      <c r="N107" s="1442"/>
      <c r="O107" s="1443"/>
      <c r="P107" s="1443"/>
      <c r="Q107" s="1443"/>
      <c r="R107" s="1443"/>
      <c r="S107" s="1443"/>
      <c r="T107" s="1443"/>
      <c r="U107" s="1443"/>
      <c r="V107" s="1443"/>
      <c r="W107" s="1443"/>
      <c r="X107" s="1443"/>
      <c r="Y107" s="1444"/>
      <c r="Z107" s="1442"/>
      <c r="AA107" s="1443"/>
      <c r="AB107" s="1443"/>
      <c r="AC107" s="1443"/>
      <c r="AD107" s="1443"/>
      <c r="AE107" s="1443"/>
      <c r="AF107" s="1443"/>
      <c r="AG107" s="1443"/>
      <c r="AH107" s="1443"/>
      <c r="AI107" s="1443"/>
      <c r="AJ107" s="1443"/>
      <c r="AK107" s="1444"/>
      <c r="AL107" s="1442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4"/>
      <c r="AX107" s="1442"/>
      <c r="AY107" s="1443"/>
      <c r="AZ107" s="1443"/>
      <c r="BA107" s="1443"/>
      <c r="BB107" s="1443"/>
      <c r="BC107" s="1443"/>
      <c r="BD107" s="1443"/>
      <c r="BE107" s="1443"/>
      <c r="BF107" s="1443"/>
      <c r="BG107" s="1443"/>
      <c r="BH107" s="1443"/>
      <c r="BI107" s="1444"/>
      <c r="BJ107" s="1442"/>
      <c r="BK107" s="1443"/>
      <c r="BL107" s="1443"/>
      <c r="BM107" s="1443"/>
      <c r="BN107" s="1443"/>
      <c r="BO107" s="1443"/>
      <c r="BP107" s="1443"/>
      <c r="BQ107" s="1443"/>
      <c r="BR107" s="1443"/>
      <c r="BS107" s="1443"/>
      <c r="BT107" s="1443"/>
      <c r="BU107" s="1444"/>
      <c r="BV107" s="1442"/>
      <c r="BW107" s="1443"/>
      <c r="BX107" s="1443"/>
      <c r="BY107" s="1443"/>
      <c r="BZ107" s="1443"/>
      <c r="CA107" s="1443"/>
      <c r="CB107" s="1443"/>
      <c r="CC107" s="1443"/>
      <c r="CD107" s="1443"/>
      <c r="CE107" s="1443"/>
      <c r="CF107" s="1443"/>
      <c r="CG107" s="1444"/>
      <c r="CH107" s="1442"/>
      <c r="CI107" s="1443"/>
      <c r="CJ107" s="1443"/>
      <c r="CK107" s="1443"/>
      <c r="CL107" s="1443"/>
      <c r="CM107" s="1443"/>
      <c r="CN107" s="1443"/>
      <c r="CO107" s="1443"/>
      <c r="CP107" s="1443"/>
      <c r="CQ107" s="1443"/>
      <c r="CR107" s="1443"/>
      <c r="CS107" s="1444"/>
      <c r="CT107" s="1442"/>
      <c r="CU107" s="1443"/>
      <c r="CV107" s="1443"/>
      <c r="CW107" s="1443"/>
      <c r="CX107" s="1443"/>
      <c r="CY107" s="1443"/>
      <c r="CZ107" s="1443"/>
      <c r="DA107" s="1443"/>
      <c r="DB107" s="1443"/>
      <c r="DC107" s="1443"/>
      <c r="DD107" s="1443"/>
      <c r="DE107" s="1444"/>
      <c r="DF107" s="1442"/>
      <c r="DG107" s="1443"/>
      <c r="DH107" s="1443"/>
      <c r="DI107" s="1443"/>
      <c r="DJ107" s="1443"/>
      <c r="DK107" s="1443"/>
      <c r="DL107" s="1443"/>
      <c r="DM107" s="1443"/>
      <c r="DN107" s="1443"/>
      <c r="DO107" s="1443"/>
      <c r="DP107" s="1443"/>
      <c r="DQ107" s="1444"/>
      <c r="DR107" s="1448">
        <f t="shared" si="14"/>
        <v>0</v>
      </c>
      <c r="DS107" s="1446">
        <f t="shared" si="14"/>
        <v>0</v>
      </c>
      <c r="DT107" s="1446">
        <f t="shared" si="14"/>
        <v>0</v>
      </c>
      <c r="DU107" s="1446">
        <f t="shared" si="14"/>
        <v>0</v>
      </c>
      <c r="DV107" s="1446">
        <f t="shared" si="14"/>
        <v>0</v>
      </c>
      <c r="DW107" s="1446">
        <f t="shared" si="14"/>
        <v>0</v>
      </c>
      <c r="DX107" s="1446">
        <f t="shared" si="14"/>
        <v>0</v>
      </c>
      <c r="DY107" s="1446">
        <f t="shared" si="14"/>
        <v>0</v>
      </c>
      <c r="DZ107" s="1446">
        <f t="shared" si="14"/>
        <v>0</v>
      </c>
      <c r="EA107" s="1446">
        <f t="shared" si="14"/>
        <v>0</v>
      </c>
      <c r="EB107" s="1446">
        <f t="shared" si="14"/>
        <v>0</v>
      </c>
      <c r="EC107" s="1447">
        <f t="shared" si="14"/>
        <v>0</v>
      </c>
    </row>
    <row r="108" spans="1:133">
      <c r="A108" s="1441" t="s">
        <v>444</v>
      </c>
      <c r="B108" s="1442"/>
      <c r="C108" s="1443"/>
      <c r="D108" s="1443"/>
      <c r="E108" s="1443"/>
      <c r="F108" s="1443"/>
      <c r="G108" s="1443"/>
      <c r="H108" s="1443"/>
      <c r="I108" s="1443"/>
      <c r="J108" s="1443"/>
      <c r="K108" s="1443"/>
      <c r="L108" s="1443"/>
      <c r="M108" s="1444"/>
      <c r="N108" s="1442"/>
      <c r="O108" s="1443"/>
      <c r="P108" s="1443"/>
      <c r="Q108" s="1443"/>
      <c r="R108" s="1443"/>
      <c r="S108" s="1443"/>
      <c r="T108" s="1443"/>
      <c r="U108" s="1443"/>
      <c r="V108" s="1443"/>
      <c r="W108" s="1443"/>
      <c r="X108" s="1443"/>
      <c r="Y108" s="1444"/>
      <c r="Z108" s="1442"/>
      <c r="AA108" s="1443"/>
      <c r="AB108" s="1443"/>
      <c r="AC108" s="1443"/>
      <c r="AD108" s="1443"/>
      <c r="AE108" s="1443"/>
      <c r="AF108" s="1443"/>
      <c r="AG108" s="1443"/>
      <c r="AH108" s="1443"/>
      <c r="AI108" s="1443"/>
      <c r="AJ108" s="1443"/>
      <c r="AK108" s="1444"/>
      <c r="AL108" s="1442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4"/>
      <c r="AX108" s="1442"/>
      <c r="AY108" s="1443"/>
      <c r="AZ108" s="1443"/>
      <c r="BA108" s="1443"/>
      <c r="BB108" s="1443"/>
      <c r="BC108" s="1443"/>
      <c r="BD108" s="1443"/>
      <c r="BE108" s="1443"/>
      <c r="BF108" s="1443"/>
      <c r="BG108" s="1443"/>
      <c r="BH108" s="1443"/>
      <c r="BI108" s="1444"/>
      <c r="BJ108" s="1442"/>
      <c r="BK108" s="1443"/>
      <c r="BL108" s="1443"/>
      <c r="BM108" s="1443"/>
      <c r="BN108" s="1443"/>
      <c r="BO108" s="1443"/>
      <c r="BP108" s="1443"/>
      <c r="BQ108" s="1443"/>
      <c r="BR108" s="1443"/>
      <c r="BS108" s="1443"/>
      <c r="BT108" s="1443"/>
      <c r="BU108" s="1444"/>
      <c r="BV108" s="1442"/>
      <c r="BW108" s="1443"/>
      <c r="BX108" s="1443"/>
      <c r="BY108" s="1443"/>
      <c r="BZ108" s="1443"/>
      <c r="CA108" s="1443"/>
      <c r="CB108" s="1443"/>
      <c r="CC108" s="1443"/>
      <c r="CD108" s="1443"/>
      <c r="CE108" s="1443"/>
      <c r="CF108" s="1443"/>
      <c r="CG108" s="1444"/>
      <c r="CH108" s="1442"/>
      <c r="CI108" s="1443"/>
      <c r="CJ108" s="1443"/>
      <c r="CK108" s="1443"/>
      <c r="CL108" s="1443"/>
      <c r="CM108" s="1443"/>
      <c r="CN108" s="1443"/>
      <c r="CO108" s="1443"/>
      <c r="CP108" s="1443"/>
      <c r="CQ108" s="1443"/>
      <c r="CR108" s="1443"/>
      <c r="CS108" s="1444"/>
      <c r="CT108" s="1442"/>
      <c r="CU108" s="1443"/>
      <c r="CV108" s="1443"/>
      <c r="CW108" s="1443"/>
      <c r="CX108" s="1443"/>
      <c r="CY108" s="1443"/>
      <c r="CZ108" s="1443"/>
      <c r="DA108" s="1443"/>
      <c r="DB108" s="1443"/>
      <c r="DC108" s="1443"/>
      <c r="DD108" s="1443"/>
      <c r="DE108" s="1444"/>
      <c r="DF108" s="1442"/>
      <c r="DG108" s="1443"/>
      <c r="DH108" s="1443"/>
      <c r="DI108" s="1443"/>
      <c r="DJ108" s="1443"/>
      <c r="DK108" s="1443"/>
      <c r="DL108" s="1443"/>
      <c r="DM108" s="1443"/>
      <c r="DN108" s="1443"/>
      <c r="DO108" s="1443"/>
      <c r="DP108" s="1443"/>
      <c r="DQ108" s="1444"/>
      <c r="DR108" s="1448">
        <f t="shared" si="14"/>
        <v>0</v>
      </c>
      <c r="DS108" s="1446">
        <f t="shared" si="14"/>
        <v>0</v>
      </c>
      <c r="DT108" s="1446">
        <f t="shared" si="14"/>
        <v>0</v>
      </c>
      <c r="DU108" s="1446">
        <f t="shared" si="14"/>
        <v>0</v>
      </c>
      <c r="DV108" s="1446">
        <f t="shared" si="14"/>
        <v>0</v>
      </c>
      <c r="DW108" s="1446">
        <f t="shared" si="14"/>
        <v>0</v>
      </c>
      <c r="DX108" s="1446">
        <f t="shared" si="14"/>
        <v>0</v>
      </c>
      <c r="DY108" s="1446">
        <f t="shared" si="14"/>
        <v>0</v>
      </c>
      <c r="DZ108" s="1446">
        <f t="shared" si="14"/>
        <v>0</v>
      </c>
      <c r="EA108" s="1446">
        <f t="shared" si="14"/>
        <v>0</v>
      </c>
      <c r="EB108" s="1446">
        <f t="shared" si="14"/>
        <v>0</v>
      </c>
      <c r="EC108" s="1447">
        <f t="shared" si="14"/>
        <v>0</v>
      </c>
    </row>
    <row r="109" spans="1:133">
      <c r="A109" s="1441" t="s">
        <v>791</v>
      </c>
      <c r="B109" s="1442"/>
      <c r="C109" s="1443"/>
      <c r="D109" s="1443"/>
      <c r="E109" s="1443"/>
      <c r="F109" s="1443"/>
      <c r="G109" s="1443"/>
      <c r="H109" s="1443"/>
      <c r="I109" s="1443"/>
      <c r="J109" s="1443"/>
      <c r="K109" s="1443"/>
      <c r="L109" s="1443"/>
      <c r="M109" s="1444"/>
      <c r="N109" s="1442"/>
      <c r="O109" s="1443"/>
      <c r="P109" s="1443"/>
      <c r="Q109" s="1443"/>
      <c r="R109" s="1443"/>
      <c r="S109" s="1443"/>
      <c r="T109" s="1443"/>
      <c r="U109" s="1443"/>
      <c r="V109" s="1443"/>
      <c r="W109" s="1443"/>
      <c r="X109" s="1443"/>
      <c r="Y109" s="1444"/>
      <c r="Z109" s="1442"/>
      <c r="AA109" s="1443"/>
      <c r="AB109" s="1443"/>
      <c r="AC109" s="1443"/>
      <c r="AD109" s="1443"/>
      <c r="AE109" s="1443"/>
      <c r="AF109" s="1443"/>
      <c r="AG109" s="1443"/>
      <c r="AH109" s="1443"/>
      <c r="AI109" s="1443"/>
      <c r="AJ109" s="1443"/>
      <c r="AK109" s="1444"/>
      <c r="AL109" s="1442"/>
      <c r="AM109" s="1443"/>
      <c r="AN109" s="1443"/>
      <c r="AO109" s="1443"/>
      <c r="AP109" s="1443"/>
      <c r="AQ109" s="1443"/>
      <c r="AR109" s="1443"/>
      <c r="AS109" s="1443"/>
      <c r="AT109" s="1443"/>
      <c r="AU109" s="1443"/>
      <c r="AV109" s="1443"/>
      <c r="AW109" s="1444"/>
      <c r="AX109" s="1442"/>
      <c r="AY109" s="1443"/>
      <c r="AZ109" s="1443"/>
      <c r="BA109" s="1443"/>
      <c r="BB109" s="1443"/>
      <c r="BC109" s="1443"/>
      <c r="BD109" s="1443"/>
      <c r="BE109" s="1443"/>
      <c r="BF109" s="1443"/>
      <c r="BG109" s="1443"/>
      <c r="BH109" s="1443"/>
      <c r="BI109" s="1444"/>
      <c r="BJ109" s="1442"/>
      <c r="BK109" s="1443"/>
      <c r="BL109" s="1443"/>
      <c r="BM109" s="1443"/>
      <c r="BN109" s="1443"/>
      <c r="BO109" s="1443"/>
      <c r="BP109" s="1443"/>
      <c r="BQ109" s="1443"/>
      <c r="BR109" s="1443"/>
      <c r="BS109" s="1443"/>
      <c r="BT109" s="1443"/>
      <c r="BU109" s="1444"/>
      <c r="BV109" s="1442"/>
      <c r="BW109" s="1443"/>
      <c r="BX109" s="1443"/>
      <c r="BY109" s="1443"/>
      <c r="BZ109" s="1443"/>
      <c r="CA109" s="1443"/>
      <c r="CB109" s="1443"/>
      <c r="CC109" s="1443"/>
      <c r="CD109" s="1443"/>
      <c r="CE109" s="1443"/>
      <c r="CF109" s="1443"/>
      <c r="CG109" s="1444"/>
      <c r="CH109" s="1442"/>
      <c r="CI109" s="1443"/>
      <c r="CJ109" s="1443"/>
      <c r="CK109" s="1443"/>
      <c r="CL109" s="1443"/>
      <c r="CM109" s="1443"/>
      <c r="CN109" s="1443"/>
      <c r="CO109" s="1443"/>
      <c r="CP109" s="1443"/>
      <c r="CQ109" s="1443"/>
      <c r="CR109" s="1443"/>
      <c r="CS109" s="1444"/>
      <c r="CT109" s="1442"/>
      <c r="CU109" s="1443"/>
      <c r="CV109" s="1443"/>
      <c r="CW109" s="1443"/>
      <c r="CX109" s="1443"/>
      <c r="CY109" s="1443"/>
      <c r="CZ109" s="1443"/>
      <c r="DA109" s="1443"/>
      <c r="DB109" s="1443"/>
      <c r="DC109" s="1443"/>
      <c r="DD109" s="1443"/>
      <c r="DE109" s="1444"/>
      <c r="DF109" s="1442"/>
      <c r="DG109" s="1443"/>
      <c r="DH109" s="1443"/>
      <c r="DI109" s="1443"/>
      <c r="DJ109" s="1443"/>
      <c r="DK109" s="1443"/>
      <c r="DL109" s="1443"/>
      <c r="DM109" s="1443"/>
      <c r="DN109" s="1443"/>
      <c r="DO109" s="1443"/>
      <c r="DP109" s="1443"/>
      <c r="DQ109" s="1444"/>
      <c r="DR109" s="1448">
        <f t="shared" si="14"/>
        <v>0</v>
      </c>
      <c r="DS109" s="1446">
        <f t="shared" si="14"/>
        <v>0</v>
      </c>
      <c r="DT109" s="1446">
        <f t="shared" si="14"/>
        <v>0</v>
      </c>
      <c r="DU109" s="1446">
        <f t="shared" si="14"/>
        <v>0</v>
      </c>
      <c r="DV109" s="1446">
        <f t="shared" si="14"/>
        <v>0</v>
      </c>
      <c r="DW109" s="1446">
        <f t="shared" si="14"/>
        <v>0</v>
      </c>
      <c r="DX109" s="1446">
        <f t="shared" si="14"/>
        <v>0</v>
      </c>
      <c r="DY109" s="1446">
        <f t="shared" si="14"/>
        <v>0</v>
      </c>
      <c r="DZ109" s="1446">
        <f t="shared" si="14"/>
        <v>0</v>
      </c>
      <c r="EA109" s="1446">
        <f t="shared" si="14"/>
        <v>0</v>
      </c>
      <c r="EB109" s="1446">
        <f t="shared" si="14"/>
        <v>0</v>
      </c>
      <c r="EC109" s="1447">
        <f t="shared" si="14"/>
        <v>0</v>
      </c>
    </row>
    <row r="110" spans="1:133">
      <c r="A110" s="1441" t="s">
        <v>792</v>
      </c>
      <c r="B110" s="1442"/>
      <c r="C110" s="1443"/>
      <c r="D110" s="1443"/>
      <c r="E110" s="1443"/>
      <c r="F110" s="1443"/>
      <c r="G110" s="1443"/>
      <c r="H110" s="1443"/>
      <c r="I110" s="1443"/>
      <c r="J110" s="1443"/>
      <c r="K110" s="1443"/>
      <c r="L110" s="1443"/>
      <c r="M110" s="1444"/>
      <c r="N110" s="1442"/>
      <c r="O110" s="1443"/>
      <c r="P110" s="1443"/>
      <c r="Q110" s="1443"/>
      <c r="R110" s="1443"/>
      <c r="S110" s="1443"/>
      <c r="T110" s="1443"/>
      <c r="U110" s="1443"/>
      <c r="V110" s="1443"/>
      <c r="W110" s="1443"/>
      <c r="X110" s="1443"/>
      <c r="Y110" s="1444"/>
      <c r="Z110" s="1442"/>
      <c r="AA110" s="1443"/>
      <c r="AB110" s="1443"/>
      <c r="AC110" s="1443"/>
      <c r="AD110" s="1443"/>
      <c r="AE110" s="1443"/>
      <c r="AF110" s="1443"/>
      <c r="AG110" s="1443"/>
      <c r="AH110" s="1443"/>
      <c r="AI110" s="1443"/>
      <c r="AJ110" s="1443"/>
      <c r="AK110" s="1444"/>
      <c r="AL110" s="1442"/>
      <c r="AM110" s="1443"/>
      <c r="AN110" s="1443"/>
      <c r="AO110" s="1443"/>
      <c r="AP110" s="1443"/>
      <c r="AQ110" s="1443"/>
      <c r="AR110" s="1443"/>
      <c r="AS110" s="1443"/>
      <c r="AT110" s="1443"/>
      <c r="AU110" s="1443"/>
      <c r="AV110" s="1443"/>
      <c r="AW110" s="1444"/>
      <c r="AX110" s="1442"/>
      <c r="AY110" s="1443"/>
      <c r="AZ110" s="1443"/>
      <c r="BA110" s="1443"/>
      <c r="BB110" s="1443"/>
      <c r="BC110" s="1443"/>
      <c r="BD110" s="1443"/>
      <c r="BE110" s="1443"/>
      <c r="BF110" s="1443"/>
      <c r="BG110" s="1443"/>
      <c r="BH110" s="1443"/>
      <c r="BI110" s="1444"/>
      <c r="BJ110" s="1442"/>
      <c r="BK110" s="1443"/>
      <c r="BL110" s="1443"/>
      <c r="BM110" s="1443"/>
      <c r="BN110" s="1443"/>
      <c r="BO110" s="1443"/>
      <c r="BP110" s="1443"/>
      <c r="BQ110" s="1443"/>
      <c r="BR110" s="1443"/>
      <c r="BS110" s="1443"/>
      <c r="BT110" s="1443"/>
      <c r="BU110" s="1444"/>
      <c r="BV110" s="1442"/>
      <c r="BW110" s="1443"/>
      <c r="BX110" s="1443"/>
      <c r="BY110" s="1443"/>
      <c r="BZ110" s="1443"/>
      <c r="CA110" s="1443"/>
      <c r="CB110" s="1443"/>
      <c r="CC110" s="1443"/>
      <c r="CD110" s="1443"/>
      <c r="CE110" s="1443"/>
      <c r="CF110" s="1443"/>
      <c r="CG110" s="1444"/>
      <c r="CH110" s="1442"/>
      <c r="CI110" s="1443"/>
      <c r="CJ110" s="1443"/>
      <c r="CK110" s="1443"/>
      <c r="CL110" s="1443"/>
      <c r="CM110" s="1443"/>
      <c r="CN110" s="1443"/>
      <c r="CO110" s="1443"/>
      <c r="CP110" s="1443"/>
      <c r="CQ110" s="1443"/>
      <c r="CR110" s="1443"/>
      <c r="CS110" s="1444"/>
      <c r="CT110" s="1442"/>
      <c r="CU110" s="1443"/>
      <c r="CV110" s="1443"/>
      <c r="CW110" s="1443"/>
      <c r="CX110" s="1443"/>
      <c r="CY110" s="1443"/>
      <c r="CZ110" s="1443"/>
      <c r="DA110" s="1443"/>
      <c r="DB110" s="1443"/>
      <c r="DC110" s="1443"/>
      <c r="DD110" s="1443"/>
      <c r="DE110" s="1444"/>
      <c r="DF110" s="1442"/>
      <c r="DG110" s="1443"/>
      <c r="DH110" s="1443"/>
      <c r="DI110" s="1443"/>
      <c r="DJ110" s="1443"/>
      <c r="DK110" s="1443"/>
      <c r="DL110" s="1443"/>
      <c r="DM110" s="1443"/>
      <c r="DN110" s="1443"/>
      <c r="DO110" s="1443"/>
      <c r="DP110" s="1443"/>
      <c r="DQ110" s="1444"/>
      <c r="DR110" s="1448">
        <f t="shared" si="14"/>
        <v>0</v>
      </c>
      <c r="DS110" s="1446">
        <f t="shared" si="14"/>
        <v>0</v>
      </c>
      <c r="DT110" s="1446">
        <f t="shared" si="14"/>
        <v>0</v>
      </c>
      <c r="DU110" s="1446">
        <f t="shared" si="14"/>
        <v>0</v>
      </c>
      <c r="DV110" s="1446">
        <f t="shared" si="14"/>
        <v>0</v>
      </c>
      <c r="DW110" s="1446">
        <f t="shared" si="14"/>
        <v>0</v>
      </c>
      <c r="DX110" s="1446">
        <f t="shared" si="14"/>
        <v>0</v>
      </c>
      <c r="DY110" s="1446">
        <f t="shared" si="14"/>
        <v>0</v>
      </c>
      <c r="DZ110" s="1446">
        <f t="shared" si="14"/>
        <v>0</v>
      </c>
      <c r="EA110" s="1446">
        <f t="shared" si="14"/>
        <v>0</v>
      </c>
      <c r="EB110" s="1446">
        <f t="shared" si="14"/>
        <v>0</v>
      </c>
      <c r="EC110" s="1447">
        <f t="shared" si="14"/>
        <v>0</v>
      </c>
    </row>
    <row r="111" spans="1:133" ht="13" thickBot="1">
      <c r="A111" s="1458" t="s">
        <v>793</v>
      </c>
      <c r="B111" s="1459"/>
      <c r="C111" s="1460"/>
      <c r="D111" s="1460"/>
      <c r="E111" s="1460"/>
      <c r="F111" s="1460"/>
      <c r="G111" s="1460"/>
      <c r="H111" s="1460"/>
      <c r="I111" s="1460"/>
      <c r="J111" s="1460"/>
      <c r="K111" s="1460"/>
      <c r="L111" s="1460"/>
      <c r="M111" s="1461"/>
      <c r="N111" s="1459"/>
      <c r="O111" s="1460"/>
      <c r="P111" s="1460"/>
      <c r="Q111" s="1460"/>
      <c r="R111" s="1460"/>
      <c r="S111" s="1460"/>
      <c r="T111" s="1460"/>
      <c r="U111" s="1460"/>
      <c r="V111" s="1460"/>
      <c r="W111" s="1460"/>
      <c r="X111" s="1460"/>
      <c r="Y111" s="1461"/>
      <c r="Z111" s="1459"/>
      <c r="AA111" s="1460"/>
      <c r="AB111" s="1460"/>
      <c r="AC111" s="1460"/>
      <c r="AD111" s="1460"/>
      <c r="AE111" s="1460"/>
      <c r="AF111" s="1460"/>
      <c r="AG111" s="1460"/>
      <c r="AH111" s="1460"/>
      <c r="AI111" s="1460"/>
      <c r="AJ111" s="1460"/>
      <c r="AK111" s="1461"/>
      <c r="AL111" s="1459"/>
      <c r="AM111" s="1460"/>
      <c r="AN111" s="1460"/>
      <c r="AO111" s="1460"/>
      <c r="AP111" s="1460"/>
      <c r="AQ111" s="1460"/>
      <c r="AR111" s="1460"/>
      <c r="AS111" s="1460"/>
      <c r="AT111" s="1460"/>
      <c r="AU111" s="1460"/>
      <c r="AV111" s="1460"/>
      <c r="AW111" s="1461"/>
      <c r="AX111" s="1459"/>
      <c r="AY111" s="1460"/>
      <c r="AZ111" s="1460"/>
      <c r="BA111" s="1460"/>
      <c r="BB111" s="1460"/>
      <c r="BC111" s="1460"/>
      <c r="BD111" s="1460"/>
      <c r="BE111" s="1460"/>
      <c r="BF111" s="1460"/>
      <c r="BG111" s="1460"/>
      <c r="BH111" s="1460"/>
      <c r="BI111" s="1461"/>
      <c r="BJ111" s="1459"/>
      <c r="BK111" s="1460"/>
      <c r="BL111" s="1460"/>
      <c r="BM111" s="1460"/>
      <c r="BN111" s="1460"/>
      <c r="BO111" s="1460"/>
      <c r="BP111" s="1460"/>
      <c r="BQ111" s="1460"/>
      <c r="BR111" s="1460"/>
      <c r="BS111" s="1460"/>
      <c r="BT111" s="1460"/>
      <c r="BU111" s="1461"/>
      <c r="BV111" s="1459"/>
      <c r="BW111" s="1460"/>
      <c r="BX111" s="1460"/>
      <c r="BY111" s="1460"/>
      <c r="BZ111" s="1460"/>
      <c r="CA111" s="1460"/>
      <c r="CB111" s="1460"/>
      <c r="CC111" s="1460"/>
      <c r="CD111" s="1460"/>
      <c r="CE111" s="1460"/>
      <c r="CF111" s="1460"/>
      <c r="CG111" s="1461"/>
      <c r="CH111" s="1459"/>
      <c r="CI111" s="1460"/>
      <c r="CJ111" s="1460"/>
      <c r="CK111" s="1460"/>
      <c r="CL111" s="1460"/>
      <c r="CM111" s="1460"/>
      <c r="CN111" s="1460"/>
      <c r="CO111" s="1460"/>
      <c r="CP111" s="1460"/>
      <c r="CQ111" s="1460"/>
      <c r="CR111" s="1460"/>
      <c r="CS111" s="1461"/>
      <c r="CT111" s="1459"/>
      <c r="CU111" s="1460"/>
      <c r="CV111" s="1460"/>
      <c r="CW111" s="1460"/>
      <c r="CX111" s="1460"/>
      <c r="CY111" s="1460"/>
      <c r="CZ111" s="1460"/>
      <c r="DA111" s="1460"/>
      <c r="DB111" s="1460"/>
      <c r="DC111" s="1460"/>
      <c r="DD111" s="1460"/>
      <c r="DE111" s="1461"/>
      <c r="DF111" s="1459"/>
      <c r="DG111" s="1460"/>
      <c r="DH111" s="1460"/>
      <c r="DI111" s="1460"/>
      <c r="DJ111" s="1460"/>
      <c r="DK111" s="1460"/>
      <c r="DL111" s="1460"/>
      <c r="DM111" s="1460"/>
      <c r="DN111" s="1460"/>
      <c r="DO111" s="1460"/>
      <c r="DP111" s="1460"/>
      <c r="DQ111" s="1461"/>
      <c r="DR111" s="1462">
        <f t="shared" si="14"/>
        <v>0</v>
      </c>
      <c r="DS111" s="1463">
        <f t="shared" si="14"/>
        <v>0</v>
      </c>
      <c r="DT111" s="1463">
        <f t="shared" si="14"/>
        <v>0</v>
      </c>
      <c r="DU111" s="1463">
        <f t="shared" si="14"/>
        <v>0</v>
      </c>
      <c r="DV111" s="1463">
        <f t="shared" si="14"/>
        <v>0</v>
      </c>
      <c r="DW111" s="1463">
        <f t="shared" si="14"/>
        <v>0</v>
      </c>
      <c r="DX111" s="1463">
        <f t="shared" si="14"/>
        <v>0</v>
      </c>
      <c r="DY111" s="1463">
        <f t="shared" si="14"/>
        <v>0</v>
      </c>
      <c r="DZ111" s="1463">
        <f t="shared" si="14"/>
        <v>0</v>
      </c>
      <c r="EA111" s="1463">
        <f t="shared" si="14"/>
        <v>0</v>
      </c>
      <c r="EB111" s="1463">
        <f t="shared" si="14"/>
        <v>0</v>
      </c>
      <c r="EC111" s="1464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65" t="s">
        <v>795</v>
      </c>
      <c r="B2" s="1466" t="s">
        <v>796</v>
      </c>
      <c r="C2" s="1467"/>
      <c r="D2" s="1467"/>
      <c r="E2" s="1467"/>
      <c r="F2" s="1467"/>
      <c r="G2" s="1467"/>
      <c r="H2" s="1467"/>
      <c r="I2" s="1467"/>
      <c r="J2" s="1467"/>
      <c r="K2" s="1467"/>
      <c r="L2" s="1467"/>
      <c r="M2" s="1467"/>
      <c r="N2" s="1467"/>
      <c r="O2" s="1467"/>
      <c r="P2" s="1467"/>
      <c r="Q2" s="1467"/>
    </row>
    <row r="3" spans="1:17" ht="13" thickBot="1">
      <c r="A3" s="1416"/>
      <c r="B3" s="1468" t="s">
        <v>797</v>
      </c>
      <c r="C3" s="1469"/>
      <c r="D3" s="1469"/>
      <c r="E3" s="1469"/>
      <c r="F3" s="1469"/>
      <c r="G3" s="1469"/>
      <c r="H3" s="1469"/>
      <c r="I3" s="1467"/>
      <c r="J3" s="1467"/>
      <c r="K3" s="1467"/>
      <c r="L3" s="1468" t="s">
        <v>798</v>
      </c>
      <c r="M3" s="1467"/>
      <c r="N3" s="1467"/>
      <c r="O3" s="1467"/>
      <c r="P3" s="1467"/>
      <c r="Q3" s="1467"/>
    </row>
    <row r="4" spans="1:17" ht="13" thickBot="1">
      <c r="A4" s="1470" t="s">
        <v>799</v>
      </c>
      <c r="B4" s="1471">
        <f>IF(WB!C6="","",WB!C6)</f>
        <v>1</v>
      </c>
      <c r="C4" s="1471">
        <f>IF(WB!D6="","",WB!D6)</f>
        <v>2</v>
      </c>
      <c r="D4" s="1471">
        <f>IF(WB!E6="","",WB!E6)</f>
        <v>3</v>
      </c>
      <c r="E4" s="1471">
        <f>IF(WB!F6="","",WB!F6)</f>
        <v>4</v>
      </c>
      <c r="F4" s="1471">
        <f>IF(WB!G6="","",WB!G6)</f>
        <v>5</v>
      </c>
      <c r="G4" s="1471">
        <f>IF(WB!H6="","",WB!H6)</f>
        <v>6</v>
      </c>
      <c r="H4" s="1471">
        <f>IF(WB!I6="","",WB!I6)</f>
        <v>7</v>
      </c>
      <c r="I4" s="1471">
        <f>IF(WB!J6="","",WB!J6)</f>
        <v>8</v>
      </c>
      <c r="J4" s="1471">
        <f>IF(WB!K6="","",WB!K6)</f>
        <v>9</v>
      </c>
      <c r="K4" s="1471">
        <f>IF(WB!L6="","",WB!L6)</f>
        <v>10</v>
      </c>
      <c r="L4" s="1471"/>
      <c r="M4" s="1471"/>
      <c r="N4" s="1471"/>
      <c r="O4" s="1471"/>
      <c r="P4" s="1471"/>
      <c r="Q4" s="1471"/>
    </row>
    <row r="5" spans="1:17">
      <c r="A5" s="1472" t="s">
        <v>800</v>
      </c>
      <c r="B5" s="1473"/>
      <c r="C5" s="1473"/>
      <c r="D5" s="1473"/>
      <c r="E5" s="1473"/>
      <c r="F5" s="1473"/>
      <c r="G5" s="1473"/>
      <c r="H5" s="1473"/>
      <c r="I5" s="1473"/>
      <c r="J5" s="1473"/>
      <c r="K5" s="1473"/>
      <c r="L5" s="1473"/>
      <c r="M5" s="1473"/>
      <c r="N5" s="1473"/>
      <c r="O5" s="1473"/>
      <c r="P5" s="1473"/>
      <c r="Q5" s="1473"/>
    </row>
    <row r="6" spans="1:17">
      <c r="A6" s="1474" t="s">
        <v>801</v>
      </c>
      <c r="B6" s="1475"/>
      <c r="C6" s="1475"/>
      <c r="D6" s="1475"/>
      <c r="E6" s="1475"/>
      <c r="F6" s="1475"/>
      <c r="G6" s="1475"/>
      <c r="H6" s="1475"/>
      <c r="I6" s="1475"/>
      <c r="J6" s="1475"/>
      <c r="K6" s="1475"/>
      <c r="L6" s="1475"/>
      <c r="M6" s="1475"/>
      <c r="N6" s="1475"/>
      <c r="O6" s="1475"/>
      <c r="P6" s="1475"/>
      <c r="Q6" s="1475"/>
    </row>
    <row r="7" spans="1:17">
      <c r="A7" s="1474" t="s">
        <v>802</v>
      </c>
      <c r="B7" s="1475"/>
      <c r="C7" s="1475"/>
      <c r="D7" s="1475"/>
      <c r="E7" s="1475"/>
      <c r="F7" s="1475"/>
      <c r="G7" s="1475"/>
      <c r="H7" s="1475"/>
      <c r="I7" s="1475"/>
      <c r="J7" s="1475"/>
      <c r="K7" s="1475"/>
      <c r="L7" s="1475"/>
      <c r="M7" s="1475"/>
      <c r="N7" s="1475"/>
      <c r="O7" s="1475"/>
      <c r="P7" s="1475"/>
      <c r="Q7" s="1475"/>
    </row>
    <row r="8" spans="1:17">
      <c r="A8" s="1474" t="s">
        <v>803</v>
      </c>
      <c r="B8" s="1476"/>
      <c r="C8" s="1476"/>
      <c r="D8" s="1476"/>
      <c r="E8" s="1476"/>
      <c r="F8" s="1476"/>
      <c r="G8" s="1476"/>
      <c r="H8" s="1476"/>
      <c r="I8" s="1476"/>
      <c r="J8" s="1476"/>
      <c r="K8" s="1476"/>
      <c r="L8" s="1476"/>
      <c r="M8" s="1476"/>
      <c r="N8" s="1476"/>
      <c r="O8" s="1476"/>
      <c r="P8" s="1476"/>
      <c r="Q8" s="1476"/>
    </row>
    <row r="9" spans="1:17">
      <c r="A9" s="1474" t="s">
        <v>804</v>
      </c>
      <c r="B9" s="1475"/>
      <c r="C9" s="1475"/>
      <c r="D9" s="1475"/>
      <c r="E9" s="1475"/>
      <c r="F9" s="1475"/>
      <c r="G9" s="1475"/>
      <c r="H9" s="1475"/>
      <c r="I9" s="1475"/>
      <c r="J9" s="1475"/>
      <c r="K9" s="1475"/>
      <c r="L9" s="1475"/>
      <c r="M9" s="1475"/>
      <c r="N9" s="1475"/>
      <c r="O9" s="1475"/>
      <c r="P9" s="1475"/>
      <c r="Q9" s="1475"/>
    </row>
    <row r="10" spans="1:17">
      <c r="A10" s="1474" t="s">
        <v>805</v>
      </c>
      <c r="B10" s="1476"/>
      <c r="C10" s="1476"/>
      <c r="D10" s="1476"/>
      <c r="E10" s="1476"/>
      <c r="F10" s="1476"/>
      <c r="G10" s="1476"/>
      <c r="H10" s="1476"/>
      <c r="I10" s="1476"/>
      <c r="J10" s="1476"/>
      <c r="K10" s="1476"/>
      <c r="L10" s="1476"/>
      <c r="M10" s="1476"/>
      <c r="N10" s="1476"/>
      <c r="O10" s="1476"/>
      <c r="P10" s="1476"/>
      <c r="Q10" s="1476"/>
    </row>
    <row r="11" spans="1:17" ht="13" thickBot="1">
      <c r="A11" s="1477" t="s">
        <v>806</v>
      </c>
      <c r="B11" s="1478"/>
      <c r="C11" s="1478"/>
      <c r="D11" s="1478"/>
      <c r="E11" s="1479"/>
      <c r="F11" s="1478"/>
      <c r="G11" s="1478"/>
      <c r="H11" s="1478"/>
      <c r="I11" s="1478"/>
      <c r="J11" s="1478"/>
      <c r="K11" s="1478"/>
      <c r="L11" s="1478"/>
      <c r="M11" s="1478"/>
      <c r="N11" s="1478"/>
      <c r="O11" s="1478"/>
      <c r="P11" s="1478"/>
      <c r="Q11" s="1478"/>
    </row>
    <row r="12" spans="1:17">
      <c r="A12" s="1472" t="s">
        <v>755</v>
      </c>
      <c r="B12" s="1473"/>
      <c r="C12" s="1473"/>
      <c r="D12" s="1473"/>
      <c r="E12" s="1473"/>
      <c r="F12" s="1473"/>
      <c r="G12" s="1473"/>
      <c r="H12" s="1473"/>
      <c r="I12" s="1473"/>
      <c r="J12" s="1473"/>
      <c r="K12" s="1473"/>
      <c r="L12" s="1473"/>
      <c r="M12" s="1473"/>
      <c r="N12" s="1473"/>
      <c r="O12" s="1473"/>
      <c r="P12" s="1473"/>
      <c r="Q12" s="1473"/>
    </row>
    <row r="13" spans="1:17">
      <c r="A13" s="1474" t="s">
        <v>801</v>
      </c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  <c r="L13" s="1475"/>
      <c r="M13" s="1475"/>
      <c r="N13" s="1475"/>
      <c r="O13" s="1475"/>
      <c r="P13" s="1475"/>
      <c r="Q13" s="1475"/>
    </row>
    <row r="14" spans="1:17">
      <c r="A14" s="1474" t="s">
        <v>802</v>
      </c>
      <c r="B14" s="1475"/>
      <c r="C14" s="1475"/>
      <c r="D14" s="1475"/>
      <c r="E14" s="1475"/>
      <c r="F14" s="1475"/>
      <c r="G14" s="1475"/>
      <c r="H14" s="1475"/>
      <c r="I14" s="1475"/>
      <c r="J14" s="1475"/>
      <c r="K14" s="1475"/>
      <c r="L14" s="1475"/>
      <c r="M14" s="1475"/>
      <c r="N14" s="1475"/>
      <c r="O14" s="1475"/>
      <c r="P14" s="1475"/>
      <c r="Q14" s="1475"/>
    </row>
    <row r="15" spans="1:17">
      <c r="A15" s="1474" t="s">
        <v>803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  <c r="L15" s="1476"/>
      <c r="M15" s="1476"/>
      <c r="N15" s="1476"/>
      <c r="O15" s="1476"/>
      <c r="P15" s="1476"/>
      <c r="Q15" s="1476"/>
    </row>
    <row r="16" spans="1:17">
      <c r="A16" s="1474" t="s">
        <v>804</v>
      </c>
      <c r="B16" s="1475"/>
      <c r="C16" s="1475"/>
      <c r="D16" s="1475"/>
      <c r="E16" s="1475"/>
      <c r="F16" s="1475"/>
      <c r="G16" s="1475"/>
      <c r="H16" s="1475"/>
      <c r="I16" s="1475"/>
      <c r="J16" s="1475"/>
      <c r="K16" s="1475"/>
      <c r="L16" s="1475"/>
      <c r="M16" s="1475"/>
      <c r="N16" s="1475"/>
      <c r="O16" s="1475"/>
      <c r="P16" s="1475"/>
      <c r="Q16" s="1475"/>
    </row>
    <row r="17" spans="1:17">
      <c r="A17" s="1474" t="s">
        <v>805</v>
      </c>
      <c r="B17" s="1476"/>
      <c r="C17" s="1476"/>
      <c r="D17" s="1476"/>
      <c r="E17" s="1476"/>
      <c r="F17" s="1475"/>
      <c r="G17" s="1476"/>
      <c r="H17" s="1476"/>
      <c r="I17" s="1476"/>
      <c r="J17" s="1476"/>
      <c r="K17" s="1476"/>
      <c r="L17" s="1476"/>
      <c r="M17" s="1476"/>
      <c r="N17" s="1476"/>
      <c r="O17" s="1476"/>
      <c r="P17" s="1476"/>
      <c r="Q17" s="1476"/>
    </row>
    <row r="18" spans="1:17" ht="13" thickBot="1">
      <c r="A18" s="1477" t="s">
        <v>806</v>
      </c>
      <c r="B18" s="1478"/>
      <c r="C18" s="1478"/>
      <c r="D18" s="1478"/>
      <c r="E18" s="1479"/>
      <c r="F18" s="1478"/>
      <c r="G18" s="1478"/>
      <c r="H18" s="1478"/>
      <c r="I18" s="1478"/>
      <c r="J18" s="1478"/>
      <c r="K18" s="1478"/>
      <c r="L18" s="1478"/>
      <c r="M18" s="1478"/>
      <c r="N18" s="1478"/>
      <c r="O18" s="1478"/>
      <c r="P18" s="1478"/>
      <c r="Q18" s="1478"/>
    </row>
    <row r="19" spans="1:17">
      <c r="A19" s="1472" t="s">
        <v>756</v>
      </c>
      <c r="B19" s="1473"/>
      <c r="C19" s="1473"/>
      <c r="D19" s="1473"/>
      <c r="E19" s="1473"/>
      <c r="F19" s="1473"/>
      <c r="G19" s="1473"/>
      <c r="H19" s="1473"/>
      <c r="I19" s="1473"/>
      <c r="J19" s="1473"/>
      <c r="K19" s="1473"/>
      <c r="L19" s="1473"/>
      <c r="M19" s="1473"/>
      <c r="N19" s="1473"/>
      <c r="O19" s="1473"/>
      <c r="P19" s="1473"/>
      <c r="Q19" s="1473"/>
    </row>
    <row r="20" spans="1:17">
      <c r="A20" s="1474" t="s">
        <v>801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  <c r="L20" s="1475"/>
      <c r="M20" s="1475"/>
      <c r="N20" s="1475"/>
      <c r="O20" s="1475"/>
      <c r="P20" s="1475"/>
      <c r="Q20" s="1475"/>
    </row>
    <row r="21" spans="1:17">
      <c r="A21" s="1474" t="s">
        <v>802</v>
      </c>
      <c r="B21" s="1475"/>
      <c r="C21" s="1475"/>
      <c r="D21" s="1475"/>
      <c r="E21" s="1475"/>
      <c r="F21" s="1475"/>
      <c r="G21" s="1475"/>
      <c r="H21" s="1475"/>
      <c r="I21" s="1475"/>
      <c r="J21" s="1475"/>
      <c r="K21" s="1475"/>
      <c r="L21" s="1475"/>
      <c r="M21" s="1475"/>
      <c r="N21" s="1475"/>
      <c r="O21" s="1475"/>
      <c r="P21" s="1475"/>
      <c r="Q21" s="1475"/>
    </row>
    <row r="22" spans="1:17">
      <c r="A22" s="1474" t="s">
        <v>803</v>
      </c>
      <c r="B22" s="1476"/>
      <c r="C22" s="1476"/>
      <c r="D22" s="1476"/>
      <c r="E22" s="1476"/>
      <c r="F22" s="1476"/>
      <c r="G22" s="1476"/>
      <c r="H22" s="1476"/>
      <c r="I22" s="1476"/>
      <c r="J22" s="1476"/>
      <c r="K22" s="1476"/>
      <c r="L22" s="1476"/>
      <c r="M22" s="1476"/>
      <c r="N22" s="1476"/>
      <c r="O22" s="1476"/>
      <c r="P22" s="1476"/>
      <c r="Q22" s="1476"/>
    </row>
    <row r="23" spans="1:17">
      <c r="A23" s="1474" t="s">
        <v>804</v>
      </c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  <c r="L23" s="1475"/>
      <c r="M23" s="1475"/>
      <c r="N23" s="1475"/>
      <c r="O23" s="1475"/>
      <c r="P23" s="1475"/>
      <c r="Q23" s="1475"/>
    </row>
    <row r="24" spans="1:17">
      <c r="A24" s="1474" t="s">
        <v>805</v>
      </c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  <c r="L24" s="1476"/>
      <c r="M24" s="1476"/>
      <c r="N24" s="1476"/>
      <c r="O24" s="1476"/>
      <c r="P24" s="1476"/>
      <c r="Q24" s="1476"/>
    </row>
    <row r="25" spans="1:17" ht="13" thickBot="1">
      <c r="A25" s="1477" t="s">
        <v>806</v>
      </c>
      <c r="B25" s="1478"/>
      <c r="C25" s="1478"/>
      <c r="D25" s="1478"/>
      <c r="E25" s="1478"/>
      <c r="F25" s="1478"/>
      <c r="G25" s="1478"/>
      <c r="H25" s="1478"/>
      <c r="I25" s="1478"/>
      <c r="J25" s="1478"/>
      <c r="K25" s="1478"/>
      <c r="L25" s="1478"/>
      <c r="M25" s="1478"/>
      <c r="N25" s="1478"/>
      <c r="O25" s="1478"/>
      <c r="P25" s="1478"/>
      <c r="Q25" s="1478"/>
    </row>
    <row r="26" spans="1:17">
      <c r="A26" s="1472" t="s">
        <v>758</v>
      </c>
      <c r="B26" s="1480"/>
      <c r="C26" s="1480"/>
      <c r="D26" s="1480"/>
      <c r="E26" s="1473"/>
      <c r="F26" s="1480"/>
      <c r="G26" s="1480"/>
      <c r="H26" s="1473"/>
      <c r="I26" s="1473"/>
      <c r="J26" s="1473"/>
      <c r="K26" s="1473"/>
      <c r="L26" s="1473"/>
      <c r="M26" s="1473"/>
      <c r="N26" s="1473"/>
      <c r="O26" s="1473"/>
      <c r="P26" s="1473"/>
      <c r="Q26" s="1473"/>
    </row>
    <row r="27" spans="1:17">
      <c r="A27" s="1474" t="s">
        <v>801</v>
      </c>
      <c r="B27" s="1475"/>
      <c r="C27" s="1475"/>
      <c r="D27" s="1475"/>
      <c r="E27" s="1475"/>
      <c r="F27" s="1475"/>
      <c r="G27" s="1475"/>
      <c r="H27" s="1476"/>
      <c r="I27" s="1475"/>
      <c r="J27" s="1475"/>
      <c r="K27" s="1475"/>
      <c r="L27" s="1475"/>
      <c r="M27" s="1475"/>
      <c r="N27" s="1475"/>
      <c r="O27" s="1475"/>
      <c r="P27" s="1475"/>
      <c r="Q27" s="1475"/>
    </row>
    <row r="28" spans="1:17">
      <c r="A28" s="1474" t="s">
        <v>802</v>
      </c>
      <c r="B28" s="1475"/>
      <c r="C28" s="1475"/>
      <c r="D28" s="1475"/>
      <c r="E28" s="1475"/>
      <c r="F28" s="1475"/>
      <c r="G28" s="1475"/>
      <c r="H28" s="1476"/>
      <c r="I28" s="1475"/>
      <c r="J28" s="1475"/>
      <c r="K28" s="1475"/>
      <c r="L28" s="1475"/>
      <c r="M28" s="1475"/>
      <c r="N28" s="1475"/>
      <c r="O28" s="1475"/>
      <c r="P28" s="1475"/>
      <c r="Q28" s="1475"/>
    </row>
    <row r="29" spans="1:17">
      <c r="A29" s="1474" t="s">
        <v>803</v>
      </c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  <c r="L29" s="1476"/>
      <c r="M29" s="1476"/>
      <c r="N29" s="1476"/>
      <c r="O29" s="1476"/>
      <c r="P29" s="1476"/>
      <c r="Q29" s="1476"/>
    </row>
    <row r="30" spans="1:17">
      <c r="A30" s="1474" t="s">
        <v>804</v>
      </c>
      <c r="B30" s="1475"/>
      <c r="C30" s="1475"/>
      <c r="D30" s="1475"/>
      <c r="E30" s="1475"/>
      <c r="F30" s="1475"/>
      <c r="G30" s="1475"/>
      <c r="H30" s="1476"/>
      <c r="I30" s="1475"/>
      <c r="J30" s="1475"/>
      <c r="K30" s="1475"/>
      <c r="L30" s="1475"/>
      <c r="M30" s="1475"/>
      <c r="N30" s="1475"/>
      <c r="O30" s="1475"/>
      <c r="P30" s="1475"/>
      <c r="Q30" s="1475"/>
    </row>
    <row r="31" spans="1:17">
      <c r="A31" s="1474" t="s">
        <v>805</v>
      </c>
      <c r="B31" s="1476"/>
      <c r="C31" s="1476"/>
      <c r="D31" s="1476"/>
      <c r="E31" s="1476"/>
      <c r="F31" s="1476"/>
      <c r="G31" s="1476"/>
      <c r="H31" s="1476"/>
      <c r="I31" s="1476"/>
      <c r="J31" s="1476"/>
      <c r="K31" s="1476"/>
      <c r="L31" s="1476"/>
      <c r="M31" s="1476"/>
      <c r="N31" s="1476"/>
      <c r="O31" s="1476"/>
      <c r="P31" s="1476"/>
      <c r="Q31" s="1476"/>
    </row>
    <row r="32" spans="1:17" ht="13" thickBot="1">
      <c r="A32" s="1477" t="s">
        <v>806</v>
      </c>
      <c r="B32" s="1478"/>
      <c r="C32" s="1478"/>
      <c r="D32" s="1478"/>
      <c r="E32" s="1478"/>
      <c r="F32" s="1478"/>
      <c r="G32" s="1478"/>
      <c r="H32" s="1481"/>
      <c r="I32" s="1478"/>
      <c r="J32" s="1478"/>
      <c r="K32" s="1478"/>
      <c r="L32" s="1478"/>
      <c r="M32" s="1478"/>
      <c r="N32" s="1478"/>
      <c r="O32" s="1478"/>
      <c r="P32" s="1478"/>
      <c r="Q32" s="1478"/>
    </row>
    <row r="33" spans="1:17">
      <c r="A33" s="1472" t="s">
        <v>768</v>
      </c>
      <c r="B33" s="1473"/>
      <c r="C33" s="1473"/>
      <c r="D33" s="1473"/>
      <c r="E33" s="1473"/>
      <c r="F33" s="1473"/>
      <c r="G33" s="1473"/>
      <c r="H33" s="1473"/>
      <c r="I33" s="1473"/>
      <c r="J33" s="1473"/>
      <c r="K33" s="1473"/>
      <c r="L33" s="1473"/>
      <c r="M33" s="1473"/>
      <c r="N33" s="1473"/>
      <c r="O33" s="1473"/>
      <c r="P33" s="1473"/>
      <c r="Q33" s="1473"/>
    </row>
    <row r="34" spans="1:17">
      <c r="A34" s="1474" t="s">
        <v>801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  <c r="L34" s="1475"/>
      <c r="M34" s="1475"/>
      <c r="N34" s="1475"/>
      <c r="O34" s="1475"/>
      <c r="P34" s="1475"/>
      <c r="Q34" s="1475"/>
    </row>
    <row r="35" spans="1:17">
      <c r="A35" s="1474" t="s">
        <v>802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  <c r="L35" s="1475"/>
      <c r="M35" s="1475"/>
      <c r="N35" s="1475"/>
      <c r="O35" s="1475"/>
      <c r="P35" s="1475"/>
      <c r="Q35" s="1475"/>
    </row>
    <row r="36" spans="1:17">
      <c r="A36" s="1474" t="s">
        <v>803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</row>
    <row r="37" spans="1:17">
      <c r="A37" s="1474" t="s">
        <v>804</v>
      </c>
      <c r="B37" s="1476"/>
      <c r="C37" s="1475"/>
      <c r="D37" s="1475"/>
      <c r="E37" s="1475"/>
      <c r="F37" s="1476"/>
      <c r="G37" s="1475"/>
      <c r="H37" s="1475"/>
      <c r="I37" s="1475"/>
      <c r="J37" s="1475"/>
      <c r="K37" s="1475"/>
      <c r="L37" s="1475"/>
      <c r="M37" s="1475"/>
      <c r="N37" s="1475"/>
      <c r="O37" s="1475"/>
      <c r="P37" s="1475"/>
      <c r="Q37" s="1475"/>
    </row>
    <row r="38" spans="1:17">
      <c r="A38" s="1474" t="s">
        <v>805</v>
      </c>
      <c r="B38" s="1476"/>
      <c r="C38" s="1476"/>
      <c r="D38" s="1476"/>
      <c r="E38" s="1476"/>
      <c r="F38" s="1476"/>
      <c r="G38" s="1476"/>
      <c r="H38" s="1476"/>
      <c r="I38" s="1476"/>
      <c r="J38" s="1476"/>
      <c r="K38" s="1476"/>
      <c r="L38" s="1476"/>
      <c r="M38" s="1476"/>
      <c r="N38" s="1476"/>
      <c r="O38" s="1476"/>
      <c r="P38" s="1476"/>
      <c r="Q38" s="1476"/>
    </row>
    <row r="39" spans="1:17" ht="13" thickBot="1">
      <c r="A39" s="1477" t="s">
        <v>806</v>
      </c>
      <c r="B39" s="1481"/>
      <c r="C39" s="1478"/>
      <c r="D39" s="1478"/>
      <c r="E39" s="1478"/>
      <c r="F39" s="1481"/>
      <c r="G39" s="1478"/>
      <c r="H39" s="1478"/>
      <c r="I39" s="1478"/>
      <c r="J39" s="1478"/>
      <c r="K39" s="1478"/>
      <c r="L39" s="1478"/>
      <c r="M39" s="1478"/>
      <c r="N39" s="1478"/>
      <c r="O39" s="1478"/>
      <c r="P39" s="1478"/>
      <c r="Q39" s="1478"/>
    </row>
    <row r="40" spans="1:17">
      <c r="A40" s="1472" t="s">
        <v>807</v>
      </c>
      <c r="B40" s="1473"/>
      <c r="C40" s="1473"/>
      <c r="D40" s="1473"/>
      <c r="E40" s="1473"/>
      <c r="F40" s="1473"/>
      <c r="G40" s="1473"/>
      <c r="H40" s="1473"/>
      <c r="I40" s="1473"/>
      <c r="J40" s="1473"/>
      <c r="K40" s="1473"/>
      <c r="L40" s="1473"/>
      <c r="M40" s="1473"/>
      <c r="N40" s="1473"/>
      <c r="O40" s="1473"/>
      <c r="P40" s="1473"/>
      <c r="Q40" s="1473"/>
    </row>
    <row r="41" spans="1:17">
      <c r="A41" s="1474" t="s">
        <v>801</v>
      </c>
      <c r="B41" s="1475"/>
      <c r="C41" s="1475"/>
      <c r="D41" s="1475"/>
      <c r="E41" s="1476"/>
      <c r="F41" s="1475"/>
      <c r="G41" s="1475"/>
      <c r="H41" s="1475"/>
      <c r="I41" s="1476"/>
      <c r="J41" s="1476"/>
      <c r="K41" s="1476"/>
      <c r="L41" s="1476"/>
      <c r="M41" s="1476"/>
      <c r="N41" s="1476"/>
      <c r="O41" s="1476"/>
      <c r="P41" s="1476"/>
      <c r="Q41" s="1476"/>
    </row>
    <row r="42" spans="1:17">
      <c r="A42" s="1474" t="s">
        <v>802</v>
      </c>
      <c r="B42" s="1475"/>
      <c r="C42" s="1475"/>
      <c r="D42" s="1475"/>
      <c r="E42" s="1476"/>
      <c r="F42" s="1475"/>
      <c r="G42" s="1475"/>
      <c r="H42" s="1475"/>
      <c r="I42" s="1476"/>
      <c r="J42" s="1476"/>
      <c r="K42" s="1476"/>
      <c r="L42" s="1476"/>
      <c r="M42" s="1476"/>
      <c r="N42" s="1476"/>
      <c r="O42" s="1476"/>
      <c r="P42" s="1476"/>
      <c r="Q42" s="1476"/>
    </row>
    <row r="43" spans="1:17">
      <c r="A43" s="1474" t="s">
        <v>803</v>
      </c>
      <c r="B43" s="1476"/>
      <c r="C43" s="1476"/>
      <c r="D43" s="1476"/>
      <c r="E43" s="1476"/>
      <c r="F43" s="1476"/>
      <c r="G43" s="1476"/>
      <c r="H43" s="1476"/>
      <c r="I43" s="1476"/>
      <c r="J43" s="1476"/>
      <c r="K43" s="1476"/>
      <c r="L43" s="1476"/>
      <c r="M43" s="1476"/>
      <c r="N43" s="1476"/>
      <c r="O43" s="1476"/>
      <c r="P43" s="1476"/>
      <c r="Q43" s="1476"/>
    </row>
    <row r="44" spans="1:17">
      <c r="A44" s="1474" t="s">
        <v>804</v>
      </c>
      <c r="B44" s="1476"/>
      <c r="C44" s="1475"/>
      <c r="D44" s="1476"/>
      <c r="E44" s="1476"/>
      <c r="F44" s="1476"/>
      <c r="G44" s="1475"/>
      <c r="H44" s="1475"/>
      <c r="I44" s="1476"/>
      <c r="J44" s="1476"/>
      <c r="K44" s="1476"/>
      <c r="L44" s="1476"/>
      <c r="M44" s="1476"/>
      <c r="N44" s="1476"/>
      <c r="O44" s="1476"/>
      <c r="P44" s="1476"/>
      <c r="Q44" s="1476"/>
    </row>
    <row r="45" spans="1:17">
      <c r="A45" s="1474" t="s">
        <v>805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  <c r="L45" s="1476"/>
      <c r="M45" s="1476"/>
      <c r="N45" s="1476"/>
      <c r="O45" s="1476"/>
      <c r="P45" s="1476"/>
      <c r="Q45" s="1476"/>
    </row>
    <row r="46" spans="1:17" ht="13" thickBot="1">
      <c r="A46" s="1477" t="s">
        <v>806</v>
      </c>
      <c r="B46" s="1481"/>
      <c r="C46" s="1478"/>
      <c r="D46" s="1481"/>
      <c r="E46" s="1481"/>
      <c r="F46" s="1481"/>
      <c r="G46" s="1478"/>
      <c r="H46" s="1478"/>
      <c r="I46" s="1481"/>
      <c r="J46" s="1481"/>
      <c r="K46" s="1481"/>
      <c r="L46" s="1481"/>
      <c r="M46" s="1481"/>
      <c r="N46" s="1481"/>
      <c r="O46" s="1481"/>
      <c r="P46" s="1481"/>
      <c r="Q46" s="1481"/>
    </row>
    <row r="47" spans="1:17">
      <c r="A47" s="1472" t="s">
        <v>763</v>
      </c>
      <c r="B47" s="1473"/>
      <c r="C47" s="1473"/>
      <c r="D47" s="1473"/>
      <c r="E47" s="1473"/>
      <c r="F47" s="1473"/>
      <c r="G47" s="1473"/>
      <c r="H47" s="1473"/>
      <c r="I47" s="1473"/>
      <c r="J47" s="1473"/>
      <c r="K47" s="1473"/>
      <c r="L47" s="1473"/>
      <c r="M47" s="1473"/>
      <c r="N47" s="1473"/>
      <c r="O47" s="1473"/>
      <c r="P47" s="1473"/>
      <c r="Q47" s="1473"/>
    </row>
    <row r="48" spans="1:17">
      <c r="A48" s="1474" t="s">
        <v>801</v>
      </c>
      <c r="B48" s="1475"/>
      <c r="C48" s="1475"/>
      <c r="D48" s="1476"/>
      <c r="E48" s="1475"/>
      <c r="F48" s="1475"/>
      <c r="G48" s="1475"/>
      <c r="H48" s="1475"/>
      <c r="I48" s="1475"/>
      <c r="J48" s="1475"/>
      <c r="K48" s="1475"/>
      <c r="L48" s="1475"/>
      <c r="M48" s="1475"/>
      <c r="N48" s="1475"/>
      <c r="O48" s="1475"/>
      <c r="P48" s="1475"/>
      <c r="Q48" s="1475"/>
    </row>
    <row r="49" spans="1:17">
      <c r="A49" s="1474" t="s">
        <v>802</v>
      </c>
      <c r="B49" s="1475"/>
      <c r="C49" s="1475"/>
      <c r="D49" s="1476"/>
      <c r="E49" s="1475"/>
      <c r="F49" s="1475"/>
      <c r="G49" s="1475"/>
      <c r="H49" s="1475"/>
      <c r="I49" s="1475"/>
      <c r="J49" s="1475"/>
      <c r="K49" s="1475"/>
      <c r="L49" s="1475"/>
      <c r="M49" s="1475"/>
      <c r="N49" s="1475"/>
      <c r="O49" s="1475"/>
      <c r="P49" s="1475"/>
      <c r="Q49" s="1475"/>
    </row>
    <row r="50" spans="1:17">
      <c r="A50" s="1474" t="s">
        <v>803</v>
      </c>
      <c r="B50" s="1476"/>
      <c r="C50" s="1476"/>
      <c r="D50" s="1476"/>
      <c r="E50" s="1476"/>
      <c r="F50" s="1476"/>
      <c r="G50" s="1476"/>
      <c r="H50" s="1476"/>
      <c r="I50" s="1476"/>
      <c r="J50" s="1476"/>
      <c r="K50" s="1476"/>
      <c r="L50" s="1476"/>
      <c r="M50" s="1476"/>
      <c r="N50" s="1476"/>
      <c r="O50" s="1476"/>
      <c r="P50" s="1476"/>
      <c r="Q50" s="1476"/>
    </row>
    <row r="51" spans="1:17">
      <c r="A51" s="1474" t="s">
        <v>804</v>
      </c>
      <c r="B51" s="1475"/>
      <c r="C51" s="1476"/>
      <c r="D51" s="1476"/>
      <c r="E51" s="1475"/>
      <c r="F51" s="1475"/>
      <c r="G51" s="1475"/>
      <c r="H51" s="1475"/>
      <c r="I51" s="1475"/>
      <c r="J51" s="1475"/>
      <c r="K51" s="1475"/>
      <c r="L51" s="1475"/>
      <c r="M51" s="1475"/>
      <c r="N51" s="1475"/>
      <c r="O51" s="1475"/>
      <c r="P51" s="1475"/>
      <c r="Q51" s="1475"/>
    </row>
    <row r="52" spans="1:17">
      <c r="A52" s="1474" t="s">
        <v>805</v>
      </c>
      <c r="B52" s="1476"/>
      <c r="C52" s="1476"/>
      <c r="D52" s="1476"/>
      <c r="E52" s="1476"/>
      <c r="F52" s="1476"/>
      <c r="G52" s="1476"/>
      <c r="H52" s="1476"/>
      <c r="I52" s="1476"/>
      <c r="J52" s="1476"/>
      <c r="K52" s="1476"/>
      <c r="L52" s="1476"/>
      <c r="M52" s="1476"/>
      <c r="N52" s="1476"/>
      <c r="O52" s="1476"/>
      <c r="P52" s="1476"/>
      <c r="Q52" s="1476"/>
    </row>
    <row r="53" spans="1:17" ht="13" thickBot="1">
      <c r="A53" s="1477" t="s">
        <v>806</v>
      </c>
      <c r="B53" s="1478"/>
      <c r="C53" s="1481"/>
      <c r="D53" s="1481"/>
      <c r="E53" s="1478"/>
      <c r="F53" s="1478"/>
      <c r="G53" s="1478"/>
      <c r="H53" s="1478"/>
      <c r="I53" s="1478"/>
      <c r="J53" s="1478"/>
      <c r="K53" s="1478"/>
      <c r="L53" s="1478"/>
      <c r="M53" s="1478"/>
      <c r="N53" s="1478"/>
      <c r="O53" s="1478"/>
      <c r="P53" s="1478"/>
      <c r="Q53" s="1478"/>
    </row>
    <row r="54" spans="1:17">
      <c r="A54" s="1472" t="s">
        <v>808</v>
      </c>
      <c r="B54" s="1473"/>
      <c r="C54" s="1473"/>
      <c r="D54" s="1473"/>
      <c r="E54" s="1473"/>
      <c r="F54" s="1473"/>
      <c r="G54" s="1473"/>
      <c r="H54" s="1473"/>
      <c r="I54" s="1473"/>
      <c r="J54" s="1473"/>
      <c r="K54" s="1473"/>
      <c r="L54" s="1473"/>
      <c r="M54" s="1473"/>
      <c r="N54" s="1473"/>
      <c r="O54" s="1473"/>
      <c r="P54" s="1473"/>
      <c r="Q54" s="1473"/>
    </row>
    <row r="55" spans="1:17">
      <c r="A55" s="1474" t="s">
        <v>801</v>
      </c>
      <c r="B55" s="1475"/>
      <c r="C55" s="1475"/>
      <c r="D55" s="1476"/>
      <c r="E55" s="1475"/>
      <c r="F55" s="1475"/>
      <c r="G55" s="1475"/>
      <c r="H55" s="1475"/>
      <c r="I55" s="1475"/>
      <c r="J55" s="1475"/>
      <c r="K55" s="1475"/>
      <c r="L55" s="1475"/>
      <c r="M55" s="1475"/>
      <c r="N55" s="1475"/>
      <c r="O55" s="1475"/>
      <c r="P55" s="1475"/>
      <c r="Q55" s="1475"/>
    </row>
    <row r="56" spans="1:17">
      <c r="A56" s="1474" t="s">
        <v>802</v>
      </c>
      <c r="B56" s="1475"/>
      <c r="C56" s="1475"/>
      <c r="D56" s="1476"/>
      <c r="E56" s="1475"/>
      <c r="F56" s="1475"/>
      <c r="G56" s="1475"/>
      <c r="H56" s="1475"/>
      <c r="I56" s="1475"/>
      <c r="J56" s="1475"/>
      <c r="K56" s="1475"/>
      <c r="L56" s="1475"/>
      <c r="M56" s="1475"/>
      <c r="N56" s="1475"/>
      <c r="O56" s="1475"/>
      <c r="P56" s="1475"/>
      <c r="Q56" s="1475"/>
    </row>
    <row r="57" spans="1:17">
      <c r="A57" s="1474" t="s">
        <v>803</v>
      </c>
      <c r="B57" s="1476"/>
      <c r="C57" s="1476"/>
      <c r="D57" s="1476"/>
      <c r="E57" s="1476"/>
      <c r="F57" s="1476"/>
      <c r="G57" s="1476"/>
      <c r="H57" s="1476"/>
      <c r="I57" s="1476"/>
      <c r="J57" s="1476"/>
      <c r="K57" s="1476"/>
      <c r="L57" s="1476"/>
      <c r="M57" s="1476"/>
      <c r="N57" s="1476"/>
      <c r="O57" s="1476"/>
      <c r="P57" s="1476"/>
      <c r="Q57" s="1476"/>
    </row>
    <row r="58" spans="1:17">
      <c r="A58" s="1474" t="s">
        <v>804</v>
      </c>
      <c r="B58" s="1475"/>
      <c r="C58" s="1475"/>
      <c r="D58" s="1475"/>
      <c r="E58" s="1475"/>
      <c r="F58" s="1475"/>
      <c r="G58" s="1475"/>
      <c r="H58" s="1475"/>
      <c r="I58" s="1476"/>
      <c r="J58" s="1476"/>
      <c r="K58" s="1476"/>
      <c r="L58" s="1476"/>
      <c r="M58" s="1476"/>
      <c r="N58" s="1476"/>
      <c r="O58" s="1476"/>
      <c r="P58" s="1476"/>
      <c r="Q58" s="1476"/>
    </row>
    <row r="59" spans="1:17">
      <c r="A59" s="1474" t="s">
        <v>805</v>
      </c>
      <c r="B59" s="1476"/>
      <c r="C59" s="1476"/>
      <c r="D59" s="1476"/>
      <c r="E59" s="1476"/>
      <c r="F59" s="1476"/>
      <c r="G59" s="1476"/>
      <c r="H59" s="1476"/>
      <c r="I59" s="1476"/>
      <c r="J59" s="1476"/>
      <c r="K59" s="1476"/>
      <c r="L59" s="1476"/>
      <c r="M59" s="1476"/>
      <c r="N59" s="1476"/>
      <c r="O59" s="1476"/>
      <c r="P59" s="1476"/>
      <c r="Q59" s="1476"/>
    </row>
    <row r="60" spans="1:17" ht="13" thickBot="1">
      <c r="A60" s="1477" t="s">
        <v>806</v>
      </c>
      <c r="B60" s="1478"/>
      <c r="C60" s="1478"/>
      <c r="D60" s="1478"/>
      <c r="E60" s="1478"/>
      <c r="F60" s="1478"/>
      <c r="G60" s="1478"/>
      <c r="H60" s="1478"/>
      <c r="I60" s="1481"/>
      <c r="J60" s="1481"/>
      <c r="K60" s="1481"/>
      <c r="L60" s="1481"/>
      <c r="M60" s="1481"/>
      <c r="N60" s="1481"/>
      <c r="O60" s="1481"/>
      <c r="P60" s="1481"/>
      <c r="Q60" s="1481"/>
    </row>
    <row r="61" spans="1:17">
      <c r="A61" s="1472" t="s">
        <v>809</v>
      </c>
      <c r="B61" s="1473"/>
      <c r="C61" s="1473"/>
      <c r="D61" s="1473"/>
      <c r="E61" s="1473"/>
      <c r="F61" s="1473"/>
      <c r="G61" s="1473"/>
      <c r="H61" s="1473"/>
      <c r="I61" s="1473"/>
      <c r="J61" s="1473"/>
      <c r="K61" s="1473"/>
      <c r="L61" s="1473"/>
      <c r="M61" s="1473"/>
      <c r="N61" s="1473"/>
      <c r="O61" s="1473"/>
      <c r="P61" s="1473"/>
      <c r="Q61" s="1473"/>
    </row>
    <row r="62" spans="1:17">
      <c r="A62" s="1474" t="s">
        <v>801</v>
      </c>
      <c r="B62" s="1475"/>
      <c r="C62" s="1475"/>
      <c r="D62" s="1475"/>
      <c r="E62" s="1475"/>
      <c r="F62" s="1475"/>
      <c r="G62" s="1475"/>
      <c r="H62" s="1475"/>
      <c r="I62" s="1475"/>
      <c r="J62" s="1475"/>
      <c r="K62" s="1475"/>
      <c r="L62" s="1475"/>
      <c r="M62" s="1475"/>
      <c r="N62" s="1475"/>
      <c r="O62" s="1475"/>
      <c r="P62" s="1475"/>
      <c r="Q62" s="1475"/>
    </row>
    <row r="63" spans="1:17">
      <c r="A63" s="1474" t="s">
        <v>802</v>
      </c>
      <c r="B63" s="1475"/>
      <c r="C63" s="1475"/>
      <c r="D63" s="1475"/>
      <c r="E63" s="1476"/>
      <c r="F63" s="1475"/>
      <c r="G63" s="1475"/>
      <c r="H63" s="1475"/>
      <c r="I63" s="1475"/>
      <c r="J63" s="1475"/>
      <c r="K63" s="1475"/>
      <c r="L63" s="1475"/>
      <c r="M63" s="1475"/>
      <c r="N63" s="1475"/>
      <c r="O63" s="1475"/>
      <c r="P63" s="1475"/>
      <c r="Q63" s="1475"/>
    </row>
    <row r="64" spans="1:17">
      <c r="A64" s="1474" t="s">
        <v>803</v>
      </c>
      <c r="B64" s="1476"/>
      <c r="C64" s="1476"/>
      <c r="D64" s="1476"/>
      <c r="E64" s="1476"/>
      <c r="F64" s="1476"/>
      <c r="G64" s="1476"/>
      <c r="H64" s="1476"/>
      <c r="I64" s="1476"/>
      <c r="J64" s="1476"/>
      <c r="K64" s="1476"/>
      <c r="L64" s="1476"/>
      <c r="M64" s="1476"/>
      <c r="N64" s="1476"/>
      <c r="O64" s="1476"/>
      <c r="P64" s="1476"/>
      <c r="Q64" s="1476"/>
    </row>
    <row r="65" spans="1:17">
      <c r="A65" s="1474" t="s">
        <v>804</v>
      </c>
      <c r="B65" s="1475"/>
      <c r="C65" s="1475"/>
      <c r="D65" s="1475"/>
      <c r="E65" s="1475"/>
      <c r="F65" s="1475"/>
      <c r="G65" s="1475"/>
      <c r="H65" s="1475"/>
      <c r="I65" s="1475"/>
      <c r="J65" s="1475"/>
      <c r="K65" s="1475"/>
      <c r="L65" s="1475"/>
      <c r="M65" s="1475"/>
      <c r="N65" s="1475"/>
      <c r="O65" s="1475"/>
      <c r="P65" s="1475"/>
      <c r="Q65" s="1475"/>
    </row>
    <row r="66" spans="1:17">
      <c r="A66" s="1474" t="s">
        <v>805</v>
      </c>
      <c r="B66" s="1476"/>
      <c r="C66" s="1476"/>
      <c r="D66" s="1476"/>
      <c r="E66" s="1476"/>
      <c r="F66" s="1476"/>
      <c r="G66" s="1476"/>
      <c r="H66" s="1476"/>
      <c r="I66" s="1476"/>
      <c r="J66" s="1476"/>
      <c r="K66" s="1476"/>
      <c r="L66" s="1476"/>
      <c r="M66" s="1476"/>
      <c r="N66" s="1476"/>
      <c r="O66" s="1476"/>
      <c r="P66" s="1476"/>
      <c r="Q66" s="1476"/>
    </row>
    <row r="67" spans="1:17" ht="13" thickBot="1">
      <c r="A67" s="1477" t="s">
        <v>806</v>
      </c>
      <c r="B67" s="1478"/>
      <c r="C67" s="1478"/>
      <c r="D67" s="1481"/>
      <c r="E67" s="1481"/>
      <c r="F67" s="1478"/>
      <c r="G67" s="1478"/>
      <c r="H67" s="1478"/>
      <c r="I67" s="1478"/>
      <c r="J67" s="1478"/>
      <c r="K67" s="1478"/>
      <c r="L67" s="1478"/>
      <c r="M67" s="1478"/>
      <c r="N67" s="1478"/>
      <c r="O67" s="1478"/>
      <c r="P67" s="1478"/>
      <c r="Q67" s="1478"/>
    </row>
    <row r="68" spans="1:17">
      <c r="A68" s="1472" t="s">
        <v>789</v>
      </c>
      <c r="B68" s="1473"/>
      <c r="C68" s="1473"/>
      <c r="D68" s="1473"/>
      <c r="E68" s="1473"/>
      <c r="F68" s="1473"/>
      <c r="G68" s="1473"/>
      <c r="H68" s="1473"/>
      <c r="I68" s="1473"/>
      <c r="J68" s="1473"/>
      <c r="K68" s="1473"/>
      <c r="L68" s="1473"/>
      <c r="M68" s="1473"/>
      <c r="N68" s="1473"/>
      <c r="O68" s="1473"/>
      <c r="P68" s="1473"/>
      <c r="Q68" s="1473"/>
    </row>
    <row r="69" spans="1:17">
      <c r="A69" s="1474" t="s">
        <v>801</v>
      </c>
      <c r="B69" s="1475"/>
      <c r="C69" s="1475"/>
      <c r="D69" s="1475"/>
      <c r="E69" s="1475"/>
      <c r="F69" s="1475"/>
      <c r="G69" s="1475"/>
      <c r="H69" s="1475"/>
      <c r="I69" s="1475"/>
      <c r="J69" s="1475"/>
      <c r="K69" s="1475"/>
      <c r="L69" s="1475"/>
      <c r="M69" s="1475"/>
      <c r="N69" s="1475"/>
      <c r="O69" s="1475"/>
      <c r="P69" s="1475"/>
      <c r="Q69" s="1475"/>
    </row>
    <row r="70" spans="1:17">
      <c r="A70" s="1474" t="s">
        <v>802</v>
      </c>
      <c r="B70" s="1475"/>
      <c r="C70" s="1475"/>
      <c r="D70" s="1475"/>
      <c r="E70" s="1475"/>
      <c r="F70" s="1475"/>
      <c r="G70" s="1476"/>
      <c r="H70" s="1475"/>
      <c r="I70" s="1476"/>
      <c r="J70" s="1476"/>
      <c r="K70" s="1476"/>
      <c r="L70" s="1476"/>
      <c r="M70" s="1476"/>
      <c r="N70" s="1476"/>
      <c r="O70" s="1476"/>
      <c r="P70" s="1476"/>
      <c r="Q70" s="1476"/>
    </row>
    <row r="71" spans="1:17">
      <c r="A71" s="1474" t="s">
        <v>803</v>
      </c>
      <c r="B71" s="1476"/>
      <c r="C71" s="1476"/>
      <c r="D71" s="1476"/>
      <c r="E71" s="1476"/>
      <c r="F71" s="1476"/>
      <c r="G71" s="1476"/>
      <c r="H71" s="1476"/>
      <c r="I71" s="1476"/>
      <c r="J71" s="1476"/>
      <c r="K71" s="1476"/>
      <c r="L71" s="1476"/>
      <c r="M71" s="1476"/>
      <c r="N71" s="1476"/>
      <c r="O71" s="1476"/>
      <c r="P71" s="1476"/>
      <c r="Q71" s="1476"/>
    </row>
    <row r="72" spans="1:17">
      <c r="A72" s="1474" t="s">
        <v>804</v>
      </c>
      <c r="B72" s="1475"/>
      <c r="C72" s="1475"/>
      <c r="D72" s="1475"/>
      <c r="E72" s="1475"/>
      <c r="F72" s="1475"/>
      <c r="G72" s="1475"/>
      <c r="H72" s="1475"/>
      <c r="I72" s="1475"/>
      <c r="J72" s="1475"/>
      <c r="K72" s="1476"/>
      <c r="L72" s="1476"/>
      <c r="M72" s="1476"/>
      <c r="N72" s="1476"/>
      <c r="O72" s="1476"/>
      <c r="P72" s="1476"/>
      <c r="Q72" s="1476"/>
    </row>
    <row r="73" spans="1:17">
      <c r="A73" s="1474" t="s">
        <v>805</v>
      </c>
      <c r="B73" s="1476"/>
      <c r="C73" s="1476"/>
      <c r="D73" s="1476"/>
      <c r="E73" s="1476"/>
      <c r="F73" s="1476"/>
      <c r="G73" s="1476"/>
      <c r="H73" s="1476"/>
      <c r="I73" s="1476"/>
      <c r="J73" s="1476"/>
      <c r="K73" s="1476"/>
      <c r="L73" s="1476"/>
      <c r="M73" s="1476"/>
      <c r="N73" s="1476"/>
      <c r="O73" s="1476"/>
      <c r="P73" s="1476"/>
      <c r="Q73" s="1476"/>
    </row>
    <row r="74" spans="1:17" ht="13" thickBot="1">
      <c r="A74" s="1477" t="s">
        <v>806</v>
      </c>
      <c r="B74" s="1478"/>
      <c r="C74" s="1478"/>
      <c r="D74" s="1478"/>
      <c r="E74" s="1481"/>
      <c r="F74" s="1478"/>
      <c r="G74" s="1481"/>
      <c r="H74" s="1478"/>
      <c r="I74" s="1478"/>
      <c r="J74" s="1478"/>
      <c r="K74" s="1481"/>
      <c r="L74" s="1481"/>
      <c r="M74" s="1481"/>
      <c r="N74" s="1481"/>
      <c r="O74" s="1481"/>
      <c r="P74" s="1481"/>
      <c r="Q74" s="1481"/>
    </row>
    <row r="75" spans="1:17">
      <c r="A75" s="1472" t="s">
        <v>810</v>
      </c>
      <c r="B75" s="1473"/>
      <c r="C75" s="1473"/>
      <c r="D75" s="1473"/>
      <c r="E75" s="1473"/>
      <c r="F75" s="1473"/>
      <c r="G75" s="1473"/>
      <c r="H75" s="1473"/>
      <c r="I75" s="1473"/>
      <c r="J75" s="1473"/>
      <c r="K75" s="1473"/>
      <c r="L75" s="1473"/>
      <c r="M75" s="1473"/>
      <c r="N75" s="1473"/>
      <c r="O75" s="1473"/>
      <c r="P75" s="1473"/>
      <c r="Q75" s="1473"/>
    </row>
    <row r="76" spans="1:17">
      <c r="A76" s="1474" t="s">
        <v>801</v>
      </c>
      <c r="B76" s="1475"/>
      <c r="C76" s="1475"/>
      <c r="D76" s="1475"/>
      <c r="E76" s="1475"/>
      <c r="F76" s="1475"/>
      <c r="G76" s="1475"/>
      <c r="H76" s="1475"/>
      <c r="I76" s="1475"/>
      <c r="J76" s="1475"/>
      <c r="K76" s="1475"/>
      <c r="L76" s="1475"/>
      <c r="M76" s="1475"/>
      <c r="N76" s="1475"/>
      <c r="O76" s="1475"/>
      <c r="P76" s="1475"/>
      <c r="Q76" s="1475"/>
    </row>
    <row r="77" spans="1:17">
      <c r="A77" s="1474" t="s">
        <v>802</v>
      </c>
      <c r="B77" s="1475"/>
      <c r="C77" s="1475"/>
      <c r="D77" s="1475"/>
      <c r="E77" s="1475"/>
      <c r="F77" s="1475"/>
      <c r="G77" s="1475"/>
      <c r="H77" s="1475"/>
      <c r="I77" s="1475"/>
      <c r="J77" s="1475"/>
      <c r="K77" s="1475"/>
      <c r="L77" s="1475"/>
      <c r="M77" s="1475"/>
      <c r="N77" s="1475"/>
      <c r="O77" s="1475"/>
      <c r="P77" s="1475"/>
      <c r="Q77" s="1475"/>
    </row>
    <row r="78" spans="1:17">
      <c r="A78" s="1474" t="s">
        <v>803</v>
      </c>
      <c r="B78" s="1476"/>
      <c r="C78" s="1476"/>
      <c r="D78" s="1476"/>
      <c r="E78" s="1476"/>
      <c r="F78" s="1476"/>
      <c r="G78" s="1476"/>
      <c r="H78" s="1476"/>
      <c r="I78" s="1476"/>
      <c r="J78" s="1476"/>
      <c r="K78" s="1476"/>
      <c r="L78" s="1476"/>
      <c r="M78" s="1476"/>
      <c r="N78" s="1476"/>
      <c r="O78" s="1476"/>
      <c r="P78" s="1476"/>
      <c r="Q78" s="1476"/>
    </row>
    <row r="79" spans="1:17">
      <c r="A79" s="1474" t="s">
        <v>804</v>
      </c>
      <c r="B79" s="1475"/>
      <c r="C79" s="1475"/>
      <c r="D79" s="1475"/>
      <c r="E79" s="1475"/>
      <c r="F79" s="1475"/>
      <c r="G79" s="1475"/>
      <c r="H79" s="1475"/>
      <c r="I79" s="1475"/>
      <c r="J79" s="1475"/>
      <c r="K79" s="1476"/>
      <c r="L79" s="1476"/>
      <c r="M79" s="1476"/>
      <c r="N79" s="1476"/>
      <c r="O79" s="1476"/>
      <c r="P79" s="1476"/>
      <c r="Q79" s="1476"/>
    </row>
    <row r="80" spans="1:17">
      <c r="A80" s="1474" t="s">
        <v>805</v>
      </c>
      <c r="B80" s="1476"/>
      <c r="C80" s="1476"/>
      <c r="D80" s="1476"/>
      <c r="E80" s="1476"/>
      <c r="F80" s="1476"/>
      <c r="G80" s="1476"/>
      <c r="H80" s="1476"/>
      <c r="I80" s="1476"/>
      <c r="J80" s="1476"/>
      <c r="K80" s="1476"/>
      <c r="L80" s="1476"/>
      <c r="M80" s="1476"/>
      <c r="N80" s="1476"/>
      <c r="O80" s="1476"/>
      <c r="P80" s="1476"/>
      <c r="Q80" s="1476"/>
    </row>
    <row r="81" spans="1:17" ht="13" thickBot="1">
      <c r="A81" s="1477" t="s">
        <v>806</v>
      </c>
      <c r="B81" s="1478"/>
      <c r="C81" s="1478"/>
      <c r="D81" s="1478"/>
      <c r="E81" s="1478"/>
      <c r="F81" s="1478"/>
      <c r="G81" s="1478"/>
      <c r="H81" s="1478"/>
      <c r="I81" s="1478"/>
      <c r="J81" s="1478"/>
      <c r="K81" s="1481"/>
      <c r="L81" s="1481"/>
      <c r="M81" s="1481"/>
      <c r="N81" s="1481"/>
      <c r="O81" s="1481"/>
      <c r="P81" s="1481"/>
      <c r="Q81" s="1481"/>
    </row>
    <row r="82" spans="1:17">
      <c r="A82" s="1472" t="s">
        <v>334</v>
      </c>
      <c r="B82" s="1473"/>
      <c r="C82" s="1473"/>
      <c r="D82" s="1473"/>
      <c r="E82" s="1473"/>
      <c r="F82" s="1473"/>
      <c r="G82" s="1473"/>
      <c r="H82" s="1473"/>
      <c r="I82" s="1473"/>
      <c r="J82" s="1473"/>
      <c r="K82" s="1473"/>
      <c r="L82" s="1473"/>
      <c r="M82" s="1473"/>
      <c r="N82" s="1473"/>
      <c r="O82" s="1473"/>
      <c r="P82" s="1473"/>
      <c r="Q82" s="1473"/>
    </row>
    <row r="83" spans="1:17">
      <c r="A83" s="1474" t="s">
        <v>801</v>
      </c>
      <c r="B83" s="1475"/>
      <c r="C83" s="1476"/>
      <c r="D83" s="1476"/>
      <c r="E83" s="1475"/>
      <c r="F83" s="1476"/>
      <c r="G83" s="1475"/>
      <c r="H83" s="1475"/>
      <c r="I83" s="1475"/>
      <c r="J83" s="1475"/>
      <c r="K83" s="1475"/>
      <c r="L83" s="1475"/>
      <c r="M83" s="1475"/>
      <c r="N83" s="1475"/>
      <c r="O83" s="1475"/>
      <c r="P83" s="1475"/>
      <c r="Q83" s="1475"/>
    </row>
    <row r="84" spans="1:17">
      <c r="A84" s="1474" t="s">
        <v>802</v>
      </c>
      <c r="B84" s="1475"/>
      <c r="C84" s="1476"/>
      <c r="D84" s="1476"/>
      <c r="E84" s="1475"/>
      <c r="F84" s="1476"/>
      <c r="G84" s="1475"/>
      <c r="H84" s="1475"/>
      <c r="I84" s="1475"/>
      <c r="J84" s="1475"/>
      <c r="K84" s="1475"/>
      <c r="L84" s="1475"/>
      <c r="M84" s="1475"/>
      <c r="N84" s="1475"/>
      <c r="O84" s="1475"/>
      <c r="P84" s="1475"/>
      <c r="Q84" s="1475"/>
    </row>
    <row r="85" spans="1:17">
      <c r="A85" s="1474" t="s">
        <v>803</v>
      </c>
      <c r="B85" s="1476"/>
      <c r="C85" s="1476"/>
      <c r="D85" s="1476"/>
      <c r="E85" s="1476"/>
      <c r="F85" s="1476"/>
      <c r="G85" s="1476"/>
      <c r="H85" s="1476"/>
      <c r="I85" s="1476"/>
      <c r="J85" s="1476"/>
      <c r="K85" s="1476"/>
      <c r="L85" s="1476"/>
      <c r="M85" s="1476"/>
      <c r="N85" s="1476"/>
      <c r="O85" s="1476"/>
      <c r="P85" s="1476"/>
      <c r="Q85" s="1476"/>
    </row>
    <row r="86" spans="1:17">
      <c r="A86" s="1474" t="s">
        <v>804</v>
      </c>
      <c r="B86" s="1475"/>
      <c r="C86" s="1476"/>
      <c r="D86" s="1476"/>
      <c r="E86" s="1475"/>
      <c r="F86" s="1476"/>
      <c r="G86" s="1475"/>
      <c r="H86" s="1475"/>
      <c r="I86" s="1475"/>
      <c r="J86" s="1475"/>
      <c r="K86" s="1475"/>
      <c r="L86" s="1475"/>
      <c r="M86" s="1475"/>
      <c r="N86" s="1475"/>
      <c r="O86" s="1475"/>
      <c r="P86" s="1475"/>
      <c r="Q86" s="1475"/>
    </row>
    <row r="87" spans="1:17">
      <c r="A87" s="1474" t="s">
        <v>805</v>
      </c>
      <c r="B87" s="1476"/>
      <c r="C87" s="1476"/>
      <c r="D87" s="1476"/>
      <c r="E87" s="1476"/>
      <c r="F87" s="1476"/>
      <c r="G87" s="1476"/>
      <c r="H87" s="1476"/>
      <c r="I87" s="1476"/>
      <c r="J87" s="1476"/>
      <c r="K87" s="1476"/>
      <c r="L87" s="1476"/>
      <c r="M87" s="1476"/>
      <c r="N87" s="1476"/>
      <c r="O87" s="1476"/>
      <c r="P87" s="1476"/>
      <c r="Q87" s="1476"/>
    </row>
    <row r="88" spans="1:17" ht="13" thickBot="1">
      <c r="A88" s="1477" t="s">
        <v>806</v>
      </c>
      <c r="B88" s="1478"/>
      <c r="C88" s="1481"/>
      <c r="D88" s="1481"/>
      <c r="E88" s="1478"/>
      <c r="F88" s="1481"/>
      <c r="G88" s="1478"/>
      <c r="H88" s="1478"/>
      <c r="I88" s="1478"/>
      <c r="J88" s="1478"/>
      <c r="K88" s="1478"/>
      <c r="L88" s="1478"/>
      <c r="M88" s="1478"/>
      <c r="N88" s="1478"/>
      <c r="O88" s="1478"/>
      <c r="P88" s="1478"/>
      <c r="Q88" s="1478"/>
    </row>
    <row r="89" spans="1:17">
      <c r="A89" s="1472" t="s">
        <v>811</v>
      </c>
      <c r="B89" s="1473"/>
      <c r="C89" s="1473"/>
      <c r="D89" s="1473"/>
      <c r="E89" s="1473"/>
      <c r="F89" s="1473"/>
      <c r="G89" s="1473"/>
      <c r="H89" s="1473"/>
      <c r="I89" s="1473"/>
      <c r="J89" s="1473"/>
      <c r="K89" s="1473"/>
      <c r="L89" s="1473"/>
      <c r="M89" s="1473"/>
      <c r="N89" s="1473"/>
      <c r="O89" s="1473"/>
      <c r="P89" s="1473"/>
      <c r="Q89" s="1473"/>
    </row>
    <row r="90" spans="1:17">
      <c r="A90" s="1474" t="s">
        <v>801</v>
      </c>
      <c r="B90" s="1475"/>
      <c r="C90" s="1476"/>
      <c r="D90" s="1476"/>
      <c r="E90" s="1475"/>
      <c r="F90" s="1476"/>
      <c r="G90" s="1476"/>
      <c r="H90" s="1476"/>
      <c r="I90" s="1476"/>
      <c r="J90" s="1476"/>
      <c r="K90" s="1476"/>
      <c r="L90" s="1476"/>
      <c r="M90" s="1476"/>
      <c r="N90" s="1476"/>
      <c r="O90" s="1476"/>
      <c r="P90" s="1476"/>
      <c r="Q90" s="1476"/>
    </row>
    <row r="91" spans="1:17">
      <c r="A91" s="1474" t="s">
        <v>802</v>
      </c>
      <c r="B91" s="1475"/>
      <c r="C91" s="1476"/>
      <c r="D91" s="1476"/>
      <c r="E91" s="1475"/>
      <c r="F91" s="1476"/>
      <c r="G91" s="1476"/>
      <c r="H91" s="1476"/>
      <c r="I91" s="1476"/>
      <c r="J91" s="1476"/>
      <c r="K91" s="1476"/>
      <c r="L91" s="1476"/>
      <c r="M91" s="1476"/>
      <c r="N91" s="1476"/>
      <c r="O91" s="1476"/>
      <c r="P91" s="1476"/>
      <c r="Q91" s="1476"/>
    </row>
    <row r="92" spans="1:17">
      <c r="A92" s="1474" t="s">
        <v>803</v>
      </c>
      <c r="B92" s="1476"/>
      <c r="C92" s="1476"/>
      <c r="D92" s="1476"/>
      <c r="E92" s="1476"/>
      <c r="F92" s="1476"/>
      <c r="G92" s="1476"/>
      <c r="H92" s="1476"/>
      <c r="I92" s="1476"/>
      <c r="J92" s="1476"/>
      <c r="K92" s="1476"/>
      <c r="L92" s="1476"/>
      <c r="M92" s="1476"/>
      <c r="N92" s="1476"/>
      <c r="O92" s="1476"/>
      <c r="P92" s="1476"/>
      <c r="Q92" s="1476"/>
    </row>
    <row r="93" spans="1:17">
      <c r="A93" s="1474" t="s">
        <v>804</v>
      </c>
      <c r="B93" s="1475"/>
      <c r="C93" s="1475"/>
      <c r="D93" s="1475"/>
      <c r="E93" s="1475"/>
      <c r="F93" s="1475"/>
      <c r="G93" s="1475"/>
      <c r="H93" s="1475"/>
      <c r="I93" s="1475"/>
      <c r="J93" s="1476"/>
      <c r="K93" s="1476"/>
      <c r="L93" s="1476"/>
      <c r="M93" s="1476"/>
      <c r="N93" s="1476"/>
      <c r="O93" s="1476"/>
      <c r="P93" s="1476"/>
      <c r="Q93" s="1476"/>
    </row>
    <row r="94" spans="1:17">
      <c r="A94" s="1474" t="s">
        <v>805</v>
      </c>
      <c r="B94" s="1476"/>
      <c r="C94" s="1476"/>
      <c r="D94" s="1476"/>
      <c r="E94" s="1476"/>
      <c r="F94" s="1476"/>
      <c r="G94" s="1476"/>
      <c r="H94" s="1476"/>
      <c r="I94" s="1476"/>
      <c r="J94" s="1476"/>
      <c r="K94" s="1476"/>
      <c r="L94" s="1476"/>
      <c r="M94" s="1476"/>
      <c r="N94" s="1476"/>
      <c r="O94" s="1476"/>
      <c r="P94" s="1476"/>
      <c r="Q94" s="1476"/>
    </row>
    <row r="95" spans="1:17" ht="13" thickBot="1">
      <c r="A95" s="1477" t="s">
        <v>806</v>
      </c>
      <c r="B95" s="1478"/>
      <c r="C95" s="1481"/>
      <c r="D95" s="1481"/>
      <c r="E95" s="1481"/>
      <c r="F95" s="1481"/>
      <c r="G95" s="1481"/>
      <c r="H95" s="1481"/>
      <c r="I95" s="1481"/>
      <c r="J95" s="1481"/>
      <c r="K95" s="1481"/>
      <c r="L95" s="1481"/>
      <c r="M95" s="1481"/>
      <c r="N95" s="1481"/>
      <c r="O95" s="1481"/>
      <c r="P95" s="1481"/>
      <c r="Q95" s="1481"/>
    </row>
    <row r="96" spans="1:17">
      <c r="A96" s="1472" t="s">
        <v>812</v>
      </c>
      <c r="B96" s="1473"/>
      <c r="C96" s="1473"/>
      <c r="D96" s="1473"/>
      <c r="E96" s="1473"/>
      <c r="F96" s="1473"/>
      <c r="G96" s="1473"/>
      <c r="H96" s="1473"/>
      <c r="I96" s="1473"/>
      <c r="J96" s="1473"/>
      <c r="K96" s="1473"/>
      <c r="L96" s="1473"/>
      <c r="M96" s="1473"/>
      <c r="N96" s="1473"/>
      <c r="O96" s="1473"/>
      <c r="P96" s="1473"/>
      <c r="Q96" s="1473"/>
    </row>
    <row r="97" spans="1:17">
      <c r="A97" s="1474" t="s">
        <v>801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  <c r="L97" s="1475"/>
      <c r="M97" s="1475"/>
      <c r="N97" s="1475"/>
      <c r="O97" s="1475"/>
      <c r="P97" s="1475"/>
      <c r="Q97" s="1475"/>
    </row>
    <row r="98" spans="1:17">
      <c r="A98" s="1474" t="s">
        <v>802</v>
      </c>
      <c r="B98" s="1475"/>
      <c r="C98" s="1476"/>
      <c r="D98" s="1476"/>
      <c r="E98" s="1475"/>
      <c r="F98" s="1476"/>
      <c r="G98" s="1476"/>
      <c r="H98" s="1476"/>
      <c r="I98" s="1475"/>
      <c r="J98" s="1475"/>
      <c r="K98" s="1475"/>
      <c r="L98" s="1475"/>
      <c r="M98" s="1475"/>
      <c r="N98" s="1475"/>
      <c r="O98" s="1475"/>
      <c r="P98" s="1475"/>
      <c r="Q98" s="1475"/>
    </row>
    <row r="99" spans="1:17">
      <c r="A99" s="1474" t="s">
        <v>803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  <c r="L99" s="1476"/>
      <c r="M99" s="1476"/>
      <c r="N99" s="1476"/>
      <c r="O99" s="1476"/>
      <c r="P99" s="1476"/>
      <c r="Q99" s="1476"/>
    </row>
    <row r="100" spans="1:17">
      <c r="A100" s="1474" t="s">
        <v>804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  <c r="L100" s="1475"/>
      <c r="M100" s="1475"/>
      <c r="N100" s="1475"/>
      <c r="O100" s="1475"/>
      <c r="P100" s="1475"/>
      <c r="Q100" s="1475"/>
    </row>
    <row r="101" spans="1:17">
      <c r="A101" s="1474" t="s">
        <v>805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  <c r="L101" s="1476"/>
      <c r="M101" s="1476"/>
      <c r="N101" s="1476"/>
      <c r="O101" s="1476"/>
      <c r="P101" s="1476"/>
      <c r="Q101" s="1476"/>
    </row>
    <row r="102" spans="1:17" ht="13" thickBot="1">
      <c r="A102" s="1477" t="s">
        <v>806</v>
      </c>
      <c r="B102" s="1478"/>
      <c r="C102" s="1478"/>
      <c r="D102" s="1478"/>
      <c r="E102" s="1478"/>
      <c r="F102" s="1478"/>
      <c r="G102" s="1478"/>
      <c r="H102" s="1478"/>
      <c r="I102" s="1478"/>
      <c r="J102" s="1478"/>
      <c r="K102" s="1478"/>
      <c r="L102" s="1478"/>
      <c r="M102" s="1478"/>
      <c r="N102" s="1478"/>
      <c r="O102" s="1478"/>
      <c r="P102" s="1478"/>
      <c r="Q102" s="1478"/>
    </row>
    <row r="103" spans="1:17">
      <c r="A103" s="1472" t="s">
        <v>814</v>
      </c>
      <c r="B103" s="1473"/>
      <c r="C103" s="1473"/>
      <c r="D103" s="1473"/>
      <c r="E103" s="1473"/>
      <c r="F103" s="1473"/>
      <c r="G103" s="1473"/>
      <c r="H103" s="1473"/>
      <c r="I103" s="1473"/>
      <c r="J103" s="1473"/>
      <c r="K103" s="1473"/>
      <c r="L103" s="1473"/>
      <c r="M103" s="1473"/>
      <c r="N103" s="1473"/>
      <c r="O103" s="1473"/>
      <c r="P103" s="1473"/>
      <c r="Q103" s="1473"/>
    </row>
    <row r="104" spans="1:17">
      <c r="A104" s="1474" t="s">
        <v>801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  <c r="L104" s="1475"/>
      <c r="M104" s="1475"/>
      <c r="N104" s="1475"/>
      <c r="O104" s="1475"/>
      <c r="P104" s="1475"/>
      <c r="Q104" s="1475"/>
    </row>
    <row r="105" spans="1:17">
      <c r="A105" s="1474" t="s">
        <v>802</v>
      </c>
      <c r="B105" s="1475"/>
      <c r="C105" s="1475"/>
      <c r="D105" s="1475"/>
      <c r="E105" s="1476"/>
      <c r="F105" s="1475"/>
      <c r="G105" s="1475"/>
      <c r="H105" s="1475"/>
      <c r="I105" s="1475"/>
      <c r="J105" s="1475"/>
      <c r="K105" s="1475"/>
      <c r="L105" s="1475"/>
      <c r="M105" s="1475"/>
      <c r="N105" s="1475"/>
      <c r="O105" s="1475"/>
      <c r="P105" s="1475"/>
      <c r="Q105" s="1475"/>
    </row>
    <row r="106" spans="1:17">
      <c r="A106" s="1474" t="s">
        <v>803</v>
      </c>
      <c r="B106" s="1475"/>
      <c r="C106" s="1476"/>
      <c r="D106" s="1476"/>
      <c r="E106" s="1475"/>
      <c r="F106" s="1476"/>
      <c r="G106" s="1476"/>
      <c r="H106" s="1476"/>
      <c r="I106" s="1476"/>
      <c r="J106" s="1476"/>
      <c r="K106" s="1476"/>
      <c r="L106" s="1476"/>
      <c r="M106" s="1476"/>
      <c r="N106" s="1476"/>
      <c r="O106" s="1476"/>
      <c r="P106" s="1476"/>
      <c r="Q106" s="1476"/>
    </row>
    <row r="107" spans="1:17">
      <c r="A107" s="1474" t="s">
        <v>804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  <c r="L107" s="1475"/>
      <c r="M107" s="1475"/>
      <c r="N107" s="1475"/>
      <c r="O107" s="1475"/>
      <c r="P107" s="1475"/>
      <c r="Q107" s="1475"/>
    </row>
    <row r="108" spans="1:17">
      <c r="A108" s="1474" t="s">
        <v>805</v>
      </c>
      <c r="B108" s="1476"/>
      <c r="C108" s="1476"/>
      <c r="D108" s="1476"/>
      <c r="E108" s="1475"/>
      <c r="F108" s="1476"/>
      <c r="G108" s="1476"/>
      <c r="H108" s="1476"/>
      <c r="I108" s="1476"/>
      <c r="J108" s="1476"/>
      <c r="K108" s="1476"/>
      <c r="L108" s="1476"/>
      <c r="M108" s="1476"/>
      <c r="N108" s="1476"/>
      <c r="O108" s="1476"/>
      <c r="P108" s="1476"/>
      <c r="Q108" s="1476"/>
    </row>
    <row r="109" spans="1:17" ht="13" thickBot="1">
      <c r="A109" s="1477" t="s">
        <v>806</v>
      </c>
      <c r="B109" s="1478"/>
      <c r="C109" s="1478"/>
      <c r="D109" s="1478"/>
      <c r="E109" s="1478"/>
      <c r="F109" s="1478"/>
      <c r="G109" s="1478"/>
      <c r="H109" s="1478"/>
      <c r="I109" s="1478"/>
      <c r="J109" s="1478"/>
      <c r="K109" s="1478"/>
      <c r="L109" s="1478"/>
      <c r="M109" s="1478"/>
      <c r="N109" s="1478"/>
      <c r="O109" s="1478"/>
      <c r="P109" s="1478"/>
      <c r="Q109" s="1478"/>
    </row>
    <row r="110" spans="1:17">
      <c r="A110" s="1472" t="s">
        <v>340</v>
      </c>
      <c r="B110" s="1473"/>
      <c r="C110" s="1473"/>
      <c r="D110" s="1473"/>
      <c r="E110" s="1473"/>
      <c r="F110" s="1473"/>
      <c r="G110" s="1473"/>
      <c r="H110" s="1473"/>
      <c r="I110" s="1473"/>
      <c r="J110" s="1473"/>
      <c r="K110" s="1473"/>
      <c r="L110" s="1473"/>
      <c r="M110" s="1473"/>
      <c r="N110" s="1473"/>
      <c r="O110" s="1473"/>
      <c r="P110" s="1473"/>
      <c r="Q110" s="1473"/>
    </row>
    <row r="111" spans="1:17">
      <c r="A111" s="1474" t="s">
        <v>801</v>
      </c>
      <c r="B111" s="1475"/>
      <c r="C111" s="1475"/>
      <c r="D111" s="1475"/>
      <c r="E111" s="1475"/>
      <c r="F111" s="1475"/>
      <c r="G111" s="1475"/>
      <c r="H111" s="1475"/>
      <c r="I111" s="1476"/>
      <c r="J111" s="1476"/>
      <c r="K111" s="1476"/>
      <c r="L111" s="1476"/>
      <c r="M111" s="1476"/>
      <c r="N111" s="1476"/>
      <c r="O111" s="1476"/>
      <c r="P111" s="1476"/>
      <c r="Q111" s="1476"/>
    </row>
    <row r="112" spans="1:17">
      <c r="A112" s="1474" t="s">
        <v>802</v>
      </c>
      <c r="B112" s="1475"/>
      <c r="C112" s="1475"/>
      <c r="D112" s="1475"/>
      <c r="E112" s="1476"/>
      <c r="F112" s="1475"/>
      <c r="G112" s="1475"/>
      <c r="H112" s="1475"/>
      <c r="I112" s="1476"/>
      <c r="J112" s="1476"/>
      <c r="K112" s="1476"/>
      <c r="L112" s="1476"/>
      <c r="M112" s="1476"/>
      <c r="N112" s="1476"/>
      <c r="O112" s="1476"/>
      <c r="P112" s="1476"/>
      <c r="Q112" s="1476"/>
    </row>
    <row r="113" spans="1:17">
      <c r="A113" s="1474" t="s">
        <v>803</v>
      </c>
      <c r="B113" s="1476"/>
      <c r="C113" s="1476"/>
      <c r="D113" s="1476"/>
      <c r="E113" s="1476"/>
      <c r="F113" s="1476"/>
      <c r="G113" s="1476"/>
      <c r="H113" s="1476"/>
      <c r="I113" s="1476"/>
      <c r="J113" s="1476"/>
      <c r="K113" s="1476"/>
      <c r="L113" s="1476"/>
      <c r="M113" s="1476"/>
      <c r="N113" s="1476"/>
      <c r="O113" s="1476"/>
      <c r="P113" s="1476"/>
      <c r="Q113" s="1476"/>
    </row>
    <row r="114" spans="1:17">
      <c r="A114" s="1474" t="s">
        <v>804</v>
      </c>
      <c r="B114" s="1475"/>
      <c r="C114" s="1475"/>
      <c r="D114" s="1475"/>
      <c r="E114" s="1475"/>
      <c r="F114" s="1475"/>
      <c r="G114" s="1475"/>
      <c r="H114" s="1475"/>
      <c r="I114" s="1476"/>
      <c r="J114" s="1476"/>
      <c r="K114" s="1476"/>
      <c r="L114" s="1476"/>
      <c r="M114" s="1476"/>
      <c r="N114" s="1476"/>
      <c r="O114" s="1476"/>
      <c r="P114" s="1476"/>
      <c r="Q114" s="1476"/>
    </row>
    <row r="115" spans="1:17">
      <c r="A115" s="1474" t="s">
        <v>805</v>
      </c>
      <c r="B115" s="1476"/>
      <c r="C115" s="1476"/>
      <c r="D115" s="1476"/>
      <c r="E115" s="1476"/>
      <c r="F115" s="1476"/>
      <c r="G115" s="1476"/>
      <c r="H115" s="1476"/>
      <c r="I115" s="1476"/>
      <c r="J115" s="1476"/>
      <c r="K115" s="1476"/>
      <c r="L115" s="1476"/>
      <c r="M115" s="1476"/>
      <c r="N115" s="1476"/>
      <c r="O115" s="1476"/>
      <c r="P115" s="1476"/>
      <c r="Q115" s="1476"/>
    </row>
    <row r="116" spans="1:17" ht="13" thickBot="1">
      <c r="A116" s="1477" t="s">
        <v>806</v>
      </c>
      <c r="B116" s="1478"/>
      <c r="C116" s="1478"/>
      <c r="D116" s="1478"/>
      <c r="E116" s="1478"/>
      <c r="F116" s="1478"/>
      <c r="G116" s="1478"/>
      <c r="H116" s="1478"/>
      <c r="I116" s="1481"/>
      <c r="J116" s="1481"/>
      <c r="K116" s="1481"/>
      <c r="L116" s="1481"/>
      <c r="M116" s="1481"/>
      <c r="N116" s="1481"/>
      <c r="O116" s="1481"/>
      <c r="P116" s="1481"/>
      <c r="Q116" s="1481"/>
    </row>
    <row r="117" spans="1:17">
      <c r="A117" s="1472" t="s">
        <v>815</v>
      </c>
      <c r="B117" s="1473"/>
      <c r="C117" s="1473"/>
      <c r="D117" s="1473"/>
      <c r="E117" s="1473"/>
      <c r="F117" s="1473"/>
      <c r="G117" s="1473"/>
      <c r="H117" s="1473"/>
      <c r="I117" s="1473"/>
      <c r="J117" s="1473"/>
      <c r="K117" s="1473"/>
      <c r="L117" s="1473"/>
      <c r="M117" s="1473"/>
      <c r="N117" s="1473"/>
      <c r="O117" s="1473"/>
      <c r="P117" s="1473"/>
      <c r="Q117" s="1473"/>
    </row>
    <row r="118" spans="1:17">
      <c r="A118" s="1474" t="s">
        <v>801</v>
      </c>
      <c r="B118" s="1475"/>
      <c r="C118" s="1475"/>
      <c r="D118" s="1475"/>
      <c r="E118" s="1475"/>
      <c r="F118" s="1475"/>
      <c r="G118" s="1475"/>
      <c r="H118" s="1475"/>
      <c r="I118" s="1475"/>
      <c r="J118" s="1475"/>
      <c r="K118" s="1475"/>
      <c r="L118" s="1475"/>
      <c r="M118" s="1475"/>
      <c r="N118" s="1475"/>
      <c r="O118" s="1475"/>
      <c r="P118" s="1475"/>
      <c r="Q118" s="1475"/>
    </row>
    <row r="119" spans="1:17">
      <c r="A119" s="1474" t="s">
        <v>802</v>
      </c>
      <c r="B119" s="1475"/>
      <c r="C119" s="1475"/>
      <c r="D119" s="1475"/>
      <c r="E119" s="1475"/>
      <c r="F119" s="1475"/>
      <c r="G119" s="1475"/>
      <c r="H119" s="1475"/>
      <c r="I119" s="1475"/>
      <c r="J119" s="1475"/>
      <c r="K119" s="1475"/>
      <c r="L119" s="1475"/>
      <c r="M119" s="1475"/>
      <c r="N119" s="1475"/>
      <c r="O119" s="1475"/>
      <c r="P119" s="1475"/>
      <c r="Q119" s="1475"/>
    </row>
    <row r="120" spans="1:17">
      <c r="A120" s="1474" t="s">
        <v>803</v>
      </c>
      <c r="B120" s="1476"/>
      <c r="C120" s="1476"/>
      <c r="D120" s="1476"/>
      <c r="E120" s="1476"/>
      <c r="F120" s="1476"/>
      <c r="G120" s="1476"/>
      <c r="H120" s="1476"/>
      <c r="I120" s="1476"/>
      <c r="J120" s="1476"/>
      <c r="K120" s="1476"/>
      <c r="L120" s="1476"/>
      <c r="M120" s="1476"/>
      <c r="N120" s="1476"/>
      <c r="O120" s="1476"/>
      <c r="P120" s="1476"/>
      <c r="Q120" s="1476"/>
    </row>
    <row r="121" spans="1:17">
      <c r="A121" s="1474" t="s">
        <v>804</v>
      </c>
      <c r="B121" s="1476"/>
      <c r="C121" s="1476"/>
      <c r="D121" s="1476"/>
      <c r="E121" s="1476"/>
      <c r="F121" s="1476"/>
      <c r="G121" s="1476"/>
      <c r="H121" s="1476"/>
      <c r="I121" s="1476"/>
      <c r="J121" s="1476"/>
      <c r="K121" s="1475"/>
      <c r="L121" s="1475"/>
      <c r="M121" s="1475"/>
      <c r="N121" s="1475"/>
      <c r="O121" s="1475"/>
      <c r="P121" s="1475"/>
      <c r="Q121" s="1475"/>
    </row>
    <row r="122" spans="1:17">
      <c r="A122" s="1474" t="s">
        <v>805</v>
      </c>
      <c r="B122" s="1476"/>
      <c r="C122" s="1476"/>
      <c r="D122" s="1476"/>
      <c r="E122" s="1476"/>
      <c r="F122" s="1476"/>
      <c r="G122" s="1476"/>
      <c r="H122" s="1476"/>
      <c r="I122" s="1476"/>
      <c r="J122" s="1476"/>
      <c r="K122" s="1476"/>
      <c r="L122" s="1476"/>
      <c r="M122" s="1476"/>
      <c r="N122" s="1476"/>
      <c r="O122" s="1476"/>
      <c r="P122" s="1476"/>
      <c r="Q122" s="1476"/>
    </row>
    <row r="123" spans="1:17" ht="13" thickBot="1">
      <c r="A123" s="1477" t="s">
        <v>806</v>
      </c>
      <c r="B123" s="1481"/>
      <c r="C123" s="1481"/>
      <c r="D123" s="1481"/>
      <c r="E123" s="1481"/>
      <c r="F123" s="1481"/>
      <c r="G123" s="1481"/>
      <c r="H123" s="1481"/>
      <c r="I123" s="1481"/>
      <c r="J123" s="1481"/>
      <c r="K123" s="1478"/>
      <c r="L123" s="1478"/>
      <c r="M123" s="1478"/>
      <c r="N123" s="1478"/>
      <c r="O123" s="1478"/>
      <c r="P123" s="1478"/>
      <c r="Q123" s="1478"/>
    </row>
    <row r="124" spans="1:17">
      <c r="A124" s="1472" t="s">
        <v>333</v>
      </c>
      <c r="B124" s="1473"/>
      <c r="C124" s="1473"/>
      <c r="D124" s="1473"/>
      <c r="E124" s="1473"/>
      <c r="F124" s="1473"/>
      <c r="G124" s="1473"/>
      <c r="H124" s="1473"/>
      <c r="I124" s="1473"/>
      <c r="J124" s="1473"/>
      <c r="K124" s="1473"/>
      <c r="L124" s="1473"/>
      <c r="M124" s="1473"/>
      <c r="N124" s="1473"/>
      <c r="O124" s="1473"/>
      <c r="P124" s="1473"/>
      <c r="Q124" s="1473"/>
    </row>
    <row r="125" spans="1:17">
      <c r="A125" s="1474" t="s">
        <v>801</v>
      </c>
      <c r="B125" s="1475"/>
      <c r="C125" s="1475"/>
      <c r="D125" s="1475"/>
      <c r="E125" s="1475"/>
      <c r="F125" s="1475"/>
      <c r="G125" s="1475"/>
      <c r="H125" s="1475"/>
      <c r="I125" s="1475"/>
      <c r="J125" s="1475"/>
      <c r="K125" s="1475"/>
      <c r="L125" s="1475"/>
      <c r="M125" s="1475"/>
      <c r="N125" s="1475"/>
      <c r="O125" s="1475"/>
      <c r="P125" s="1475"/>
      <c r="Q125" s="1475"/>
    </row>
    <row r="126" spans="1:17">
      <c r="A126" s="1474" t="s">
        <v>802</v>
      </c>
      <c r="B126" s="1475"/>
      <c r="C126" s="1475"/>
      <c r="D126" s="1475"/>
      <c r="E126" s="1475"/>
      <c r="F126" s="1475"/>
      <c r="G126" s="1475"/>
      <c r="H126" s="1475"/>
      <c r="I126" s="1475"/>
      <c r="J126" s="1475"/>
      <c r="K126" s="1475"/>
      <c r="L126" s="1475"/>
      <c r="M126" s="1475"/>
      <c r="N126" s="1475"/>
      <c r="O126" s="1475"/>
      <c r="P126" s="1475"/>
      <c r="Q126" s="1475"/>
    </row>
    <row r="127" spans="1:17">
      <c r="A127" s="1474" t="s">
        <v>803</v>
      </c>
      <c r="B127" s="1476"/>
      <c r="C127" s="1476"/>
      <c r="D127" s="1476"/>
      <c r="E127" s="1476"/>
      <c r="F127" s="1476"/>
      <c r="G127" s="1476"/>
      <c r="H127" s="1476"/>
      <c r="I127" s="1476"/>
      <c r="J127" s="1476"/>
      <c r="K127" s="1476"/>
      <c r="L127" s="1476"/>
      <c r="M127" s="1476"/>
      <c r="N127" s="1476"/>
      <c r="O127" s="1476"/>
      <c r="P127" s="1476"/>
      <c r="Q127" s="1476"/>
    </row>
    <row r="128" spans="1:17">
      <c r="A128" s="1474" t="s">
        <v>804</v>
      </c>
      <c r="B128" s="1475"/>
      <c r="C128" s="1475"/>
      <c r="D128" s="1475"/>
      <c r="E128" s="1475"/>
      <c r="F128" s="1475"/>
      <c r="G128" s="1475"/>
      <c r="H128" s="1475"/>
      <c r="I128" s="1475"/>
      <c r="J128" s="1475"/>
      <c r="K128" s="1475"/>
      <c r="L128" s="1475"/>
      <c r="M128" s="1475"/>
      <c r="N128" s="1475"/>
      <c r="O128" s="1475"/>
      <c r="P128" s="1475"/>
      <c r="Q128" s="1475"/>
    </row>
    <row r="129" spans="1:17">
      <c r="A129" s="1474" t="s">
        <v>805</v>
      </c>
      <c r="B129" s="1476"/>
      <c r="C129" s="1476"/>
      <c r="D129" s="1476"/>
      <c r="E129" s="1476"/>
      <c r="F129" s="1476"/>
      <c r="G129" s="1476"/>
      <c r="H129" s="1476"/>
      <c r="I129" s="1476"/>
      <c r="J129" s="1476"/>
      <c r="K129" s="1476"/>
      <c r="L129" s="1476"/>
      <c r="M129" s="1476"/>
      <c r="N129" s="1476"/>
      <c r="O129" s="1476"/>
      <c r="P129" s="1476"/>
      <c r="Q129" s="1476"/>
    </row>
    <row r="130" spans="1:17" ht="13" thickBot="1">
      <c r="A130" s="1477" t="s">
        <v>806</v>
      </c>
      <c r="B130" s="1478"/>
      <c r="C130" s="1478"/>
      <c r="D130" s="1478"/>
      <c r="E130" s="1478"/>
      <c r="F130" s="1478"/>
      <c r="G130" s="1478"/>
      <c r="H130" s="1478"/>
      <c r="I130" s="1478"/>
      <c r="J130" s="1478"/>
      <c r="K130" s="1478"/>
      <c r="L130" s="1478"/>
      <c r="M130" s="1478"/>
      <c r="N130" s="1478"/>
      <c r="O130" s="1478"/>
      <c r="P130" s="1478"/>
      <c r="Q130" s="1478"/>
    </row>
    <row r="131" spans="1:17">
      <c r="A131" s="1472" t="s">
        <v>759</v>
      </c>
      <c r="B131" s="1473"/>
      <c r="C131" s="1473"/>
      <c r="D131" s="1473"/>
      <c r="E131" s="1473"/>
      <c r="F131" s="1473"/>
      <c r="G131" s="1473"/>
      <c r="H131" s="1473"/>
      <c r="I131" s="1473"/>
      <c r="J131" s="1473"/>
      <c r="K131" s="1473"/>
      <c r="L131" s="1473"/>
      <c r="M131" s="1473"/>
      <c r="N131" s="1473"/>
      <c r="O131" s="1473"/>
      <c r="P131" s="1473"/>
      <c r="Q131" s="1473"/>
    </row>
    <row r="132" spans="1:17">
      <c r="A132" s="1474" t="s">
        <v>801</v>
      </c>
      <c r="B132" s="1475"/>
      <c r="C132" s="1475"/>
      <c r="D132" s="1475"/>
      <c r="E132" s="1475"/>
      <c r="F132" s="1475"/>
      <c r="G132" s="1475"/>
      <c r="H132" s="1475"/>
      <c r="I132" s="1475"/>
      <c r="J132" s="1475"/>
      <c r="K132" s="1475"/>
      <c r="L132" s="1475"/>
      <c r="M132" s="1475"/>
      <c r="N132" s="1475"/>
      <c r="O132" s="1475"/>
      <c r="P132" s="1475"/>
      <c r="Q132" s="1475"/>
    </row>
    <row r="133" spans="1:17">
      <c r="A133" s="1474" t="s">
        <v>802</v>
      </c>
      <c r="B133" s="1475"/>
      <c r="C133" s="1475"/>
      <c r="D133" s="1475"/>
      <c r="E133" s="1475"/>
      <c r="F133" s="1475"/>
      <c r="G133" s="1475"/>
      <c r="H133" s="1475"/>
      <c r="I133" s="1475"/>
      <c r="J133" s="1475"/>
      <c r="K133" s="1475"/>
      <c r="L133" s="1475"/>
      <c r="M133" s="1475"/>
      <c r="N133" s="1475"/>
      <c r="O133" s="1475"/>
      <c r="P133" s="1475"/>
      <c r="Q133" s="1475"/>
    </row>
    <row r="134" spans="1:17">
      <c r="A134" s="1474" t="s">
        <v>803</v>
      </c>
      <c r="B134" s="1476"/>
      <c r="C134" s="1476"/>
      <c r="D134" s="1476"/>
      <c r="E134" s="1476"/>
      <c r="F134" s="1476"/>
      <c r="G134" s="1476"/>
      <c r="H134" s="1476"/>
      <c r="I134" s="1476"/>
      <c r="J134" s="1476"/>
      <c r="K134" s="1476"/>
      <c r="L134" s="1476"/>
      <c r="M134" s="1476"/>
      <c r="N134" s="1476"/>
      <c r="O134" s="1476"/>
      <c r="P134" s="1476"/>
      <c r="Q134" s="1476"/>
    </row>
    <row r="135" spans="1:17">
      <c r="A135" s="1474" t="s">
        <v>804</v>
      </c>
      <c r="B135" s="1475"/>
      <c r="C135" s="1475"/>
      <c r="D135" s="1475"/>
      <c r="E135" s="1475"/>
      <c r="F135" s="1475"/>
      <c r="G135" s="1475"/>
      <c r="H135" s="1475"/>
      <c r="I135" s="1475"/>
      <c r="J135" s="1475"/>
      <c r="K135" s="1475"/>
      <c r="L135" s="1475"/>
      <c r="M135" s="1475"/>
      <c r="N135" s="1475"/>
      <c r="O135" s="1475"/>
      <c r="P135" s="1475"/>
      <c r="Q135" s="1475"/>
    </row>
    <row r="136" spans="1:17">
      <c r="A136" s="1474" t="s">
        <v>805</v>
      </c>
      <c r="B136" s="1476"/>
      <c r="C136" s="1476"/>
      <c r="D136" s="1476"/>
      <c r="E136" s="1476"/>
      <c r="F136" s="1476"/>
      <c r="G136" s="1476"/>
      <c r="H136" s="1476"/>
      <c r="I136" s="1476"/>
      <c r="J136" s="1476"/>
      <c r="K136" s="1476"/>
      <c r="L136" s="1476"/>
      <c r="M136" s="1476"/>
      <c r="N136" s="1476"/>
      <c r="O136" s="1476"/>
      <c r="P136" s="1476"/>
      <c r="Q136" s="1476"/>
    </row>
    <row r="137" spans="1:17" ht="13" thickBot="1">
      <c r="A137" s="1477" t="s">
        <v>806</v>
      </c>
      <c r="B137" s="1478"/>
      <c r="C137" s="1478"/>
      <c r="D137" s="1478"/>
      <c r="E137" s="1478"/>
      <c r="F137" s="1478"/>
      <c r="G137" s="1478"/>
      <c r="H137" s="1478"/>
      <c r="I137" s="1478"/>
      <c r="J137" s="1478"/>
      <c r="K137" s="1478"/>
      <c r="L137" s="1478"/>
      <c r="M137" s="1478"/>
      <c r="N137" s="1478"/>
      <c r="O137" s="1478"/>
      <c r="P137" s="1478"/>
      <c r="Q137" s="1478"/>
    </row>
    <row r="138" spans="1:17">
      <c r="A138" s="1472" t="s">
        <v>816</v>
      </c>
      <c r="B138" s="1473"/>
      <c r="C138" s="1473"/>
      <c r="D138" s="1473"/>
      <c r="E138" s="1473"/>
      <c r="F138" s="1473"/>
      <c r="G138" s="1473"/>
      <c r="H138" s="1473"/>
      <c r="I138" s="1473"/>
      <c r="J138" s="1473"/>
      <c r="K138" s="1473"/>
      <c r="L138" s="1473"/>
      <c r="M138" s="1473"/>
      <c r="N138" s="1473"/>
      <c r="O138" s="1473"/>
      <c r="P138" s="1473"/>
      <c r="Q138" s="1473"/>
    </row>
    <row r="139" spans="1:17">
      <c r="A139" s="1474" t="s">
        <v>801</v>
      </c>
      <c r="B139" s="1475"/>
      <c r="C139" s="1475"/>
      <c r="D139" s="1476"/>
      <c r="E139" s="1475"/>
      <c r="F139" s="1475"/>
      <c r="G139" s="1475"/>
      <c r="H139" s="1475"/>
      <c r="I139" s="1476"/>
      <c r="J139" s="1476"/>
      <c r="K139" s="1476"/>
      <c r="L139" s="1476"/>
      <c r="M139" s="1476"/>
      <c r="N139" s="1476"/>
      <c r="O139" s="1476"/>
      <c r="P139" s="1476"/>
      <c r="Q139" s="1476"/>
    </row>
    <row r="140" spans="1:17">
      <c r="A140" s="1474" t="s">
        <v>802</v>
      </c>
      <c r="B140" s="1475"/>
      <c r="C140" s="1475"/>
      <c r="D140" s="1476"/>
      <c r="E140" s="1475"/>
      <c r="F140" s="1475"/>
      <c r="G140" s="1475"/>
      <c r="H140" s="1475"/>
      <c r="I140" s="1476"/>
      <c r="J140" s="1476"/>
      <c r="K140" s="1476"/>
      <c r="L140" s="1476"/>
      <c r="M140" s="1476"/>
      <c r="N140" s="1476"/>
      <c r="O140" s="1476"/>
      <c r="P140" s="1476"/>
      <c r="Q140" s="1476"/>
    </row>
    <row r="141" spans="1:17">
      <c r="A141" s="1474" t="s">
        <v>803</v>
      </c>
      <c r="B141" s="1476"/>
      <c r="C141" s="1476"/>
      <c r="D141" s="1476"/>
      <c r="E141" s="1476"/>
      <c r="F141" s="1476"/>
      <c r="G141" s="1476"/>
      <c r="H141" s="1482"/>
      <c r="I141" s="1476"/>
      <c r="J141" s="1476"/>
      <c r="K141" s="1476"/>
      <c r="L141" s="1476"/>
      <c r="M141" s="1476"/>
      <c r="N141" s="1476"/>
      <c r="O141" s="1476"/>
      <c r="P141" s="1476"/>
      <c r="Q141" s="1476"/>
    </row>
    <row r="142" spans="1:17">
      <c r="A142" s="1474" t="s">
        <v>804</v>
      </c>
      <c r="B142" s="1475"/>
      <c r="C142" s="1475"/>
      <c r="D142" s="1476"/>
      <c r="E142" s="1475"/>
      <c r="F142" s="1475"/>
      <c r="G142" s="1475"/>
      <c r="H142" s="1475"/>
      <c r="I142" s="1476"/>
      <c r="J142" s="1476"/>
      <c r="K142" s="1476"/>
      <c r="L142" s="1476"/>
      <c r="M142" s="1476"/>
      <c r="N142" s="1476"/>
      <c r="O142" s="1476"/>
      <c r="P142" s="1476"/>
      <c r="Q142" s="1476"/>
    </row>
    <row r="143" spans="1:17">
      <c r="A143" s="1474" t="s">
        <v>805</v>
      </c>
      <c r="B143" s="1476"/>
      <c r="C143" s="1476"/>
      <c r="D143" s="1476"/>
      <c r="E143" s="1476"/>
      <c r="F143" s="1476"/>
      <c r="G143" s="1476"/>
      <c r="H143" s="1482"/>
      <c r="I143" s="1476"/>
      <c r="J143" s="1476"/>
      <c r="K143" s="1476"/>
      <c r="L143" s="1476"/>
      <c r="M143" s="1476"/>
      <c r="N143" s="1476"/>
      <c r="O143" s="1476"/>
      <c r="P143" s="1476"/>
      <c r="Q143" s="1476"/>
    </row>
    <row r="144" spans="1:17" ht="13" thickBot="1">
      <c r="A144" s="1477" t="s">
        <v>806</v>
      </c>
      <c r="B144" s="1478"/>
      <c r="C144" s="1478"/>
      <c r="D144" s="1481"/>
      <c r="E144" s="1478"/>
      <c r="F144" s="1478"/>
      <c r="G144" s="1478"/>
      <c r="H144" s="1478"/>
      <c r="I144" s="1481"/>
      <c r="J144" s="1481"/>
      <c r="K144" s="1481"/>
      <c r="L144" s="1481"/>
      <c r="M144" s="1481"/>
      <c r="N144" s="1481"/>
      <c r="O144" s="1481"/>
      <c r="P144" s="1481"/>
      <c r="Q144" s="1481"/>
    </row>
    <row r="145" spans="1:17">
      <c r="A145" s="1472" t="s">
        <v>816</v>
      </c>
      <c r="B145" s="1473"/>
      <c r="C145" s="1473"/>
      <c r="D145" s="1473"/>
      <c r="E145" s="1473"/>
      <c r="F145" s="1473"/>
      <c r="G145" s="1473"/>
      <c r="H145" s="1473"/>
      <c r="I145" s="1473"/>
      <c r="J145" s="1473"/>
      <c r="K145" s="1473"/>
      <c r="L145" s="1473"/>
      <c r="M145" s="1473"/>
      <c r="N145" s="1473"/>
      <c r="O145" s="1473"/>
      <c r="P145" s="1473"/>
      <c r="Q145" s="1473"/>
    </row>
    <row r="146" spans="1:17">
      <c r="A146" s="1474" t="s">
        <v>801</v>
      </c>
      <c r="B146" s="1475"/>
      <c r="C146" s="1475"/>
      <c r="D146" s="1476"/>
      <c r="E146" s="1476"/>
      <c r="F146" s="1476"/>
      <c r="G146" s="1475"/>
      <c r="H146" s="1475"/>
      <c r="I146" s="1475"/>
      <c r="J146" s="1475"/>
      <c r="K146" s="1475"/>
      <c r="L146" s="1475"/>
      <c r="M146" s="1475"/>
      <c r="N146" s="1475"/>
      <c r="O146" s="1475"/>
      <c r="P146" s="1475"/>
      <c r="Q146" s="1475"/>
    </row>
    <row r="147" spans="1:17">
      <c r="A147" s="1474" t="s">
        <v>802</v>
      </c>
      <c r="B147" s="1475"/>
      <c r="C147" s="1475"/>
      <c r="D147" s="1476"/>
      <c r="E147" s="1476"/>
      <c r="F147" s="1476"/>
      <c r="G147" s="1475"/>
      <c r="H147" s="1475"/>
      <c r="I147" s="1475"/>
      <c r="J147" s="1475"/>
      <c r="K147" s="1475"/>
      <c r="L147" s="1475"/>
      <c r="M147" s="1475"/>
      <c r="N147" s="1475"/>
      <c r="O147" s="1475"/>
      <c r="P147" s="1475"/>
      <c r="Q147" s="1475"/>
    </row>
    <row r="148" spans="1:17">
      <c r="A148" s="1474" t="s">
        <v>803</v>
      </c>
      <c r="B148" s="1476"/>
      <c r="C148" s="1476"/>
      <c r="D148" s="1476"/>
      <c r="E148" s="1476"/>
      <c r="F148" s="1476"/>
      <c r="G148" s="1476"/>
      <c r="H148" s="1482"/>
      <c r="I148" s="1476"/>
      <c r="J148" s="1476"/>
      <c r="K148" s="1476"/>
      <c r="L148" s="1476"/>
      <c r="M148" s="1476"/>
      <c r="N148" s="1476"/>
      <c r="O148" s="1476"/>
      <c r="P148" s="1476"/>
      <c r="Q148" s="1476"/>
    </row>
    <row r="149" spans="1:17">
      <c r="A149" s="1474" t="s">
        <v>804</v>
      </c>
      <c r="B149" s="1475"/>
      <c r="C149" s="1475"/>
      <c r="D149" s="1476"/>
      <c r="E149" s="1476"/>
      <c r="F149" s="1476"/>
      <c r="G149" s="1475"/>
      <c r="H149" s="1475"/>
      <c r="I149" s="1476"/>
      <c r="J149" s="1476"/>
      <c r="K149" s="1476"/>
      <c r="L149" s="1476"/>
      <c r="M149" s="1476"/>
      <c r="N149" s="1476"/>
      <c r="O149" s="1476"/>
      <c r="P149" s="1476"/>
      <c r="Q149" s="1476"/>
    </row>
    <row r="150" spans="1:17">
      <c r="A150" s="1474" t="s">
        <v>805</v>
      </c>
      <c r="B150" s="1476"/>
      <c r="C150" s="1476"/>
      <c r="D150" s="1476"/>
      <c r="E150" s="1476"/>
      <c r="F150" s="1476"/>
      <c r="G150" s="1476"/>
      <c r="H150" s="1476"/>
      <c r="I150" s="1476"/>
      <c r="J150" s="1476"/>
      <c r="K150" s="1476"/>
      <c r="L150" s="1476"/>
      <c r="M150" s="1476"/>
      <c r="N150" s="1476"/>
      <c r="O150" s="1476"/>
      <c r="P150" s="1476"/>
      <c r="Q150" s="1476"/>
    </row>
    <row r="151" spans="1:17" ht="13" thickBot="1">
      <c r="A151" s="1477" t="s">
        <v>806</v>
      </c>
      <c r="B151" s="1478"/>
      <c r="C151" s="1478"/>
      <c r="D151" s="1481"/>
      <c r="E151" s="1478"/>
      <c r="F151" s="1478"/>
      <c r="G151" s="1478"/>
      <c r="H151" s="1478"/>
      <c r="I151" s="1478"/>
      <c r="J151" s="1478"/>
      <c r="K151" s="1478"/>
      <c r="L151" s="1478"/>
      <c r="M151" s="1478"/>
      <c r="N151" s="1478"/>
      <c r="O151" s="1478"/>
      <c r="P151" s="1478"/>
      <c r="Q151" s="1478"/>
    </row>
    <row r="152" spans="1:17">
      <c r="A152" s="1472" t="s">
        <v>816</v>
      </c>
      <c r="B152" s="1473"/>
      <c r="C152" s="1473"/>
      <c r="D152" s="1473"/>
      <c r="E152" s="1473"/>
      <c r="F152" s="1473"/>
      <c r="G152" s="1473"/>
      <c r="H152" s="1473"/>
      <c r="I152" s="1473"/>
      <c r="J152" s="1473"/>
      <c r="K152" s="1473"/>
      <c r="L152" s="1473"/>
      <c r="M152" s="1473"/>
      <c r="N152" s="1473"/>
      <c r="O152" s="1473"/>
      <c r="P152" s="1473"/>
      <c r="Q152" s="1473"/>
    </row>
    <row r="153" spans="1:17">
      <c r="A153" s="1474" t="s">
        <v>801</v>
      </c>
      <c r="B153" s="1475"/>
      <c r="C153" s="1475"/>
      <c r="D153" s="1476"/>
      <c r="E153" s="1475"/>
      <c r="F153" s="1475"/>
      <c r="G153" s="1475"/>
      <c r="H153" s="1475"/>
      <c r="I153" s="1475"/>
      <c r="J153" s="1475"/>
      <c r="K153" s="1475"/>
      <c r="L153" s="1475"/>
      <c r="M153" s="1475"/>
      <c r="N153" s="1475"/>
      <c r="O153" s="1475"/>
      <c r="P153" s="1475"/>
      <c r="Q153" s="1475"/>
    </row>
    <row r="154" spans="1:17">
      <c r="A154" s="1474" t="s">
        <v>802</v>
      </c>
      <c r="B154" s="1475"/>
      <c r="C154" s="1475"/>
      <c r="D154" s="1476"/>
      <c r="E154" s="1475"/>
      <c r="F154" s="1475"/>
      <c r="G154" s="1475"/>
      <c r="H154" s="1475"/>
      <c r="I154" s="1475"/>
      <c r="J154" s="1475"/>
      <c r="K154" s="1475"/>
      <c r="L154" s="1475"/>
      <c r="M154" s="1475"/>
      <c r="N154" s="1475"/>
      <c r="O154" s="1475"/>
      <c r="P154" s="1475"/>
      <c r="Q154" s="1475"/>
    </row>
    <row r="155" spans="1:17">
      <c r="A155" s="1474" t="s">
        <v>803</v>
      </c>
      <c r="B155" s="1476"/>
      <c r="C155" s="1476"/>
      <c r="D155" s="1476"/>
      <c r="E155" s="1476"/>
      <c r="F155" s="1476"/>
      <c r="G155" s="1476"/>
      <c r="H155" s="1476"/>
      <c r="I155" s="1476"/>
      <c r="J155" s="1476"/>
      <c r="K155" s="1476"/>
      <c r="L155" s="1476"/>
      <c r="M155" s="1476"/>
      <c r="N155" s="1476"/>
      <c r="O155" s="1476"/>
      <c r="P155" s="1476"/>
      <c r="Q155" s="1476"/>
    </row>
    <row r="156" spans="1:17">
      <c r="A156" s="1474" t="s">
        <v>804</v>
      </c>
      <c r="B156" s="1475"/>
      <c r="C156" s="1475"/>
      <c r="D156" s="1476"/>
      <c r="E156" s="1475"/>
      <c r="F156" s="1475"/>
      <c r="G156" s="1475"/>
      <c r="H156" s="1475"/>
      <c r="I156" s="1476"/>
      <c r="J156" s="1476"/>
      <c r="K156" s="1476"/>
      <c r="L156" s="1476"/>
      <c r="M156" s="1476"/>
      <c r="N156" s="1476"/>
      <c r="O156" s="1476"/>
      <c r="P156" s="1476"/>
      <c r="Q156" s="1476"/>
    </row>
    <row r="157" spans="1:17">
      <c r="A157" s="1474" t="s">
        <v>805</v>
      </c>
      <c r="B157" s="1476"/>
      <c r="C157" s="1476"/>
      <c r="D157" s="1476"/>
      <c r="E157" s="1476"/>
      <c r="F157" s="1476"/>
      <c r="G157" s="1476"/>
      <c r="H157" s="1476"/>
      <c r="I157" s="1476"/>
      <c r="J157" s="1476"/>
      <c r="K157" s="1476"/>
      <c r="L157" s="1476"/>
      <c r="M157" s="1476"/>
      <c r="N157" s="1476"/>
      <c r="O157" s="1476"/>
      <c r="P157" s="1476"/>
      <c r="Q157" s="1476"/>
    </row>
    <row r="158" spans="1:17" ht="13" thickBot="1">
      <c r="A158" s="1477" t="s">
        <v>806</v>
      </c>
      <c r="B158" s="1478"/>
      <c r="C158" s="1478"/>
      <c r="D158" s="1481"/>
      <c r="E158" s="1478"/>
      <c r="F158" s="1478"/>
      <c r="G158" s="1478"/>
      <c r="H158" s="1478"/>
      <c r="I158" s="1478"/>
      <c r="J158" s="1478"/>
      <c r="K158" s="1478"/>
      <c r="L158" s="1478"/>
      <c r="M158" s="1478"/>
      <c r="N158" s="1478"/>
      <c r="O158" s="1478"/>
      <c r="P158" s="1478"/>
      <c r="Q158" s="1478"/>
    </row>
    <row r="159" spans="1:17">
      <c r="A159" s="1472" t="s">
        <v>816</v>
      </c>
      <c r="B159" s="1473"/>
      <c r="C159" s="1473"/>
      <c r="D159" s="1473"/>
      <c r="E159" s="1473"/>
      <c r="F159" s="1473"/>
      <c r="G159" s="1473"/>
      <c r="H159" s="1473"/>
      <c r="I159" s="1473"/>
      <c r="J159" s="1473"/>
      <c r="K159" s="1473"/>
      <c r="L159" s="1473"/>
      <c r="M159" s="1473"/>
      <c r="N159" s="1473"/>
      <c r="O159" s="1473"/>
      <c r="P159" s="1473"/>
      <c r="Q159" s="1473"/>
    </row>
    <row r="160" spans="1:17">
      <c r="A160" s="1474" t="s">
        <v>801</v>
      </c>
      <c r="B160" s="1475"/>
      <c r="C160" s="1475"/>
      <c r="D160" s="1475"/>
      <c r="E160" s="1475"/>
      <c r="F160" s="1475"/>
      <c r="G160" s="1475"/>
      <c r="H160" s="1475"/>
      <c r="I160" s="1475"/>
      <c r="J160" s="1475"/>
      <c r="K160" s="1475"/>
      <c r="L160" s="1475"/>
      <c r="M160" s="1475"/>
      <c r="N160" s="1475"/>
      <c r="O160" s="1475"/>
      <c r="P160" s="1475"/>
      <c r="Q160" s="1475"/>
    </row>
    <row r="161" spans="1:17">
      <c r="A161" s="1474" t="s">
        <v>802</v>
      </c>
      <c r="B161" s="1475"/>
      <c r="C161" s="1475"/>
      <c r="D161" s="1476"/>
      <c r="E161" s="1475"/>
      <c r="F161" s="1475"/>
      <c r="G161" s="1475"/>
      <c r="H161" s="1475"/>
      <c r="I161" s="1475"/>
      <c r="J161" s="1475"/>
      <c r="K161" s="1475"/>
      <c r="L161" s="1475"/>
      <c r="M161" s="1475"/>
      <c r="N161" s="1475"/>
      <c r="O161" s="1475"/>
      <c r="P161" s="1475"/>
      <c r="Q161" s="1475"/>
    </row>
    <row r="162" spans="1:17">
      <c r="A162" s="1474" t="s">
        <v>803</v>
      </c>
      <c r="B162" s="1476"/>
      <c r="C162" s="1476"/>
      <c r="D162" s="1476"/>
      <c r="E162" s="1476"/>
      <c r="F162" s="1476"/>
      <c r="G162" s="1476"/>
      <c r="H162" s="1476"/>
      <c r="I162" s="1476"/>
      <c r="J162" s="1476"/>
      <c r="K162" s="1476"/>
      <c r="L162" s="1476"/>
      <c r="M162" s="1476"/>
      <c r="N162" s="1476"/>
      <c r="O162" s="1476"/>
      <c r="P162" s="1476"/>
      <c r="Q162" s="1476"/>
    </row>
    <row r="163" spans="1:17">
      <c r="A163" s="1474" t="s">
        <v>804</v>
      </c>
      <c r="B163" s="1475"/>
      <c r="C163" s="1476"/>
      <c r="D163" s="1476"/>
      <c r="E163" s="1475"/>
      <c r="F163" s="1475"/>
      <c r="G163" s="1475"/>
      <c r="H163" s="1475"/>
      <c r="I163" s="1475"/>
      <c r="J163" s="1475"/>
      <c r="K163" s="1475"/>
      <c r="L163" s="1475"/>
      <c r="M163" s="1475"/>
      <c r="N163" s="1475"/>
      <c r="O163" s="1475"/>
      <c r="P163" s="1475"/>
      <c r="Q163" s="1475"/>
    </row>
    <row r="164" spans="1:17">
      <c r="A164" s="1474" t="s">
        <v>805</v>
      </c>
      <c r="B164" s="1476"/>
      <c r="C164" s="1476"/>
      <c r="D164" s="1476"/>
      <c r="E164" s="1476"/>
      <c r="F164" s="1476"/>
      <c r="G164" s="1476"/>
      <c r="H164" s="1475"/>
      <c r="I164" s="1476"/>
      <c r="J164" s="1476"/>
      <c r="K164" s="1476"/>
      <c r="L164" s="1476"/>
      <c r="M164" s="1476"/>
      <c r="N164" s="1476"/>
      <c r="O164" s="1476"/>
      <c r="P164" s="1476"/>
      <c r="Q164" s="1476"/>
    </row>
    <row r="165" spans="1:17" ht="13" thickBot="1">
      <c r="A165" s="1477" t="s">
        <v>806</v>
      </c>
      <c r="B165" s="1478"/>
      <c r="C165" s="1481"/>
      <c r="D165" s="1481"/>
      <c r="E165" s="1478"/>
      <c r="F165" s="1478"/>
      <c r="G165" s="1478"/>
      <c r="H165" s="1478"/>
      <c r="I165" s="1478"/>
      <c r="J165" s="1478"/>
      <c r="K165" s="1478"/>
      <c r="L165" s="1478"/>
      <c r="M165" s="1478"/>
      <c r="N165" s="1478"/>
      <c r="O165" s="1478"/>
      <c r="P165" s="1478"/>
      <c r="Q165" s="1478"/>
    </row>
    <row r="166" spans="1:17">
      <c r="A166" s="1472" t="s">
        <v>816</v>
      </c>
      <c r="B166" s="1473"/>
      <c r="C166" s="1473"/>
      <c r="D166" s="1473"/>
      <c r="E166" s="1473"/>
      <c r="F166" s="1473"/>
      <c r="G166" s="1473"/>
      <c r="H166" s="1473"/>
      <c r="I166" s="1473"/>
      <c r="J166" s="1473"/>
      <c r="K166" s="1473"/>
      <c r="L166" s="1473"/>
      <c r="M166" s="1473"/>
      <c r="N166" s="1473"/>
      <c r="O166" s="1473"/>
      <c r="P166" s="1473"/>
      <c r="Q166" s="1473"/>
    </row>
    <row r="167" spans="1:17">
      <c r="A167" s="1474" t="s">
        <v>801</v>
      </c>
      <c r="B167" s="1475"/>
      <c r="C167" s="1475"/>
      <c r="D167" s="1475"/>
      <c r="E167" s="1475"/>
      <c r="F167" s="1475"/>
      <c r="G167" s="1475"/>
      <c r="H167" s="1475"/>
      <c r="I167" s="1475"/>
      <c r="J167" s="1475"/>
      <c r="K167" s="1475"/>
      <c r="L167" s="1475"/>
      <c r="M167" s="1475"/>
      <c r="N167" s="1475"/>
      <c r="O167" s="1475"/>
      <c r="P167" s="1475"/>
      <c r="Q167" s="1475"/>
    </row>
    <row r="168" spans="1:17">
      <c r="A168" s="1474" t="s">
        <v>802</v>
      </c>
      <c r="B168" s="1475"/>
      <c r="C168" s="1475"/>
      <c r="D168" s="1476"/>
      <c r="E168" s="1475"/>
      <c r="F168" s="1475"/>
      <c r="G168" s="1475"/>
      <c r="H168" s="1475"/>
      <c r="I168" s="1475"/>
      <c r="J168" s="1475"/>
      <c r="K168" s="1475"/>
      <c r="L168" s="1475"/>
      <c r="M168" s="1475"/>
      <c r="N168" s="1475"/>
      <c r="O168" s="1475"/>
      <c r="P168" s="1475"/>
      <c r="Q168" s="1475"/>
    </row>
    <row r="169" spans="1:17">
      <c r="A169" s="1474" t="s">
        <v>803</v>
      </c>
      <c r="B169" s="1476"/>
      <c r="C169" s="1476"/>
      <c r="D169" s="1476"/>
      <c r="E169" s="1476"/>
      <c r="F169" s="1476"/>
      <c r="G169" s="1476"/>
      <c r="H169" s="1476"/>
      <c r="I169" s="1476"/>
      <c r="J169" s="1476"/>
      <c r="K169" s="1476"/>
      <c r="L169" s="1476"/>
      <c r="M169" s="1476"/>
      <c r="N169" s="1476"/>
      <c r="O169" s="1476"/>
      <c r="P169" s="1476"/>
      <c r="Q169" s="1476"/>
    </row>
    <row r="170" spans="1:17">
      <c r="A170" s="1474" t="s">
        <v>804</v>
      </c>
      <c r="B170" s="1475"/>
      <c r="C170" s="1475"/>
      <c r="D170" s="1476"/>
      <c r="E170" s="1475"/>
      <c r="F170" s="1475"/>
      <c r="G170" s="1475"/>
      <c r="H170" s="1476"/>
      <c r="I170" s="1475"/>
      <c r="J170" s="1475"/>
      <c r="K170" s="1475"/>
      <c r="L170" s="1475"/>
      <c r="M170" s="1475"/>
      <c r="N170" s="1475"/>
      <c r="O170" s="1475"/>
      <c r="P170" s="1475"/>
      <c r="Q170" s="1475"/>
    </row>
    <row r="171" spans="1:17">
      <c r="A171" s="1474" t="s">
        <v>805</v>
      </c>
      <c r="B171" s="1476"/>
      <c r="C171" s="1476"/>
      <c r="D171" s="1476"/>
      <c r="E171" s="1476"/>
      <c r="F171" s="1476"/>
      <c r="G171" s="1476"/>
      <c r="H171" s="1476"/>
      <c r="I171" s="1476"/>
      <c r="J171" s="1476"/>
      <c r="K171" s="1476"/>
      <c r="L171" s="1476"/>
      <c r="M171" s="1476"/>
      <c r="N171" s="1476"/>
      <c r="O171" s="1476"/>
      <c r="P171" s="1476"/>
      <c r="Q171" s="1476"/>
    </row>
    <row r="172" spans="1:17" ht="13" thickBot="1">
      <c r="A172" s="1477" t="s">
        <v>806</v>
      </c>
      <c r="B172" s="1478"/>
      <c r="C172" s="1478"/>
      <c r="D172" s="1481"/>
      <c r="E172" s="1478"/>
      <c r="F172" s="1478"/>
      <c r="G172" s="1478"/>
      <c r="H172" s="1481"/>
      <c r="I172" s="1478"/>
      <c r="J172" s="1478"/>
      <c r="K172" s="1478"/>
      <c r="L172" s="1478"/>
      <c r="M172" s="1478"/>
      <c r="N172" s="1478"/>
      <c r="O172" s="1478"/>
      <c r="P172" s="1478"/>
      <c r="Q172" s="1478"/>
    </row>
    <row r="173" spans="1:17">
      <c r="A173" s="1472" t="s">
        <v>816</v>
      </c>
      <c r="B173" s="1473"/>
      <c r="C173" s="1473"/>
      <c r="D173" s="1473"/>
      <c r="E173" s="1473"/>
      <c r="F173" s="1473"/>
      <c r="G173" s="1473"/>
      <c r="H173" s="1473"/>
      <c r="I173" s="1473"/>
      <c r="J173" s="1473"/>
      <c r="K173" s="1473"/>
      <c r="L173" s="1473"/>
      <c r="M173" s="1473"/>
      <c r="N173" s="1473"/>
      <c r="O173" s="1473"/>
      <c r="P173" s="1473"/>
      <c r="Q173" s="1473"/>
    </row>
    <row r="174" spans="1:17">
      <c r="A174" s="1474" t="s">
        <v>801</v>
      </c>
      <c r="B174" s="1475"/>
      <c r="C174" s="1476"/>
      <c r="D174" s="1476"/>
      <c r="E174" s="1475"/>
      <c r="F174" s="1476"/>
      <c r="G174" s="1475"/>
      <c r="H174" s="1475"/>
      <c r="I174" s="1475"/>
      <c r="J174" s="1475"/>
      <c r="K174" s="1475"/>
      <c r="L174" s="1475"/>
      <c r="M174" s="1475"/>
      <c r="N174" s="1475"/>
      <c r="O174" s="1475"/>
      <c r="P174" s="1475"/>
      <c r="Q174" s="1475"/>
    </row>
    <row r="175" spans="1:17">
      <c r="A175" s="1474" t="s">
        <v>802</v>
      </c>
      <c r="B175" s="1475"/>
      <c r="C175" s="1476"/>
      <c r="D175" s="1476"/>
      <c r="E175" s="1475"/>
      <c r="F175" s="1476"/>
      <c r="G175" s="1475"/>
      <c r="H175" s="1475"/>
      <c r="I175" s="1475"/>
      <c r="J175" s="1475"/>
      <c r="K175" s="1475"/>
      <c r="L175" s="1475"/>
      <c r="M175" s="1475"/>
      <c r="N175" s="1475"/>
      <c r="O175" s="1475"/>
      <c r="P175" s="1475"/>
      <c r="Q175" s="1475"/>
    </row>
    <row r="176" spans="1:17">
      <c r="A176" s="1474" t="s">
        <v>803</v>
      </c>
      <c r="B176" s="1476"/>
      <c r="C176" s="1476"/>
      <c r="D176" s="1476"/>
      <c r="E176" s="1476"/>
      <c r="F176" s="1476"/>
      <c r="G176" s="1476"/>
      <c r="H176" s="1476"/>
      <c r="I176" s="1476"/>
      <c r="J176" s="1476"/>
      <c r="K176" s="1476"/>
      <c r="L176" s="1476"/>
      <c r="M176" s="1476"/>
      <c r="N176" s="1476"/>
      <c r="O176" s="1476"/>
      <c r="P176" s="1476"/>
      <c r="Q176" s="1476"/>
    </row>
    <row r="177" spans="1:17">
      <c r="A177" s="1474" t="s">
        <v>804</v>
      </c>
      <c r="B177" s="1475"/>
      <c r="C177" s="1476"/>
      <c r="D177" s="1476"/>
      <c r="E177" s="1475"/>
      <c r="F177" s="1476"/>
      <c r="G177" s="1475"/>
      <c r="H177" s="1475"/>
      <c r="I177" s="1475"/>
      <c r="J177" s="1475"/>
      <c r="K177" s="1475"/>
      <c r="L177" s="1475"/>
      <c r="M177" s="1475"/>
      <c r="N177" s="1475"/>
      <c r="O177" s="1475"/>
      <c r="P177" s="1475"/>
      <c r="Q177" s="1475"/>
    </row>
    <row r="178" spans="1:17">
      <c r="A178" s="1474" t="s">
        <v>805</v>
      </c>
      <c r="B178" s="1476"/>
      <c r="C178" s="1476"/>
      <c r="D178" s="1476"/>
      <c r="E178" s="1476"/>
      <c r="F178" s="1476"/>
      <c r="G178" s="1476"/>
      <c r="H178" s="1476"/>
      <c r="I178" s="1476"/>
      <c r="J178" s="1476"/>
      <c r="K178" s="1476"/>
      <c r="L178" s="1476"/>
      <c r="M178" s="1476"/>
      <c r="N178" s="1476"/>
      <c r="O178" s="1476"/>
      <c r="P178" s="1476"/>
      <c r="Q178" s="1476"/>
    </row>
    <row r="179" spans="1:17" ht="13" thickBot="1">
      <c r="A179" s="1477" t="s">
        <v>806</v>
      </c>
      <c r="B179" s="1478"/>
      <c r="C179" s="1481"/>
      <c r="D179" s="1481"/>
      <c r="E179" s="1478"/>
      <c r="F179" s="1481"/>
      <c r="G179" s="1478"/>
      <c r="H179" s="1478"/>
      <c r="I179" s="1478"/>
      <c r="J179" s="1478"/>
      <c r="K179" s="1478"/>
      <c r="L179" s="1478"/>
      <c r="M179" s="1478"/>
      <c r="N179" s="1478"/>
      <c r="O179" s="1478"/>
      <c r="P179" s="1478"/>
      <c r="Q179" s="1478"/>
    </row>
    <row r="180" spans="1:17">
      <c r="A180" s="1472" t="s">
        <v>816</v>
      </c>
      <c r="B180" s="1473"/>
      <c r="C180" s="1473"/>
      <c r="D180" s="1473"/>
      <c r="E180" s="1473"/>
      <c r="F180" s="1473"/>
      <c r="G180" s="1473"/>
      <c r="H180" s="1473"/>
      <c r="I180" s="1473"/>
      <c r="J180" s="1473"/>
      <c r="K180" s="1473"/>
      <c r="L180" s="1473"/>
      <c r="M180" s="1473"/>
      <c r="N180" s="1473"/>
      <c r="O180" s="1473"/>
      <c r="P180" s="1473"/>
      <c r="Q180" s="1473"/>
    </row>
    <row r="181" spans="1:17">
      <c r="A181" s="1474" t="s">
        <v>801</v>
      </c>
      <c r="B181" s="1475"/>
      <c r="C181" s="1476"/>
      <c r="D181" s="1476"/>
      <c r="E181" s="1475"/>
      <c r="F181" s="1475"/>
      <c r="G181" s="1476"/>
      <c r="H181" s="1475"/>
      <c r="I181" s="1476"/>
      <c r="J181" s="1476"/>
      <c r="K181" s="1476"/>
      <c r="L181" s="1476"/>
      <c r="M181" s="1476"/>
      <c r="N181" s="1476"/>
      <c r="O181" s="1476"/>
      <c r="P181" s="1476"/>
      <c r="Q181" s="1476"/>
    </row>
    <row r="182" spans="1:17">
      <c r="A182" s="1474" t="s">
        <v>802</v>
      </c>
      <c r="B182" s="1475"/>
      <c r="C182" s="1476"/>
      <c r="D182" s="1476"/>
      <c r="E182" s="1475"/>
      <c r="F182" s="1476"/>
      <c r="G182" s="1476"/>
      <c r="H182" s="1475"/>
      <c r="I182" s="1476"/>
      <c r="J182" s="1476"/>
      <c r="K182" s="1476"/>
      <c r="L182" s="1476"/>
      <c r="M182" s="1476"/>
      <c r="N182" s="1476"/>
      <c r="O182" s="1476"/>
      <c r="P182" s="1476"/>
      <c r="Q182" s="1476"/>
    </row>
    <row r="183" spans="1:17">
      <c r="A183" s="1474" t="s">
        <v>803</v>
      </c>
      <c r="B183" s="1476"/>
      <c r="C183" s="1476"/>
      <c r="D183" s="1476"/>
      <c r="E183" s="1476"/>
      <c r="F183" s="1476"/>
      <c r="G183" s="1476"/>
      <c r="H183" s="1476"/>
      <c r="I183" s="1476"/>
      <c r="J183" s="1476"/>
      <c r="K183" s="1476"/>
      <c r="L183" s="1476"/>
      <c r="M183" s="1476"/>
      <c r="N183" s="1476"/>
      <c r="O183" s="1476"/>
      <c r="P183" s="1476"/>
      <c r="Q183" s="1476"/>
    </row>
    <row r="184" spans="1:17">
      <c r="A184" s="1474" t="s">
        <v>804</v>
      </c>
      <c r="B184" s="1475"/>
      <c r="C184" s="1476"/>
      <c r="D184" s="1476"/>
      <c r="E184" s="1475"/>
      <c r="F184" s="1476"/>
      <c r="G184" s="1476"/>
      <c r="H184" s="1475"/>
      <c r="I184" s="1476"/>
      <c r="J184" s="1476"/>
      <c r="K184" s="1476"/>
      <c r="L184" s="1476"/>
      <c r="M184" s="1476"/>
      <c r="N184" s="1476"/>
      <c r="O184" s="1476"/>
      <c r="P184" s="1476"/>
      <c r="Q184" s="1476"/>
    </row>
    <row r="185" spans="1:17">
      <c r="A185" s="1474" t="s">
        <v>805</v>
      </c>
      <c r="B185" s="1476"/>
      <c r="C185" s="1476"/>
      <c r="D185" s="1476"/>
      <c r="E185" s="1476"/>
      <c r="F185" s="1476"/>
      <c r="G185" s="1476"/>
      <c r="H185" s="1476"/>
      <c r="I185" s="1476"/>
      <c r="J185" s="1476"/>
      <c r="K185" s="1476"/>
      <c r="L185" s="1476"/>
      <c r="M185" s="1476"/>
      <c r="N185" s="1476"/>
      <c r="O185" s="1476"/>
      <c r="P185" s="1476"/>
      <c r="Q185" s="1476"/>
    </row>
    <row r="186" spans="1:17" ht="13" thickBot="1">
      <c r="A186" s="1477" t="s">
        <v>806</v>
      </c>
      <c r="B186" s="1478"/>
      <c r="C186" s="1481"/>
      <c r="D186" s="1481"/>
      <c r="E186" s="1478"/>
      <c r="F186" s="1478"/>
      <c r="G186" s="1481"/>
      <c r="H186" s="1478"/>
      <c r="I186" s="1481"/>
      <c r="J186" s="1481"/>
      <c r="K186" s="1481"/>
      <c r="L186" s="1481"/>
      <c r="M186" s="1481"/>
      <c r="N186" s="1481"/>
      <c r="O186" s="1481"/>
      <c r="P186" s="1481"/>
      <c r="Q186" s="1481"/>
    </row>
    <row r="187" spans="1:17">
      <c r="A187" s="1472" t="s">
        <v>816</v>
      </c>
      <c r="B187" s="1473"/>
      <c r="C187" s="1473"/>
      <c r="D187" s="1473"/>
      <c r="E187" s="1473"/>
      <c r="F187" s="1473"/>
      <c r="G187" s="1473"/>
      <c r="H187" s="1473"/>
      <c r="I187" s="1473"/>
      <c r="J187" s="1473"/>
      <c r="K187" s="1473"/>
      <c r="L187" s="1473"/>
      <c r="M187" s="1473"/>
      <c r="N187" s="1473"/>
      <c r="O187" s="1473"/>
      <c r="P187" s="1473"/>
      <c r="Q187" s="1473"/>
    </row>
    <row r="188" spans="1:17">
      <c r="A188" s="1474" t="s">
        <v>801</v>
      </c>
      <c r="B188" s="1475"/>
      <c r="C188" s="1475"/>
      <c r="D188" s="1475"/>
      <c r="E188" s="1475"/>
      <c r="F188" s="1475"/>
      <c r="G188" s="1475"/>
      <c r="H188" s="1475"/>
      <c r="I188" s="1475"/>
      <c r="J188" s="1475"/>
      <c r="K188" s="1475"/>
      <c r="L188" s="1475"/>
      <c r="M188" s="1475"/>
      <c r="N188" s="1475"/>
      <c r="O188" s="1475"/>
      <c r="P188" s="1475"/>
      <c r="Q188" s="1475"/>
    </row>
    <row r="189" spans="1:17">
      <c r="A189" s="1474" t="s">
        <v>802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  <c r="L189" s="1475"/>
      <c r="M189" s="1475"/>
      <c r="N189" s="1475"/>
      <c r="O189" s="1475"/>
      <c r="P189" s="1475"/>
      <c r="Q189" s="1475"/>
    </row>
    <row r="190" spans="1:17">
      <c r="A190" s="1474" t="s">
        <v>803</v>
      </c>
      <c r="B190" s="1476"/>
      <c r="C190" s="1476"/>
      <c r="D190" s="1476"/>
      <c r="E190" s="1476"/>
      <c r="F190" s="1476"/>
      <c r="G190" s="1476"/>
      <c r="H190" s="1476"/>
      <c r="I190" s="1476"/>
      <c r="J190" s="1476"/>
      <c r="K190" s="1476"/>
      <c r="L190" s="1476"/>
      <c r="M190" s="1476"/>
      <c r="N190" s="1476"/>
      <c r="O190" s="1476"/>
      <c r="P190" s="1476"/>
      <c r="Q190" s="1476"/>
    </row>
    <row r="191" spans="1:17">
      <c r="A191" s="1474" t="s">
        <v>804</v>
      </c>
      <c r="B191" s="1475"/>
      <c r="C191" s="1475"/>
      <c r="D191" s="1475"/>
      <c r="E191" s="1475"/>
      <c r="F191" s="1475"/>
      <c r="G191" s="1475"/>
      <c r="H191" s="1475"/>
      <c r="I191" s="1476"/>
      <c r="J191" s="1476"/>
      <c r="K191" s="1476"/>
      <c r="L191" s="1476"/>
      <c r="M191" s="1476"/>
      <c r="N191" s="1476"/>
      <c r="O191" s="1476"/>
      <c r="P191" s="1476"/>
      <c r="Q191" s="1476"/>
    </row>
    <row r="192" spans="1:17">
      <c r="A192" s="1474" t="s">
        <v>805</v>
      </c>
      <c r="B192" s="1476"/>
      <c r="C192" s="1476"/>
      <c r="D192" s="1476"/>
      <c r="E192" s="1476"/>
      <c r="F192" s="1476"/>
      <c r="G192" s="1476"/>
      <c r="H192" s="1476"/>
      <c r="I192" s="1476"/>
      <c r="J192" s="1476"/>
      <c r="K192" s="1476"/>
      <c r="L192" s="1476"/>
      <c r="M192" s="1476"/>
      <c r="N192" s="1476"/>
      <c r="O192" s="1476"/>
      <c r="P192" s="1476"/>
      <c r="Q192" s="1476"/>
    </row>
    <row r="193" spans="1:17" ht="13" thickBot="1">
      <c r="A193" s="1477" t="s">
        <v>806</v>
      </c>
      <c r="B193" s="1478"/>
      <c r="C193" s="1478"/>
      <c r="D193" s="1478"/>
      <c r="E193" s="1478"/>
      <c r="F193" s="1478"/>
      <c r="G193" s="1478"/>
      <c r="H193" s="1481"/>
      <c r="I193" s="1481"/>
      <c r="J193" s="1481"/>
      <c r="K193" s="1481"/>
      <c r="L193" s="1481"/>
      <c r="M193" s="1481"/>
      <c r="N193" s="1481"/>
      <c r="O193" s="1481"/>
      <c r="P193" s="1481"/>
      <c r="Q193" s="1481"/>
    </row>
    <row r="194" spans="1:17">
      <c r="A194" s="1472" t="s">
        <v>816</v>
      </c>
      <c r="B194" s="1473"/>
      <c r="C194" s="1473"/>
      <c r="D194" s="1473"/>
      <c r="E194" s="1473"/>
      <c r="F194" s="1473"/>
      <c r="G194" s="1473"/>
      <c r="H194" s="1473"/>
      <c r="I194" s="1473"/>
      <c r="J194" s="1473"/>
      <c r="K194" s="1473"/>
      <c r="L194" s="1473"/>
      <c r="M194" s="1473"/>
      <c r="N194" s="1473"/>
      <c r="O194" s="1473"/>
      <c r="P194" s="1473"/>
      <c r="Q194" s="1473"/>
    </row>
    <row r="195" spans="1:17">
      <c r="A195" s="1474" t="s">
        <v>801</v>
      </c>
      <c r="B195" s="1475"/>
      <c r="C195" s="1475"/>
      <c r="D195" s="1475"/>
      <c r="E195" s="1475"/>
      <c r="F195" s="1475"/>
      <c r="G195" s="1475"/>
      <c r="H195" s="1475"/>
      <c r="I195" s="1476"/>
      <c r="J195" s="1476"/>
      <c r="K195" s="1476"/>
      <c r="L195" s="1476"/>
      <c r="M195" s="1476"/>
      <c r="N195" s="1476"/>
      <c r="O195" s="1476"/>
      <c r="P195" s="1476"/>
      <c r="Q195" s="1476"/>
    </row>
    <row r="196" spans="1:17">
      <c r="A196" s="1474" t="s">
        <v>802</v>
      </c>
      <c r="B196" s="1475"/>
      <c r="C196" s="1475"/>
      <c r="D196" s="1475"/>
      <c r="E196" s="1475"/>
      <c r="F196" s="1475"/>
      <c r="G196" s="1475"/>
      <c r="H196" s="1475"/>
      <c r="I196" s="1476"/>
      <c r="J196" s="1476"/>
      <c r="K196" s="1476"/>
      <c r="L196" s="1476"/>
      <c r="M196" s="1476"/>
      <c r="N196" s="1476"/>
      <c r="O196" s="1476"/>
      <c r="P196" s="1476"/>
      <c r="Q196" s="1476"/>
    </row>
    <row r="197" spans="1:17">
      <c r="A197" s="1474" t="s">
        <v>803</v>
      </c>
      <c r="B197" s="1476"/>
      <c r="C197" s="1476"/>
      <c r="D197" s="1476"/>
      <c r="E197" s="1476"/>
      <c r="F197" s="1476"/>
      <c r="G197" s="1476"/>
      <c r="H197" s="1476"/>
      <c r="I197" s="1476"/>
      <c r="J197" s="1476"/>
      <c r="K197" s="1476"/>
      <c r="L197" s="1476"/>
      <c r="M197" s="1476"/>
      <c r="N197" s="1476"/>
      <c r="O197" s="1476"/>
      <c r="P197" s="1476"/>
      <c r="Q197" s="1476"/>
    </row>
    <row r="198" spans="1:17">
      <c r="A198" s="1474" t="s">
        <v>804</v>
      </c>
      <c r="B198" s="1475"/>
      <c r="C198" s="1476"/>
      <c r="D198" s="1476"/>
      <c r="E198" s="1475"/>
      <c r="F198" s="1476"/>
      <c r="G198" s="1476"/>
      <c r="H198" s="1475"/>
      <c r="I198" s="1476"/>
      <c r="J198" s="1476"/>
      <c r="K198" s="1476"/>
      <c r="L198" s="1476"/>
      <c r="M198" s="1476"/>
      <c r="N198" s="1476"/>
      <c r="O198" s="1476"/>
      <c r="P198" s="1476"/>
      <c r="Q198" s="1476"/>
    </row>
    <row r="199" spans="1:17">
      <c r="A199" s="1474" t="s">
        <v>805</v>
      </c>
      <c r="B199" s="1476"/>
      <c r="C199" s="1476"/>
      <c r="D199" s="1476"/>
      <c r="E199" s="1476"/>
      <c r="F199" s="1476"/>
      <c r="G199" s="1476"/>
      <c r="H199" s="1476"/>
      <c r="I199" s="1476"/>
      <c r="J199" s="1476"/>
      <c r="K199" s="1476"/>
      <c r="L199" s="1476"/>
      <c r="M199" s="1476"/>
      <c r="N199" s="1476"/>
      <c r="O199" s="1476"/>
      <c r="P199" s="1476"/>
      <c r="Q199" s="1476"/>
    </row>
    <row r="200" spans="1:17" ht="13" thickBot="1">
      <c r="A200" s="1477" t="s">
        <v>806</v>
      </c>
      <c r="B200" s="1478"/>
      <c r="C200" s="1481"/>
      <c r="D200" s="1481"/>
      <c r="E200" s="1478"/>
      <c r="F200" s="1481"/>
      <c r="G200" s="1481"/>
      <c r="H200" s="1478"/>
      <c r="I200" s="1481"/>
      <c r="J200" s="1481"/>
      <c r="K200" s="1481"/>
      <c r="L200" s="1481"/>
      <c r="M200" s="1481"/>
      <c r="N200" s="1481"/>
      <c r="O200" s="1481"/>
      <c r="P200" s="1481"/>
      <c r="Q200" s="1481"/>
    </row>
    <row r="201" spans="1:17">
      <c r="A201" s="1472" t="s">
        <v>816</v>
      </c>
      <c r="B201" s="1473"/>
      <c r="C201" s="1473"/>
      <c r="D201" s="1473"/>
      <c r="E201" s="1473"/>
      <c r="F201" s="1473"/>
      <c r="G201" s="1473"/>
      <c r="H201" s="1473"/>
      <c r="I201" s="1473"/>
      <c r="J201" s="1473"/>
      <c r="K201" s="1473"/>
      <c r="L201" s="1473"/>
      <c r="M201" s="1473"/>
      <c r="N201" s="1473"/>
      <c r="O201" s="1473"/>
      <c r="P201" s="1473"/>
      <c r="Q201" s="1473"/>
    </row>
    <row r="202" spans="1:17">
      <c r="A202" s="1474" t="s">
        <v>801</v>
      </c>
      <c r="B202" s="1475"/>
      <c r="C202" s="1475"/>
      <c r="D202" s="1475"/>
      <c r="E202" s="1475"/>
      <c r="F202" s="1475"/>
      <c r="G202" s="1475"/>
      <c r="H202" s="1475"/>
      <c r="I202" s="1476"/>
      <c r="J202" s="1476"/>
      <c r="K202" s="1476"/>
      <c r="L202" s="1476"/>
      <c r="M202" s="1476"/>
      <c r="N202" s="1476"/>
      <c r="O202" s="1476"/>
      <c r="P202" s="1476"/>
      <c r="Q202" s="1476"/>
    </row>
    <row r="203" spans="1:17">
      <c r="A203" s="1474" t="s">
        <v>802</v>
      </c>
      <c r="B203" s="1475"/>
      <c r="C203" s="1475"/>
      <c r="D203" s="1475"/>
      <c r="E203" s="1475"/>
      <c r="F203" s="1475"/>
      <c r="G203" s="1475"/>
      <c r="H203" s="1475"/>
      <c r="I203" s="1476"/>
      <c r="J203" s="1476"/>
      <c r="K203" s="1476"/>
      <c r="L203" s="1476"/>
      <c r="M203" s="1476"/>
      <c r="N203" s="1476"/>
      <c r="O203" s="1476"/>
      <c r="P203" s="1476"/>
      <c r="Q203" s="1476"/>
    </row>
    <row r="204" spans="1:17">
      <c r="A204" s="1474" t="s">
        <v>803</v>
      </c>
      <c r="B204" s="1476"/>
      <c r="C204" s="1476"/>
      <c r="D204" s="1476"/>
      <c r="E204" s="1476"/>
      <c r="F204" s="1476"/>
      <c r="G204" s="1476"/>
      <c r="H204" s="1476"/>
      <c r="I204" s="1476"/>
      <c r="J204" s="1476"/>
      <c r="K204" s="1476"/>
      <c r="L204" s="1476"/>
      <c r="M204" s="1476"/>
      <c r="N204" s="1476"/>
      <c r="O204" s="1476"/>
      <c r="P204" s="1476"/>
      <c r="Q204" s="1476"/>
    </row>
    <row r="205" spans="1:17">
      <c r="A205" s="1474" t="s">
        <v>804</v>
      </c>
      <c r="B205" s="1475"/>
      <c r="C205" s="1475"/>
      <c r="D205" s="1475"/>
      <c r="E205" s="1475"/>
      <c r="F205" s="1475"/>
      <c r="G205" s="1475"/>
      <c r="H205" s="1475"/>
      <c r="I205" s="1476"/>
      <c r="J205" s="1476"/>
      <c r="K205" s="1476"/>
      <c r="L205" s="1476"/>
      <c r="M205" s="1476"/>
      <c r="N205" s="1476"/>
      <c r="O205" s="1476"/>
      <c r="P205" s="1476"/>
      <c r="Q205" s="1476"/>
    </row>
    <row r="206" spans="1:17">
      <c r="A206" s="1474" t="s">
        <v>805</v>
      </c>
      <c r="B206" s="1476"/>
      <c r="C206" s="1476"/>
      <c r="D206" s="1476"/>
      <c r="E206" s="1476"/>
      <c r="F206" s="1476"/>
      <c r="G206" s="1476"/>
      <c r="H206" s="1476"/>
      <c r="I206" s="1476"/>
      <c r="J206" s="1476"/>
      <c r="K206" s="1476"/>
      <c r="L206" s="1476"/>
      <c r="M206" s="1476"/>
      <c r="N206" s="1476"/>
      <c r="O206" s="1476"/>
      <c r="P206" s="1476"/>
      <c r="Q206" s="1476"/>
    </row>
    <row r="207" spans="1:17" ht="13" thickBot="1">
      <c r="A207" s="1477" t="s">
        <v>806</v>
      </c>
      <c r="B207" s="1478"/>
      <c r="C207" s="1478"/>
      <c r="D207" s="1478"/>
      <c r="E207" s="1478"/>
      <c r="F207" s="1478"/>
      <c r="G207" s="1478"/>
      <c r="H207" s="1478"/>
      <c r="I207" s="1481"/>
      <c r="J207" s="1481"/>
      <c r="K207" s="1481"/>
      <c r="L207" s="1481"/>
      <c r="M207" s="1481"/>
      <c r="N207" s="1481"/>
      <c r="O207" s="1481"/>
      <c r="P207" s="1481"/>
      <c r="Q207" s="1481"/>
    </row>
    <row r="208" spans="1:17">
      <c r="A208" s="1472" t="s">
        <v>816</v>
      </c>
      <c r="B208" s="1473"/>
      <c r="C208" s="1473"/>
      <c r="D208" s="1473"/>
      <c r="E208" s="1473"/>
      <c r="F208" s="1473"/>
      <c r="G208" s="1473"/>
      <c r="H208" s="1473"/>
      <c r="I208" s="1473"/>
      <c r="J208" s="1473"/>
      <c r="K208" s="1473"/>
      <c r="L208" s="1473"/>
      <c r="M208" s="1473"/>
      <c r="N208" s="1473"/>
      <c r="O208" s="1473"/>
      <c r="P208" s="1473"/>
      <c r="Q208" s="1473"/>
    </row>
    <row r="209" spans="1:17">
      <c r="A209" s="1474" t="s">
        <v>801</v>
      </c>
      <c r="B209" s="1476"/>
      <c r="C209" s="1476"/>
      <c r="D209" s="1476"/>
      <c r="E209" s="1475"/>
      <c r="F209" s="1476"/>
      <c r="G209" s="1475"/>
      <c r="H209" s="1475"/>
      <c r="I209" s="1476"/>
      <c r="J209" s="1476"/>
      <c r="K209" s="1476"/>
      <c r="L209" s="1476"/>
      <c r="M209" s="1476"/>
      <c r="N209" s="1476"/>
      <c r="O209" s="1476"/>
      <c r="P209" s="1476"/>
      <c r="Q209" s="1476"/>
    </row>
    <row r="210" spans="1:17">
      <c r="A210" s="1474" t="s">
        <v>802</v>
      </c>
      <c r="B210" s="1476"/>
      <c r="C210" s="1476"/>
      <c r="D210" s="1476"/>
      <c r="E210" s="1475"/>
      <c r="F210" s="1476"/>
      <c r="G210" s="1475"/>
      <c r="H210" s="1475"/>
      <c r="I210" s="1476"/>
      <c r="J210" s="1476"/>
      <c r="K210" s="1476"/>
      <c r="L210" s="1476"/>
      <c r="M210" s="1476"/>
      <c r="N210" s="1476"/>
      <c r="O210" s="1476"/>
      <c r="P210" s="1476"/>
      <c r="Q210" s="1476"/>
    </row>
    <row r="211" spans="1:17">
      <c r="A211" s="1474" t="s">
        <v>803</v>
      </c>
      <c r="B211" s="1476"/>
      <c r="C211" s="1476"/>
      <c r="D211" s="1476"/>
      <c r="E211" s="1476"/>
      <c r="F211" s="1476"/>
      <c r="G211" s="1476"/>
      <c r="H211" s="1476"/>
      <c r="I211" s="1476"/>
      <c r="J211" s="1476"/>
      <c r="K211" s="1476"/>
      <c r="L211" s="1476"/>
      <c r="M211" s="1476"/>
      <c r="N211" s="1476"/>
      <c r="O211" s="1476"/>
      <c r="P211" s="1476"/>
      <c r="Q211" s="1476"/>
    </row>
    <row r="212" spans="1:17">
      <c r="A212" s="1474" t="s">
        <v>804</v>
      </c>
      <c r="B212" s="1476"/>
      <c r="C212" s="1476"/>
      <c r="D212" s="1476"/>
      <c r="E212" s="1475"/>
      <c r="F212" s="1476"/>
      <c r="G212" s="1475"/>
      <c r="H212" s="1475"/>
      <c r="I212" s="1476"/>
      <c r="J212" s="1476"/>
      <c r="K212" s="1476"/>
      <c r="L212" s="1476"/>
      <c r="M212" s="1476"/>
      <c r="N212" s="1476"/>
      <c r="O212" s="1476"/>
      <c r="P212" s="1476"/>
      <c r="Q212" s="1476"/>
    </row>
    <row r="213" spans="1:17">
      <c r="A213" s="1474" t="s">
        <v>805</v>
      </c>
      <c r="B213" s="1476"/>
      <c r="C213" s="1476"/>
      <c r="D213" s="1476"/>
      <c r="E213" s="1476"/>
      <c r="F213" s="1476"/>
      <c r="G213" s="1476"/>
      <c r="H213" s="1476"/>
      <c r="I213" s="1476"/>
      <c r="J213" s="1476"/>
      <c r="K213" s="1476"/>
      <c r="L213" s="1476"/>
      <c r="M213" s="1476"/>
      <c r="N213" s="1476"/>
      <c r="O213" s="1476"/>
      <c r="P213" s="1476"/>
      <c r="Q213" s="1476"/>
    </row>
    <row r="214" spans="1:17" ht="13" thickBot="1">
      <c r="A214" s="1477" t="s">
        <v>806</v>
      </c>
      <c r="B214" s="1481"/>
      <c r="C214" s="1481"/>
      <c r="D214" s="1481"/>
      <c r="E214" s="1478"/>
      <c r="F214" s="1481"/>
      <c r="G214" s="1478"/>
      <c r="H214" s="1478"/>
      <c r="I214" s="1481"/>
      <c r="J214" s="1481"/>
      <c r="K214" s="1481"/>
      <c r="L214" s="1481"/>
      <c r="M214" s="1481"/>
      <c r="N214" s="1481"/>
      <c r="O214" s="1481"/>
      <c r="P214" s="1481"/>
      <c r="Q214" s="1481"/>
    </row>
    <row r="215" spans="1:17">
      <c r="A215" s="1472" t="s">
        <v>816</v>
      </c>
      <c r="B215" s="1473"/>
      <c r="C215" s="1473"/>
      <c r="D215" s="1473"/>
      <c r="E215" s="1473"/>
      <c r="F215" s="1473"/>
      <c r="G215" s="1473"/>
      <c r="H215" s="1480"/>
      <c r="I215" s="1473"/>
      <c r="J215" s="1473"/>
      <c r="K215" s="1473"/>
      <c r="L215" s="1473"/>
      <c r="M215" s="1473"/>
      <c r="N215" s="1473"/>
      <c r="O215" s="1473"/>
      <c r="P215" s="1473"/>
      <c r="Q215" s="1473"/>
    </row>
    <row r="216" spans="1:17">
      <c r="A216" s="1474" t="s">
        <v>801</v>
      </c>
      <c r="B216" s="1476"/>
      <c r="C216" s="1476"/>
      <c r="D216" s="1476"/>
      <c r="E216" s="1475"/>
      <c r="F216" s="1476"/>
      <c r="G216" s="1475"/>
      <c r="H216" s="1475"/>
      <c r="I216" s="1475"/>
      <c r="J216" s="1475"/>
      <c r="K216" s="1475"/>
      <c r="L216" s="1475"/>
      <c r="M216" s="1475"/>
      <c r="N216" s="1475"/>
      <c r="O216" s="1475"/>
      <c r="P216" s="1475"/>
      <c r="Q216" s="1475"/>
    </row>
    <row r="217" spans="1:17">
      <c r="A217" s="1474" t="s">
        <v>802</v>
      </c>
      <c r="B217" s="1476"/>
      <c r="C217" s="1476"/>
      <c r="D217" s="1476"/>
      <c r="E217" s="1475"/>
      <c r="F217" s="1476"/>
      <c r="G217" s="1475"/>
      <c r="H217" s="1475"/>
      <c r="I217" s="1475"/>
      <c r="J217" s="1475"/>
      <c r="K217" s="1475"/>
      <c r="L217" s="1475"/>
      <c r="M217" s="1475"/>
      <c r="N217" s="1475"/>
      <c r="O217" s="1475"/>
      <c r="P217" s="1475"/>
      <c r="Q217" s="1475"/>
    </row>
    <row r="218" spans="1:17">
      <c r="A218" s="1474" t="s">
        <v>803</v>
      </c>
      <c r="B218" s="1476"/>
      <c r="C218" s="1476"/>
      <c r="D218" s="1476"/>
      <c r="E218" s="1476"/>
      <c r="F218" s="1476"/>
      <c r="G218" s="1476"/>
      <c r="H218" s="1476"/>
      <c r="I218" s="1476"/>
      <c r="J218" s="1476"/>
      <c r="K218" s="1476"/>
      <c r="L218" s="1476"/>
      <c r="M218" s="1476"/>
      <c r="N218" s="1476"/>
      <c r="O218" s="1476"/>
      <c r="P218" s="1476"/>
      <c r="Q218" s="1476"/>
    </row>
    <row r="219" spans="1:17">
      <c r="A219" s="1474" t="s">
        <v>804</v>
      </c>
      <c r="B219" s="1476"/>
      <c r="C219" s="1476"/>
      <c r="D219" s="1476"/>
      <c r="E219" s="1475"/>
      <c r="F219" s="1476"/>
      <c r="G219" s="1475"/>
      <c r="H219" s="1475"/>
      <c r="I219" s="1475"/>
      <c r="J219" s="1475"/>
      <c r="K219" s="1475"/>
      <c r="L219" s="1475"/>
      <c r="M219" s="1475"/>
      <c r="N219" s="1475"/>
      <c r="O219" s="1475"/>
      <c r="P219" s="1475"/>
      <c r="Q219" s="1475"/>
    </row>
    <row r="220" spans="1:17">
      <c r="A220" s="1474" t="s">
        <v>805</v>
      </c>
      <c r="B220" s="1476"/>
      <c r="C220" s="1476"/>
      <c r="D220" s="1476"/>
      <c r="E220" s="1476"/>
      <c r="F220" s="1476"/>
      <c r="G220" s="1476"/>
      <c r="H220" s="1476"/>
      <c r="I220" s="1476"/>
      <c r="J220" s="1476"/>
      <c r="K220" s="1476"/>
      <c r="L220" s="1476"/>
      <c r="M220" s="1476"/>
      <c r="N220" s="1476"/>
      <c r="O220" s="1476"/>
      <c r="P220" s="1476"/>
      <c r="Q220" s="1476"/>
    </row>
    <row r="221" spans="1:17" ht="13" thickBot="1">
      <c r="A221" s="1477" t="s">
        <v>806</v>
      </c>
      <c r="B221" s="1481"/>
      <c r="C221" s="1481"/>
      <c r="D221" s="1481"/>
      <c r="E221" s="1478"/>
      <c r="F221" s="1481"/>
      <c r="G221" s="1478"/>
      <c r="H221" s="1478"/>
      <c r="I221" s="1478"/>
      <c r="J221" s="1478"/>
      <c r="K221" s="1478"/>
      <c r="L221" s="1478"/>
      <c r="M221" s="1478"/>
      <c r="N221" s="1478"/>
      <c r="O221" s="1478"/>
      <c r="P221" s="1478"/>
      <c r="Q221" s="1478"/>
    </row>
    <row r="222" spans="1:17">
      <c r="A222" s="1472" t="s">
        <v>816</v>
      </c>
      <c r="B222" s="1473"/>
      <c r="C222" s="1473"/>
      <c r="D222" s="1473"/>
      <c r="E222" s="1473"/>
      <c r="F222" s="1473"/>
      <c r="G222" s="1473"/>
      <c r="H222" s="1473"/>
      <c r="I222" s="1473"/>
      <c r="J222" s="1473"/>
      <c r="K222" s="1473"/>
      <c r="L222" s="1473"/>
      <c r="M222" s="1473"/>
      <c r="N222" s="1473"/>
      <c r="O222" s="1473"/>
      <c r="P222" s="1473"/>
      <c r="Q222" s="1473"/>
    </row>
    <row r="223" spans="1:17">
      <c r="A223" s="1474" t="s">
        <v>801</v>
      </c>
      <c r="B223" s="1476"/>
      <c r="C223" s="1476"/>
      <c r="D223" s="1476"/>
      <c r="E223" s="1475"/>
      <c r="F223" s="1476"/>
      <c r="G223" s="1476"/>
      <c r="H223" s="1476"/>
      <c r="I223" s="1475"/>
      <c r="J223" s="1475"/>
      <c r="K223" s="1475"/>
      <c r="L223" s="1475"/>
      <c r="M223" s="1475"/>
      <c r="N223" s="1475"/>
      <c r="O223" s="1475"/>
      <c r="P223" s="1475"/>
      <c r="Q223" s="1475"/>
    </row>
    <row r="224" spans="1:17">
      <c r="A224" s="1474" t="s">
        <v>802</v>
      </c>
      <c r="B224" s="1476"/>
      <c r="C224" s="1476"/>
      <c r="D224" s="1476"/>
      <c r="E224" s="1475"/>
      <c r="F224" s="1476"/>
      <c r="G224" s="1476"/>
      <c r="H224" s="1476"/>
      <c r="I224" s="1475"/>
      <c r="J224" s="1475"/>
      <c r="K224" s="1475"/>
      <c r="L224" s="1475"/>
      <c r="M224" s="1475"/>
      <c r="N224" s="1475"/>
      <c r="O224" s="1475"/>
      <c r="P224" s="1475"/>
      <c r="Q224" s="1475"/>
    </row>
    <row r="225" spans="1:17">
      <c r="A225" s="1474" t="s">
        <v>803</v>
      </c>
      <c r="B225" s="1476"/>
      <c r="C225" s="1476"/>
      <c r="D225" s="1476"/>
      <c r="E225" s="1476"/>
      <c r="F225" s="1476"/>
      <c r="G225" s="1476"/>
      <c r="H225" s="1476"/>
      <c r="I225" s="1476"/>
      <c r="J225" s="1476"/>
      <c r="K225" s="1476"/>
      <c r="L225" s="1476"/>
      <c r="M225" s="1476"/>
      <c r="N225" s="1476"/>
      <c r="O225" s="1476"/>
      <c r="P225" s="1476"/>
      <c r="Q225" s="1476"/>
    </row>
    <row r="226" spans="1:17">
      <c r="A226" s="1474" t="s">
        <v>804</v>
      </c>
      <c r="B226" s="1476"/>
      <c r="C226" s="1476"/>
      <c r="D226" s="1476"/>
      <c r="E226" s="1475"/>
      <c r="F226" s="1476"/>
      <c r="G226" s="1476"/>
      <c r="H226" s="1476"/>
      <c r="I226" s="1475"/>
      <c r="J226" s="1475"/>
      <c r="K226" s="1475"/>
      <c r="L226" s="1475"/>
      <c r="M226" s="1475"/>
      <c r="N226" s="1475"/>
      <c r="O226" s="1475"/>
      <c r="P226" s="1475"/>
      <c r="Q226" s="1475"/>
    </row>
    <row r="227" spans="1:17">
      <c r="A227" s="1474" t="s">
        <v>805</v>
      </c>
      <c r="B227" s="1476"/>
      <c r="C227" s="1476"/>
      <c r="D227" s="1476"/>
      <c r="E227" s="1476"/>
      <c r="F227" s="1476"/>
      <c r="G227" s="1476"/>
      <c r="H227" s="1476"/>
      <c r="I227" s="1476"/>
      <c r="J227" s="1476"/>
      <c r="K227" s="1476"/>
      <c r="L227" s="1476"/>
      <c r="M227" s="1476"/>
      <c r="N227" s="1476"/>
      <c r="O227" s="1476"/>
      <c r="P227" s="1476"/>
      <c r="Q227" s="1476"/>
    </row>
    <row r="228" spans="1:17" ht="13" thickBot="1">
      <c r="A228" s="1477" t="s">
        <v>806</v>
      </c>
      <c r="B228" s="1481"/>
      <c r="C228" s="1481"/>
      <c r="D228" s="1481"/>
      <c r="E228" s="1478"/>
      <c r="F228" s="1481"/>
      <c r="G228" s="1481"/>
      <c r="H228" s="1481"/>
      <c r="I228" s="1478"/>
      <c r="J228" s="1478"/>
      <c r="K228" s="1478"/>
      <c r="L228" s="1478"/>
      <c r="M228" s="1478"/>
      <c r="N228" s="1478"/>
      <c r="O228" s="1478"/>
      <c r="P228" s="1478"/>
      <c r="Q228" s="1478"/>
    </row>
    <row r="229" spans="1:17">
      <c r="A229" s="1472" t="s">
        <v>816</v>
      </c>
      <c r="B229" s="1473"/>
      <c r="C229" s="1473"/>
      <c r="D229" s="1473"/>
      <c r="E229" s="1473"/>
      <c r="F229" s="1473"/>
      <c r="G229" s="1473"/>
      <c r="H229" s="1473"/>
      <c r="I229" s="1473"/>
      <c r="J229" s="1473"/>
      <c r="K229" s="1473"/>
      <c r="L229" s="1473"/>
      <c r="M229" s="1473"/>
      <c r="N229" s="1473"/>
      <c r="O229" s="1473"/>
      <c r="P229" s="1473"/>
      <c r="Q229" s="1473"/>
    </row>
    <row r="230" spans="1:17">
      <c r="A230" s="1474" t="s">
        <v>801</v>
      </c>
      <c r="B230" s="1476"/>
      <c r="C230" s="1476"/>
      <c r="D230" s="1476"/>
      <c r="E230" s="1476"/>
      <c r="F230" s="1476"/>
      <c r="G230" s="1475"/>
      <c r="H230" s="1476"/>
      <c r="I230" s="1475"/>
      <c r="J230" s="1475"/>
      <c r="K230" s="1475"/>
      <c r="L230" s="1475"/>
      <c r="M230" s="1475"/>
      <c r="N230" s="1475"/>
      <c r="O230" s="1475"/>
      <c r="P230" s="1475"/>
      <c r="Q230" s="1475"/>
    </row>
    <row r="231" spans="1:17">
      <c r="A231" s="1474" t="s">
        <v>802</v>
      </c>
      <c r="B231" s="1476"/>
      <c r="C231" s="1476"/>
      <c r="D231" s="1476"/>
      <c r="E231" s="1476"/>
      <c r="F231" s="1476"/>
      <c r="G231" s="1475"/>
      <c r="H231" s="1476"/>
      <c r="I231" s="1475"/>
      <c r="J231" s="1475"/>
      <c r="K231" s="1475"/>
      <c r="L231" s="1475"/>
      <c r="M231" s="1475"/>
      <c r="N231" s="1475"/>
      <c r="O231" s="1475"/>
      <c r="P231" s="1475"/>
      <c r="Q231" s="1475"/>
    </row>
    <row r="232" spans="1:17">
      <c r="A232" s="1474" t="s">
        <v>803</v>
      </c>
      <c r="B232" s="1476"/>
      <c r="C232" s="1476"/>
      <c r="D232" s="1476"/>
      <c r="E232" s="1476"/>
      <c r="F232" s="1476"/>
      <c r="G232" s="1476"/>
      <c r="H232" s="1476"/>
      <c r="I232" s="1476"/>
      <c r="J232" s="1476"/>
      <c r="K232" s="1476"/>
      <c r="L232" s="1476"/>
      <c r="M232" s="1476"/>
      <c r="N232" s="1476"/>
      <c r="O232" s="1476"/>
      <c r="P232" s="1476"/>
      <c r="Q232" s="1476"/>
    </row>
    <row r="233" spans="1:17">
      <c r="A233" s="1474" t="s">
        <v>804</v>
      </c>
      <c r="B233" s="1476"/>
      <c r="C233" s="1476"/>
      <c r="D233" s="1476"/>
      <c r="E233" s="1476"/>
      <c r="F233" s="1476"/>
      <c r="G233" s="1475"/>
      <c r="H233" s="1476"/>
      <c r="I233" s="1475"/>
      <c r="J233" s="1475"/>
      <c r="K233" s="1475"/>
      <c r="L233" s="1475"/>
      <c r="M233" s="1475"/>
      <c r="N233" s="1475"/>
      <c r="O233" s="1475"/>
      <c r="P233" s="1475"/>
      <c r="Q233" s="1475"/>
    </row>
    <row r="234" spans="1:17">
      <c r="A234" s="1474" t="s">
        <v>805</v>
      </c>
      <c r="B234" s="1476"/>
      <c r="C234" s="1476"/>
      <c r="D234" s="1476"/>
      <c r="E234" s="1476"/>
      <c r="F234" s="1476"/>
      <c r="G234" s="1476"/>
      <c r="H234" s="1476"/>
      <c r="I234" s="1476"/>
      <c r="J234" s="1476"/>
      <c r="K234" s="1476"/>
      <c r="L234" s="1476"/>
      <c r="M234" s="1476"/>
      <c r="N234" s="1476"/>
      <c r="O234" s="1476"/>
      <c r="P234" s="1476"/>
      <c r="Q234" s="1476"/>
    </row>
    <row r="235" spans="1:17" ht="13" thickBot="1">
      <c r="A235" s="1477" t="s">
        <v>806</v>
      </c>
      <c r="B235" s="1481"/>
      <c r="C235" s="1481"/>
      <c r="D235" s="1481"/>
      <c r="E235" s="1481"/>
      <c r="F235" s="1481"/>
      <c r="G235" s="1478"/>
      <c r="H235" s="1481"/>
      <c r="I235" s="1478"/>
      <c r="J235" s="1478"/>
      <c r="K235" s="1478"/>
      <c r="L235" s="1478"/>
      <c r="M235" s="1478"/>
      <c r="N235" s="1478"/>
      <c r="O235" s="1478"/>
      <c r="P235" s="1478"/>
      <c r="Q235" s="1478"/>
    </row>
    <row r="236" spans="1:17">
      <c r="A236" s="1472" t="s">
        <v>816</v>
      </c>
      <c r="B236" s="1473"/>
      <c r="C236" s="1473"/>
      <c r="D236" s="1473"/>
      <c r="E236" s="1473"/>
      <c r="F236" s="1473"/>
      <c r="G236" s="1473"/>
      <c r="H236" s="1473"/>
      <c r="I236" s="1473"/>
      <c r="J236" s="1473"/>
      <c r="K236" s="1473"/>
      <c r="L236" s="1473"/>
      <c r="M236" s="1473"/>
      <c r="N236" s="1473"/>
      <c r="O236" s="1473"/>
      <c r="P236" s="1473"/>
      <c r="Q236" s="1473"/>
    </row>
    <row r="237" spans="1:17">
      <c r="A237" s="1474" t="s">
        <v>801</v>
      </c>
      <c r="B237" s="1476"/>
      <c r="C237" s="1476"/>
      <c r="D237" s="1476"/>
      <c r="E237" s="1476"/>
      <c r="F237" s="1476"/>
      <c r="G237" s="1475"/>
      <c r="H237" s="1476"/>
      <c r="I237" s="1476"/>
      <c r="J237" s="1476"/>
      <c r="K237" s="1476"/>
      <c r="L237" s="1476"/>
      <c r="M237" s="1476"/>
      <c r="N237" s="1476"/>
      <c r="O237" s="1476"/>
      <c r="P237" s="1476"/>
      <c r="Q237" s="1476"/>
    </row>
    <row r="238" spans="1:17">
      <c r="A238" s="1474" t="s">
        <v>802</v>
      </c>
      <c r="B238" s="1476"/>
      <c r="C238" s="1476"/>
      <c r="D238" s="1476"/>
      <c r="E238" s="1476"/>
      <c r="F238" s="1476"/>
      <c r="G238" s="1475"/>
      <c r="H238" s="1476"/>
      <c r="I238" s="1476"/>
      <c r="J238" s="1476"/>
      <c r="K238" s="1476"/>
      <c r="L238" s="1476"/>
      <c r="M238" s="1476"/>
      <c r="N238" s="1476"/>
      <c r="O238" s="1476"/>
      <c r="P238" s="1476"/>
      <c r="Q238" s="1476"/>
    </row>
    <row r="239" spans="1:17">
      <c r="A239" s="1474" t="s">
        <v>803</v>
      </c>
      <c r="B239" s="1476"/>
      <c r="C239" s="1476"/>
      <c r="D239" s="1476"/>
      <c r="E239" s="1476"/>
      <c r="F239" s="1476"/>
      <c r="G239" s="1476"/>
      <c r="H239" s="1476"/>
      <c r="I239" s="1476"/>
      <c r="J239" s="1476"/>
      <c r="K239" s="1476"/>
      <c r="L239" s="1476"/>
      <c r="M239" s="1476"/>
      <c r="N239" s="1476"/>
      <c r="O239" s="1476"/>
      <c r="P239" s="1476"/>
      <c r="Q239" s="1476"/>
    </row>
    <row r="240" spans="1:17">
      <c r="A240" s="1474" t="s">
        <v>804</v>
      </c>
      <c r="B240" s="1476"/>
      <c r="C240" s="1476"/>
      <c r="D240" s="1476"/>
      <c r="E240" s="1476"/>
      <c r="F240" s="1476"/>
      <c r="G240" s="1475"/>
      <c r="H240" s="1476"/>
      <c r="I240" s="1476"/>
      <c r="J240" s="1476"/>
      <c r="K240" s="1476"/>
      <c r="L240" s="1476"/>
      <c r="M240" s="1476"/>
      <c r="N240" s="1476"/>
      <c r="O240" s="1476"/>
      <c r="P240" s="1476"/>
      <c r="Q240" s="1476"/>
    </row>
    <row r="241" spans="1:17">
      <c r="A241" s="1474" t="s">
        <v>805</v>
      </c>
      <c r="B241" s="1476"/>
      <c r="C241" s="1476"/>
      <c r="D241" s="1476"/>
      <c r="E241" s="1476"/>
      <c r="F241" s="1476"/>
      <c r="G241" s="1476"/>
      <c r="H241" s="1476"/>
      <c r="I241" s="1476"/>
      <c r="J241" s="1476"/>
      <c r="K241" s="1476"/>
      <c r="L241" s="1476"/>
      <c r="M241" s="1476"/>
      <c r="N241" s="1476"/>
      <c r="O241" s="1476"/>
      <c r="P241" s="1476"/>
      <c r="Q241" s="1476"/>
    </row>
    <row r="242" spans="1:17" ht="13" thickBot="1">
      <c r="A242" s="1477" t="s">
        <v>806</v>
      </c>
      <c r="B242" s="1481"/>
      <c r="C242" s="1481"/>
      <c r="D242" s="1481"/>
      <c r="E242" s="1481"/>
      <c r="F242" s="1481"/>
      <c r="G242" s="1478"/>
      <c r="H242" s="1481"/>
      <c r="I242" s="1481"/>
      <c r="J242" s="1481"/>
      <c r="K242" s="1481"/>
      <c r="L242" s="1481"/>
      <c r="M242" s="1481"/>
      <c r="N242" s="1481"/>
      <c r="O242" s="1481"/>
      <c r="P242" s="1481"/>
      <c r="Q242" s="1481"/>
    </row>
    <row r="243" spans="1:17">
      <c r="A243" s="1472" t="s">
        <v>816</v>
      </c>
      <c r="B243" s="1473"/>
      <c r="C243" s="1473"/>
      <c r="D243" s="1473"/>
      <c r="E243" s="1473"/>
      <c r="F243" s="1473"/>
      <c r="G243" s="1473"/>
      <c r="H243" s="1473"/>
      <c r="I243" s="1473"/>
      <c r="J243" s="1473"/>
      <c r="K243" s="1473"/>
      <c r="L243" s="1473"/>
      <c r="M243" s="1473"/>
      <c r="N243" s="1473"/>
      <c r="O243" s="1473"/>
      <c r="P243" s="1473"/>
      <c r="Q243" s="1473"/>
    </row>
    <row r="244" spans="1:17">
      <c r="A244" s="1474" t="s">
        <v>801</v>
      </c>
      <c r="B244" s="1476"/>
      <c r="C244" s="1476"/>
      <c r="D244" s="1476"/>
      <c r="E244" s="1476"/>
      <c r="F244" s="1476"/>
      <c r="G244" s="1475"/>
      <c r="H244" s="1476"/>
      <c r="I244" s="1476"/>
      <c r="J244" s="1476"/>
      <c r="K244" s="1476"/>
      <c r="L244" s="1476"/>
      <c r="M244" s="1476"/>
      <c r="N244" s="1476"/>
      <c r="O244" s="1476"/>
      <c r="P244" s="1476"/>
      <c r="Q244" s="1476"/>
    </row>
    <row r="245" spans="1:17">
      <c r="A245" s="1474" t="s">
        <v>802</v>
      </c>
      <c r="B245" s="1476"/>
      <c r="C245" s="1476"/>
      <c r="D245" s="1476"/>
      <c r="E245" s="1476"/>
      <c r="F245" s="1476"/>
      <c r="G245" s="1475"/>
      <c r="H245" s="1476"/>
      <c r="I245" s="1476"/>
      <c r="J245" s="1476"/>
      <c r="K245" s="1476"/>
      <c r="L245" s="1476"/>
      <c r="M245" s="1476"/>
      <c r="N245" s="1476"/>
      <c r="O245" s="1476"/>
      <c r="P245" s="1476"/>
      <c r="Q245" s="1476"/>
    </row>
    <row r="246" spans="1:17">
      <c r="A246" s="1474" t="s">
        <v>803</v>
      </c>
      <c r="B246" s="1476"/>
      <c r="C246" s="1476"/>
      <c r="D246" s="1476"/>
      <c r="E246" s="1476"/>
      <c r="F246" s="1476"/>
      <c r="G246" s="1476"/>
      <c r="H246" s="1476"/>
      <c r="I246" s="1476"/>
      <c r="J246" s="1476"/>
      <c r="K246" s="1476"/>
      <c r="L246" s="1476"/>
      <c r="M246" s="1476"/>
      <c r="N246" s="1476"/>
      <c r="O246" s="1476"/>
      <c r="P246" s="1476"/>
      <c r="Q246" s="1476"/>
    </row>
    <row r="247" spans="1:17">
      <c r="A247" s="1474" t="s">
        <v>804</v>
      </c>
      <c r="B247" s="1476"/>
      <c r="C247" s="1476"/>
      <c r="D247" s="1476"/>
      <c r="E247" s="1476"/>
      <c r="F247" s="1476"/>
      <c r="G247" s="1475"/>
      <c r="H247" s="1476"/>
      <c r="I247" s="1476"/>
      <c r="J247" s="1476"/>
      <c r="K247" s="1476"/>
      <c r="L247" s="1476"/>
      <c r="M247" s="1476"/>
      <c r="N247" s="1476"/>
      <c r="O247" s="1476"/>
      <c r="P247" s="1476"/>
      <c r="Q247" s="1476"/>
    </row>
    <row r="248" spans="1:17">
      <c r="A248" s="1474" t="s">
        <v>805</v>
      </c>
      <c r="B248" s="1476"/>
      <c r="C248" s="1476"/>
      <c r="D248" s="1476"/>
      <c r="E248" s="1476"/>
      <c r="F248" s="1476"/>
      <c r="G248" s="1476"/>
      <c r="H248" s="1476"/>
      <c r="I248" s="1476"/>
      <c r="J248" s="1476"/>
      <c r="K248" s="1476"/>
      <c r="L248" s="1476"/>
      <c r="M248" s="1476"/>
      <c r="N248" s="1476"/>
      <c r="O248" s="1476"/>
      <c r="P248" s="1476"/>
      <c r="Q248" s="1476"/>
    </row>
    <row r="249" spans="1:17" ht="13" thickBot="1">
      <c r="A249" s="1477" t="s">
        <v>806</v>
      </c>
      <c r="B249" s="1481"/>
      <c r="C249" s="1481"/>
      <c r="D249" s="1481"/>
      <c r="E249" s="1481"/>
      <c r="F249" s="1481"/>
      <c r="G249" s="1478"/>
      <c r="H249" s="1481"/>
      <c r="I249" s="1481"/>
      <c r="J249" s="1481"/>
      <c r="K249" s="1481"/>
      <c r="L249" s="1481"/>
      <c r="M249" s="1481"/>
      <c r="N249" s="1481"/>
      <c r="O249" s="1481"/>
      <c r="P249" s="1481"/>
      <c r="Q249" s="1481"/>
    </row>
    <row r="250" spans="1:17">
      <c r="A250" s="1472" t="s">
        <v>816</v>
      </c>
      <c r="B250" s="1473"/>
      <c r="C250" s="1473"/>
      <c r="D250" s="1473"/>
      <c r="E250" s="1473"/>
      <c r="F250" s="1473"/>
      <c r="G250" s="1473"/>
      <c r="H250" s="1473"/>
      <c r="I250" s="1473"/>
      <c r="J250" s="1473"/>
      <c r="K250" s="1473"/>
      <c r="L250" s="1473"/>
      <c r="M250" s="1473"/>
      <c r="N250" s="1473"/>
      <c r="O250" s="1473"/>
      <c r="P250" s="1473"/>
      <c r="Q250" s="1473"/>
    </row>
    <row r="251" spans="1:17">
      <c r="A251" s="1474" t="s">
        <v>801</v>
      </c>
      <c r="B251" s="1476"/>
      <c r="C251" s="1476"/>
      <c r="D251" s="1476"/>
      <c r="E251" s="1476"/>
      <c r="F251" s="1476"/>
      <c r="G251" s="1475"/>
      <c r="H251" s="1476"/>
      <c r="I251" s="1475"/>
      <c r="J251" s="1475"/>
      <c r="K251" s="1475"/>
      <c r="L251" s="1475"/>
      <c r="M251" s="1475"/>
      <c r="N251" s="1475"/>
      <c r="O251" s="1475"/>
      <c r="P251" s="1475"/>
      <c r="Q251" s="1475"/>
    </row>
    <row r="252" spans="1:17">
      <c r="A252" s="1474" t="s">
        <v>802</v>
      </c>
      <c r="B252" s="1476"/>
      <c r="C252" s="1476"/>
      <c r="D252" s="1476"/>
      <c r="E252" s="1476"/>
      <c r="F252" s="1476"/>
      <c r="G252" s="1475"/>
      <c r="H252" s="1476"/>
      <c r="I252" s="1475"/>
      <c r="J252" s="1475"/>
      <c r="K252" s="1475"/>
      <c r="L252" s="1475"/>
      <c r="M252" s="1475"/>
      <c r="N252" s="1475"/>
      <c r="O252" s="1475"/>
      <c r="P252" s="1475"/>
      <c r="Q252" s="1475"/>
    </row>
    <row r="253" spans="1:17">
      <c r="A253" s="1474" t="s">
        <v>803</v>
      </c>
      <c r="B253" s="1476"/>
      <c r="C253" s="1476"/>
      <c r="D253" s="1476"/>
      <c r="E253" s="1476"/>
      <c r="F253" s="1476"/>
      <c r="G253" s="1476"/>
      <c r="H253" s="1476"/>
      <c r="I253" s="1476"/>
      <c r="J253" s="1476"/>
      <c r="K253" s="1476"/>
      <c r="L253" s="1476"/>
      <c r="M253" s="1476"/>
      <c r="N253" s="1476"/>
      <c r="O253" s="1476"/>
      <c r="P253" s="1476"/>
      <c r="Q253" s="1476"/>
    </row>
    <row r="254" spans="1:17">
      <c r="A254" s="1474" t="s">
        <v>804</v>
      </c>
      <c r="B254" s="1476"/>
      <c r="C254" s="1476"/>
      <c r="D254" s="1476"/>
      <c r="E254" s="1476"/>
      <c r="F254" s="1476"/>
      <c r="G254" s="1476"/>
      <c r="H254" s="1476"/>
      <c r="I254" s="1475"/>
      <c r="J254" s="1475"/>
      <c r="K254" s="1475"/>
      <c r="L254" s="1475"/>
      <c r="M254" s="1475"/>
      <c r="N254" s="1475"/>
      <c r="O254" s="1475"/>
      <c r="P254" s="1475"/>
      <c r="Q254" s="1475"/>
    </row>
    <row r="255" spans="1:17">
      <c r="A255" s="1474" t="s">
        <v>805</v>
      </c>
      <c r="B255" s="1476"/>
      <c r="C255" s="1476"/>
      <c r="D255" s="1476"/>
      <c r="E255" s="1476"/>
      <c r="F255" s="1476"/>
      <c r="G255" s="1476"/>
      <c r="H255" s="1476"/>
      <c r="I255" s="1476"/>
      <c r="J255" s="1476"/>
      <c r="K255" s="1476"/>
      <c r="L255" s="1476"/>
      <c r="M255" s="1476"/>
      <c r="N255" s="1476"/>
      <c r="O255" s="1476"/>
      <c r="P255" s="1476"/>
      <c r="Q255" s="1476"/>
    </row>
    <row r="256" spans="1:17" ht="13" thickBot="1">
      <c r="A256" s="1477" t="s">
        <v>806</v>
      </c>
      <c r="B256" s="1481"/>
      <c r="C256" s="1481"/>
      <c r="D256" s="1481"/>
      <c r="E256" s="1481"/>
      <c r="F256" s="1481"/>
      <c r="G256" s="1481"/>
      <c r="H256" s="1481"/>
      <c r="I256" s="1478"/>
      <c r="J256" s="1478"/>
      <c r="K256" s="1478"/>
      <c r="L256" s="1478"/>
      <c r="M256" s="1478"/>
      <c r="N256" s="1478"/>
      <c r="O256" s="1478"/>
      <c r="P256" s="1478"/>
      <c r="Q256" s="1478"/>
    </row>
    <row r="257" spans="1:17">
      <c r="A257" s="1483" t="s">
        <v>817</v>
      </c>
      <c r="B257" s="1484"/>
      <c r="C257" s="1484"/>
      <c r="D257" s="1484"/>
      <c r="E257" s="1484"/>
      <c r="F257" s="1484"/>
      <c r="G257" s="1484"/>
      <c r="H257" s="1484"/>
      <c r="I257" s="1484"/>
      <c r="J257" s="1484"/>
      <c r="K257" s="1484"/>
      <c r="L257" s="1484"/>
      <c r="M257" s="1484"/>
      <c r="N257" s="1484"/>
      <c r="O257" s="1484"/>
      <c r="P257" s="1484"/>
      <c r="Q257" s="1484"/>
    </row>
    <row r="258" spans="1:17">
      <c r="A258" s="1485" t="s">
        <v>818</v>
      </c>
      <c r="B258" s="1475" t="s">
        <v>813</v>
      </c>
      <c r="C258" s="1475" t="s">
        <v>813</v>
      </c>
      <c r="D258" s="1475" t="s">
        <v>819</v>
      </c>
      <c r="E258" s="1475" t="s">
        <v>813</v>
      </c>
      <c r="F258" s="1475" t="s">
        <v>813</v>
      </c>
      <c r="G258" s="1475" t="s">
        <v>819</v>
      </c>
      <c r="H258" s="1475" t="s">
        <v>813</v>
      </c>
      <c r="I258" s="1475" t="s">
        <v>813</v>
      </c>
      <c r="J258" s="1475" t="s">
        <v>813</v>
      </c>
      <c r="K258" s="1475"/>
      <c r="L258" s="1475"/>
      <c r="M258" s="1475"/>
      <c r="N258" s="1475"/>
      <c r="O258" s="1475"/>
      <c r="P258" s="1475"/>
      <c r="Q258" s="1475"/>
    </row>
    <row r="259" spans="1:17">
      <c r="A259" s="1485" t="s">
        <v>820</v>
      </c>
      <c r="B259" s="1475" t="s">
        <v>821</v>
      </c>
      <c r="C259" s="1475" t="s">
        <v>822</v>
      </c>
      <c r="D259" s="1476" t="s">
        <v>823</v>
      </c>
      <c r="E259" s="1475" t="s">
        <v>822</v>
      </c>
      <c r="F259" s="1476" t="s">
        <v>824</v>
      </c>
      <c r="G259" s="1475" t="s">
        <v>825</v>
      </c>
      <c r="H259" s="1475" t="s">
        <v>826</v>
      </c>
      <c r="I259" s="1475" t="s">
        <v>827</v>
      </c>
      <c r="J259" s="1475" t="s">
        <v>822</v>
      </c>
      <c r="K259" s="1475"/>
      <c r="L259" s="1475"/>
      <c r="M259" s="1475"/>
      <c r="N259" s="1475"/>
      <c r="O259" s="1475"/>
      <c r="P259" s="1475"/>
      <c r="Q259" s="1475"/>
    </row>
    <row r="260" spans="1:17">
      <c r="A260" s="1485" t="s">
        <v>828</v>
      </c>
      <c r="B260" s="1476" t="s">
        <v>829</v>
      </c>
      <c r="C260" s="1476" t="s">
        <v>830</v>
      </c>
      <c r="D260" s="1476" t="s">
        <v>830</v>
      </c>
      <c r="E260" s="1475" t="s">
        <v>831</v>
      </c>
      <c r="F260" s="1476" t="s">
        <v>832</v>
      </c>
      <c r="G260" s="1475" t="s">
        <v>833</v>
      </c>
      <c r="H260" s="1475" t="s">
        <v>834</v>
      </c>
      <c r="I260" s="1475" t="s">
        <v>834</v>
      </c>
      <c r="J260" s="1475" t="s">
        <v>834</v>
      </c>
      <c r="K260" s="1475"/>
      <c r="L260" s="1475"/>
      <c r="M260" s="1475"/>
      <c r="N260" s="1475"/>
      <c r="O260" s="1475"/>
      <c r="P260" s="1475"/>
      <c r="Q260" s="1475"/>
    </row>
    <row r="261" spans="1:17" ht="13" thickBot="1">
      <c r="A261" s="1486" t="s">
        <v>835</v>
      </c>
      <c r="B261" s="1481" t="s">
        <v>834</v>
      </c>
      <c r="C261" s="1481" t="s">
        <v>836</v>
      </c>
      <c r="D261" s="1481" t="s">
        <v>837</v>
      </c>
      <c r="E261" s="1478" t="s">
        <v>838</v>
      </c>
      <c r="F261" s="1481" t="s">
        <v>839</v>
      </c>
      <c r="G261" s="1478" t="s">
        <v>840</v>
      </c>
      <c r="H261" s="1478" t="s">
        <v>841</v>
      </c>
      <c r="I261" s="1481" t="s">
        <v>841</v>
      </c>
      <c r="J261" s="1481" t="s">
        <v>831</v>
      </c>
      <c r="K261" s="1481"/>
      <c r="L261" s="1481"/>
      <c r="M261" s="1481"/>
      <c r="N261" s="1481"/>
      <c r="O261" s="1481"/>
      <c r="P261" s="1481"/>
      <c r="Q261" s="1481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0" t="s">
        <v>799</v>
      </c>
      <c r="B2" s="1471"/>
      <c r="C2" s="1471"/>
      <c r="D2" s="1471"/>
      <c r="E2" s="1471"/>
      <c r="F2" s="1471"/>
      <c r="G2" s="1471"/>
      <c r="H2" s="1471"/>
      <c r="I2" s="1471"/>
      <c r="J2" s="1471"/>
      <c r="K2" s="1471"/>
    </row>
    <row r="3" spans="1:11" ht="13" thickBot="1">
      <c r="A3" s="1487" t="s">
        <v>842</v>
      </c>
      <c r="B3" s="1484"/>
      <c r="C3" s="1484"/>
      <c r="D3" s="1484"/>
      <c r="E3" s="1484"/>
      <c r="F3" s="1484"/>
      <c r="G3" s="1484"/>
      <c r="H3" s="1484"/>
      <c r="I3" s="1484"/>
      <c r="J3" s="1484"/>
      <c r="K3" s="1484"/>
    </row>
    <row r="4" spans="1:11">
      <c r="A4" s="1472" t="s">
        <v>843</v>
      </c>
      <c r="B4" s="1488"/>
      <c r="C4" s="1488"/>
      <c r="D4" s="1488"/>
      <c r="E4" s="1488"/>
      <c r="F4" s="1488"/>
      <c r="G4" s="1488"/>
      <c r="H4" s="1488"/>
      <c r="I4" s="1488"/>
      <c r="J4" s="1488"/>
      <c r="K4" s="1488"/>
    </row>
    <row r="5" spans="1:11">
      <c r="A5" s="1489" t="s">
        <v>844</v>
      </c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74" t="s">
        <v>845</v>
      </c>
      <c r="B6" s="1490"/>
      <c r="C6" s="1490"/>
      <c r="D6" s="1475"/>
      <c r="E6" s="1475"/>
      <c r="F6" s="1475"/>
      <c r="G6" s="1475"/>
      <c r="H6" s="1475"/>
      <c r="I6" s="1475"/>
      <c r="J6" s="1475"/>
      <c r="K6" s="1475"/>
    </row>
    <row r="7" spans="1:11">
      <c r="A7" s="1474" t="s">
        <v>846</v>
      </c>
      <c r="B7" s="1475"/>
      <c r="C7" s="1490"/>
      <c r="D7" s="1475"/>
      <c r="E7" s="1475"/>
      <c r="F7" s="1475"/>
      <c r="G7" s="1475"/>
      <c r="H7" s="1475"/>
      <c r="I7" s="1475"/>
      <c r="J7" s="1475"/>
      <c r="K7" s="1475"/>
    </row>
    <row r="8" spans="1:11" ht="13" thickBot="1">
      <c r="A8" s="1477" t="s">
        <v>847</v>
      </c>
      <c r="B8" s="1478"/>
      <c r="C8" s="1478"/>
      <c r="D8" s="1478"/>
      <c r="E8" s="1478"/>
      <c r="F8" s="1478"/>
      <c r="G8" s="1478"/>
      <c r="H8" s="1478"/>
      <c r="I8" s="1478"/>
      <c r="J8" s="1478"/>
      <c r="K8" s="1478"/>
    </row>
    <row r="9" spans="1:11">
      <c r="A9" s="1472" t="s">
        <v>848</v>
      </c>
      <c r="B9" s="1488"/>
      <c r="C9" s="1488"/>
      <c r="D9" s="1488"/>
      <c r="E9" s="1488"/>
      <c r="F9" s="1488"/>
      <c r="G9" s="1488"/>
      <c r="H9" s="1488"/>
      <c r="I9" s="1488"/>
      <c r="J9" s="1488"/>
      <c r="K9" s="1488"/>
    </row>
    <row r="10" spans="1:11">
      <c r="A10" s="1489" t="s">
        <v>844</v>
      </c>
      <c r="B10" s="1475"/>
      <c r="C10" s="1475"/>
      <c r="D10" s="1475"/>
      <c r="E10" s="1475"/>
      <c r="F10" s="1475"/>
      <c r="G10" s="1475"/>
      <c r="H10" s="1475"/>
      <c r="I10" s="1475"/>
      <c r="J10" s="1475"/>
      <c r="K10" s="1475"/>
    </row>
    <row r="11" spans="1:11">
      <c r="A11" s="1474" t="s">
        <v>849</v>
      </c>
      <c r="B11" s="1490"/>
      <c r="C11" s="1490"/>
      <c r="D11" s="1475"/>
      <c r="E11" s="1475"/>
      <c r="F11" s="1475"/>
      <c r="G11" s="1475"/>
      <c r="H11" s="1475"/>
      <c r="I11" s="1475"/>
      <c r="J11" s="1475"/>
      <c r="K11" s="1475"/>
    </row>
    <row r="12" spans="1:11">
      <c r="A12" s="1474" t="s">
        <v>850</v>
      </c>
      <c r="B12" s="1475"/>
      <c r="C12" s="1490"/>
      <c r="D12" s="1475"/>
      <c r="E12" s="1475"/>
      <c r="F12" s="1475"/>
      <c r="G12" s="1475"/>
      <c r="H12" s="1475"/>
      <c r="I12" s="1475"/>
      <c r="J12" s="1475"/>
      <c r="K12" s="1475"/>
    </row>
    <row r="13" spans="1:11" ht="13" thickBot="1">
      <c r="A13" s="1477" t="s">
        <v>847</v>
      </c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</row>
    <row r="14" spans="1:11">
      <c r="A14" s="1472" t="s">
        <v>851</v>
      </c>
      <c r="B14" s="1488"/>
      <c r="C14" s="1488"/>
      <c r="D14" s="1488"/>
      <c r="E14" s="1488"/>
      <c r="F14" s="1488"/>
      <c r="G14" s="1488"/>
      <c r="H14" s="1488"/>
      <c r="I14" s="1488"/>
      <c r="J14" s="1488"/>
      <c r="K14" s="1488"/>
    </row>
    <row r="15" spans="1:11">
      <c r="A15" s="1489" t="s">
        <v>844</v>
      </c>
      <c r="B15" s="1475"/>
      <c r="C15" s="1475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 t="s">
        <v>849</v>
      </c>
      <c r="B16" s="1490"/>
      <c r="C16" s="1490"/>
      <c r="D16" s="1475"/>
      <c r="E16" s="1475"/>
      <c r="F16" s="1475"/>
      <c r="G16" s="1475"/>
      <c r="H16" s="1475"/>
      <c r="I16" s="1475"/>
      <c r="J16" s="1475"/>
      <c r="K16" s="1475"/>
    </row>
    <row r="17" spans="1:11">
      <c r="A17" s="1474" t="s">
        <v>850</v>
      </c>
      <c r="B17" s="1475"/>
      <c r="C17" s="1490"/>
      <c r="D17" s="1475"/>
      <c r="E17" s="1475"/>
      <c r="F17" s="1475"/>
      <c r="G17" s="1475"/>
      <c r="H17" s="1475"/>
      <c r="I17" s="1475"/>
      <c r="J17" s="1475"/>
      <c r="K17" s="1475"/>
    </row>
    <row r="18" spans="1:11" ht="13" thickBot="1">
      <c r="A18" s="1477" t="s">
        <v>847</v>
      </c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>
      <c r="A19" s="1472" t="s">
        <v>852</v>
      </c>
      <c r="B19" s="1488"/>
      <c r="C19" s="1488"/>
      <c r="D19" s="1488"/>
      <c r="E19" s="1488"/>
      <c r="F19" s="1488"/>
      <c r="G19" s="1488"/>
      <c r="H19" s="1488"/>
      <c r="I19" s="1488"/>
      <c r="J19" s="1488"/>
      <c r="K19" s="1488"/>
    </row>
    <row r="20" spans="1:11">
      <c r="A20" s="1489" t="s">
        <v>844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74" t="s">
        <v>849</v>
      </c>
      <c r="B21" s="1490"/>
      <c r="C21" s="1490"/>
      <c r="D21" s="1475"/>
      <c r="E21" s="1475"/>
      <c r="F21" s="1475"/>
      <c r="G21" s="1475"/>
      <c r="H21" s="1475"/>
      <c r="I21" s="1475"/>
      <c r="J21" s="1475"/>
      <c r="K21" s="1475"/>
    </row>
    <row r="22" spans="1:11">
      <c r="A22" s="1474" t="s">
        <v>850</v>
      </c>
      <c r="B22" s="1475"/>
      <c r="C22" s="1490"/>
      <c r="D22" s="1475"/>
      <c r="E22" s="1475"/>
      <c r="F22" s="1475"/>
      <c r="G22" s="1475"/>
      <c r="H22" s="1475"/>
      <c r="I22" s="1475"/>
      <c r="J22" s="1475"/>
      <c r="K22" s="1475"/>
    </row>
    <row r="23" spans="1:11" ht="13" thickBot="1">
      <c r="A23" s="1477" t="s">
        <v>847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>
      <c r="A24" s="1472" t="s">
        <v>853</v>
      </c>
      <c r="B24" s="1488"/>
      <c r="C24" s="1488"/>
      <c r="D24" s="1488"/>
      <c r="E24" s="1488"/>
      <c r="F24" s="1488"/>
      <c r="G24" s="1488"/>
      <c r="H24" s="1488"/>
      <c r="I24" s="1488"/>
      <c r="J24" s="1488"/>
      <c r="K24" s="1488"/>
    </row>
    <row r="25" spans="1:11">
      <c r="A25" s="1489" t="s">
        <v>844</v>
      </c>
      <c r="B25" s="1475"/>
      <c r="C25" s="1475"/>
      <c r="D25" s="1475"/>
      <c r="E25" s="1475"/>
      <c r="F25" s="1475"/>
      <c r="G25" s="1475"/>
      <c r="H25" s="1475"/>
      <c r="I25" s="1475"/>
      <c r="J25" s="1475"/>
      <c r="K25" s="1475"/>
    </row>
    <row r="26" spans="1:11">
      <c r="A26" s="1474" t="s">
        <v>849</v>
      </c>
      <c r="B26" s="1490"/>
      <c r="C26" s="1490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850</v>
      </c>
      <c r="B27" s="1475"/>
      <c r="C27" s="1490"/>
      <c r="D27" s="1475"/>
      <c r="E27" s="1475"/>
      <c r="F27" s="1475"/>
      <c r="G27" s="1475"/>
      <c r="H27" s="1475"/>
      <c r="I27" s="1475"/>
      <c r="J27" s="1475"/>
      <c r="K27" s="1475"/>
    </row>
    <row r="28" spans="1:11" ht="13" thickBot="1">
      <c r="A28" s="1477" t="s">
        <v>847</v>
      </c>
      <c r="B28" s="1478"/>
      <c r="C28" s="1478"/>
      <c r="D28" s="1478"/>
      <c r="E28" s="1491"/>
      <c r="F28" s="1478"/>
      <c r="G28" s="1478"/>
      <c r="H28" s="1478"/>
      <c r="I28" s="1478"/>
      <c r="J28" s="1478"/>
      <c r="K28" s="1478"/>
    </row>
    <row r="29" spans="1:11">
      <c r="A29" s="1472" t="s">
        <v>854</v>
      </c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89" t="s">
        <v>844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>
      <c r="A31" s="1474" t="s">
        <v>849</v>
      </c>
      <c r="B31" s="1490"/>
      <c r="C31" s="1490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4" t="s">
        <v>850</v>
      </c>
      <c r="B32" s="1475"/>
      <c r="C32" s="1490"/>
      <c r="D32" s="1475"/>
      <c r="E32" s="1475"/>
      <c r="F32" s="1475"/>
      <c r="G32" s="1475"/>
      <c r="H32" s="1475"/>
      <c r="I32" s="1475"/>
      <c r="J32" s="1475"/>
      <c r="K32" s="1475"/>
    </row>
    <row r="33" spans="1:11" ht="13" thickBot="1">
      <c r="A33" s="1477" t="s">
        <v>847</v>
      </c>
      <c r="B33" s="1478"/>
      <c r="C33" s="1478"/>
      <c r="D33" s="1478"/>
      <c r="E33" s="1491"/>
      <c r="F33" s="1478"/>
      <c r="G33" s="1478"/>
      <c r="H33" s="1478"/>
      <c r="I33" s="1478"/>
      <c r="J33" s="1478"/>
      <c r="K33" s="1478"/>
    </row>
    <row r="34" spans="1:11">
      <c r="A34" s="1472" t="s">
        <v>855</v>
      </c>
      <c r="B34" s="1488"/>
      <c r="C34" s="1488"/>
      <c r="D34" s="1488"/>
      <c r="E34" s="1488"/>
      <c r="F34" s="1488"/>
      <c r="G34" s="1488"/>
      <c r="H34" s="1488"/>
      <c r="I34" s="1488"/>
      <c r="J34" s="1488"/>
      <c r="K34" s="1488"/>
    </row>
    <row r="35" spans="1:11">
      <c r="A35" s="1489" t="s">
        <v>844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4" t="s">
        <v>849</v>
      </c>
      <c r="B36" s="1490"/>
      <c r="C36" s="1490"/>
      <c r="D36" s="1475"/>
      <c r="E36" s="1475"/>
      <c r="F36" s="1475"/>
      <c r="G36" s="1475"/>
      <c r="H36" s="1475"/>
      <c r="I36" s="1492"/>
      <c r="J36" s="1475"/>
      <c r="K36" s="1475"/>
    </row>
    <row r="37" spans="1:11">
      <c r="A37" s="1474" t="s">
        <v>850</v>
      </c>
      <c r="B37" s="1475"/>
      <c r="C37" s="1490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7" t="s">
        <v>847</v>
      </c>
      <c r="B38" s="1478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2" t="s">
        <v>856</v>
      </c>
      <c r="B39" s="1488"/>
      <c r="C39" s="1488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89" t="s">
        <v>844</v>
      </c>
      <c r="B40" s="1475"/>
      <c r="C40" s="1475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849</v>
      </c>
      <c r="B41" s="1490"/>
      <c r="C41" s="1490"/>
      <c r="D41" s="1475"/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850</v>
      </c>
      <c r="B42" s="1475"/>
      <c r="C42" s="1490"/>
      <c r="D42" s="1475"/>
      <c r="E42" s="1475"/>
      <c r="F42" s="1475"/>
      <c r="G42" s="1475"/>
      <c r="H42" s="1475"/>
      <c r="I42" s="1475"/>
      <c r="J42" s="1475"/>
      <c r="K42" s="1475"/>
    </row>
    <row r="43" spans="1:11" ht="13" thickBot="1">
      <c r="A43" s="1477" t="s">
        <v>847</v>
      </c>
      <c r="B43" s="1478"/>
      <c r="C43" s="1478"/>
      <c r="D43" s="1478"/>
      <c r="E43" s="1478"/>
      <c r="F43" s="1478"/>
      <c r="G43" s="1478"/>
      <c r="H43" s="1478"/>
      <c r="I43" s="1478"/>
      <c r="J43" s="1478"/>
      <c r="K43" s="1478"/>
    </row>
    <row r="44" spans="1:11">
      <c r="A44" s="1472" t="s">
        <v>856</v>
      </c>
      <c r="B44" s="1488"/>
      <c r="C44" s="1488"/>
      <c r="D44" s="1488"/>
      <c r="E44" s="1488"/>
      <c r="F44" s="1488"/>
      <c r="G44" s="1488"/>
      <c r="H44" s="1488"/>
      <c r="I44" s="1488"/>
      <c r="J44" s="1488"/>
      <c r="K44" s="1488"/>
    </row>
    <row r="45" spans="1:11">
      <c r="A45" s="1489" t="s">
        <v>844</v>
      </c>
      <c r="B45" s="1475"/>
      <c r="C45" s="1475"/>
      <c r="D45" s="1475"/>
      <c r="E45" s="1475"/>
      <c r="F45" s="1475"/>
      <c r="G45" s="1475"/>
      <c r="H45" s="1475"/>
      <c r="I45" s="1475"/>
      <c r="J45" s="1475"/>
      <c r="K45" s="1475"/>
    </row>
    <row r="46" spans="1:11">
      <c r="A46" s="1474" t="s">
        <v>849</v>
      </c>
      <c r="B46" s="1490"/>
      <c r="C46" s="1490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74" t="s">
        <v>850</v>
      </c>
      <c r="B47" s="1475"/>
      <c r="C47" s="1490"/>
      <c r="D47" s="1475"/>
      <c r="E47" s="1475"/>
      <c r="F47" s="1475"/>
      <c r="G47" s="1475"/>
      <c r="H47" s="1475"/>
      <c r="I47" s="1475"/>
      <c r="J47" s="1475"/>
      <c r="K47" s="1475"/>
    </row>
    <row r="48" spans="1:11" ht="13" thickBot="1">
      <c r="A48" s="1477" t="s">
        <v>847</v>
      </c>
      <c r="B48" s="1478"/>
      <c r="C48" s="1478"/>
      <c r="D48" s="1478"/>
      <c r="E48" s="1478"/>
      <c r="F48" s="1478"/>
      <c r="G48" s="1478"/>
      <c r="H48" s="1478"/>
      <c r="I48" s="1478"/>
      <c r="J48" s="1478"/>
      <c r="K48" s="1478"/>
    </row>
    <row r="49" spans="1:11">
      <c r="A49" s="1472" t="s">
        <v>856</v>
      </c>
      <c r="B49" s="1488"/>
      <c r="C49" s="1488"/>
      <c r="D49" s="1488"/>
      <c r="E49" s="1488"/>
      <c r="F49" s="1488"/>
      <c r="G49" s="1488"/>
      <c r="H49" s="1488"/>
      <c r="I49" s="1488"/>
      <c r="J49" s="1488"/>
      <c r="K49" s="1488"/>
    </row>
    <row r="50" spans="1:11">
      <c r="A50" s="1489" t="s">
        <v>844</v>
      </c>
      <c r="B50" s="1475"/>
      <c r="C50" s="1475"/>
      <c r="D50" s="1475"/>
      <c r="E50" s="1475"/>
      <c r="F50" s="1475"/>
      <c r="G50" s="1475"/>
      <c r="H50" s="1475"/>
      <c r="I50" s="1475"/>
      <c r="J50" s="1475"/>
      <c r="K50" s="1475"/>
    </row>
    <row r="51" spans="1:11">
      <c r="A51" s="1474" t="s">
        <v>849</v>
      </c>
      <c r="B51" s="1490"/>
      <c r="C51" s="1490"/>
      <c r="D51" s="1475"/>
      <c r="E51" s="1475"/>
      <c r="F51" s="1475"/>
      <c r="G51" s="1475"/>
      <c r="H51" s="1475"/>
      <c r="I51" s="1475"/>
      <c r="J51" s="1475"/>
      <c r="K51" s="1475"/>
    </row>
    <row r="52" spans="1:11">
      <c r="A52" s="1474" t="s">
        <v>850</v>
      </c>
      <c r="B52" s="1475"/>
      <c r="C52" s="1490"/>
      <c r="D52" s="1475"/>
      <c r="E52" s="1475"/>
      <c r="F52" s="1475"/>
      <c r="G52" s="1475"/>
      <c r="H52" s="1475"/>
      <c r="I52" s="1475"/>
      <c r="J52" s="1475"/>
      <c r="K52" s="1475"/>
    </row>
    <row r="53" spans="1:11" ht="13" thickBot="1">
      <c r="A53" s="1477" t="s">
        <v>847</v>
      </c>
      <c r="B53" s="1478"/>
      <c r="C53" s="1478"/>
      <c r="D53" s="1478"/>
      <c r="E53" s="1478"/>
      <c r="F53" s="1478"/>
      <c r="G53" s="1478"/>
      <c r="H53" s="1478"/>
      <c r="I53" s="1478"/>
      <c r="J53" s="1478"/>
      <c r="K53" s="1478"/>
    </row>
    <row r="54" spans="1:11">
      <c r="A54" s="1472" t="s">
        <v>856</v>
      </c>
      <c r="B54" s="1488"/>
      <c r="C54" s="1488"/>
      <c r="D54" s="1488"/>
      <c r="E54" s="1488"/>
      <c r="F54" s="1488"/>
      <c r="G54" s="1488"/>
      <c r="H54" s="1488"/>
      <c r="I54" s="1488"/>
      <c r="J54" s="1488"/>
      <c r="K54" s="1488"/>
    </row>
    <row r="55" spans="1:11">
      <c r="A55" s="1489" t="s">
        <v>844</v>
      </c>
      <c r="B55" s="1475"/>
      <c r="C55" s="1475"/>
      <c r="D55" s="1475"/>
      <c r="E55" s="1475"/>
      <c r="F55" s="1475"/>
      <c r="G55" s="1475"/>
      <c r="H55" s="1475"/>
      <c r="I55" s="1475"/>
      <c r="J55" s="1475"/>
      <c r="K55" s="1475"/>
    </row>
    <row r="56" spans="1:11">
      <c r="A56" s="1474" t="s">
        <v>849</v>
      </c>
      <c r="B56" s="1490"/>
      <c r="C56" s="1490"/>
      <c r="D56" s="1475"/>
      <c r="E56" s="1475"/>
      <c r="F56" s="1475"/>
      <c r="G56" s="1475"/>
      <c r="H56" s="1475"/>
      <c r="I56" s="1475"/>
      <c r="J56" s="1475"/>
      <c r="K56" s="1475"/>
    </row>
    <row r="57" spans="1:11">
      <c r="A57" s="1474" t="s">
        <v>850</v>
      </c>
      <c r="B57" s="1475"/>
      <c r="C57" s="1490"/>
      <c r="D57" s="1475"/>
      <c r="E57" s="1475"/>
      <c r="F57" s="1475"/>
      <c r="G57" s="1475"/>
      <c r="H57" s="1475"/>
      <c r="I57" s="1475"/>
      <c r="J57" s="1475"/>
      <c r="K57" s="1475"/>
    </row>
    <row r="58" spans="1:11" ht="13" thickBot="1">
      <c r="A58" s="1477" t="s">
        <v>847</v>
      </c>
      <c r="B58" s="1478"/>
      <c r="C58" s="1478"/>
      <c r="D58" s="1478"/>
      <c r="E58" s="1478"/>
      <c r="F58" s="1478"/>
      <c r="G58" s="1478"/>
      <c r="H58" s="1478"/>
      <c r="I58" s="1478"/>
      <c r="J58" s="1478"/>
      <c r="K58" s="1478"/>
    </row>
    <row r="59" spans="1:11">
      <c r="A59" s="1472" t="s">
        <v>856</v>
      </c>
      <c r="B59" s="1488"/>
      <c r="C59" s="1488"/>
      <c r="D59" s="1488"/>
      <c r="E59" s="1488"/>
      <c r="F59" s="1488"/>
      <c r="G59" s="1488"/>
      <c r="H59" s="1488"/>
      <c r="I59" s="1488"/>
      <c r="J59" s="1488"/>
      <c r="K59" s="1488"/>
    </row>
    <row r="60" spans="1:11">
      <c r="A60" s="1489" t="s">
        <v>844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74" t="s">
        <v>849</v>
      </c>
      <c r="B61" s="1490"/>
      <c r="C61" s="1490"/>
      <c r="D61" s="1475"/>
      <c r="E61" s="1475"/>
      <c r="F61" s="1475"/>
      <c r="G61" s="1475"/>
      <c r="H61" s="1475"/>
      <c r="I61" s="1475"/>
      <c r="J61" s="1475"/>
      <c r="K61" s="1475"/>
    </row>
    <row r="62" spans="1:11">
      <c r="A62" s="1474" t="s">
        <v>850</v>
      </c>
      <c r="B62" s="1475"/>
      <c r="C62" s="1490"/>
      <c r="D62" s="1475"/>
      <c r="E62" s="1475"/>
      <c r="F62" s="1475"/>
      <c r="G62" s="1475"/>
      <c r="H62" s="1475"/>
      <c r="I62" s="1475"/>
      <c r="J62" s="1475"/>
      <c r="K62" s="1475"/>
    </row>
    <row r="63" spans="1:11" ht="13" thickBot="1">
      <c r="A63" s="1477" t="s">
        <v>847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</row>
    <row r="64" spans="1:11">
      <c r="A64" s="1472" t="s">
        <v>856</v>
      </c>
      <c r="B64" s="1488"/>
      <c r="C64" s="1488"/>
      <c r="D64" s="1488"/>
      <c r="E64" s="1488"/>
      <c r="F64" s="1488"/>
      <c r="G64" s="1488"/>
      <c r="H64" s="1488"/>
      <c r="I64" s="1488"/>
      <c r="J64" s="1488"/>
      <c r="K64" s="1488"/>
    </row>
    <row r="65" spans="1:11">
      <c r="A65" s="1489" t="s">
        <v>844</v>
      </c>
      <c r="B65" s="1475"/>
      <c r="C65" s="1475"/>
      <c r="D65" s="1475"/>
      <c r="E65" s="1475"/>
      <c r="F65" s="1475"/>
      <c r="G65" s="1475"/>
      <c r="H65" s="1475"/>
      <c r="I65" s="1475"/>
      <c r="J65" s="1475"/>
      <c r="K65" s="1475"/>
    </row>
    <row r="66" spans="1:11">
      <c r="A66" s="1474" t="s">
        <v>849</v>
      </c>
      <c r="B66" s="1490"/>
      <c r="C66" s="1490"/>
      <c r="D66" s="1475"/>
      <c r="E66" s="1475"/>
      <c r="F66" s="1475"/>
      <c r="G66" s="1475"/>
      <c r="H66" s="1475"/>
      <c r="I66" s="1475"/>
      <c r="J66" s="1475"/>
      <c r="K66" s="1475"/>
    </row>
    <row r="67" spans="1:11">
      <c r="A67" s="1474" t="s">
        <v>850</v>
      </c>
      <c r="B67" s="1475"/>
      <c r="C67" s="1490"/>
      <c r="D67" s="1475"/>
      <c r="E67" s="1475"/>
      <c r="F67" s="1475"/>
      <c r="G67" s="1475"/>
      <c r="H67" s="1475"/>
      <c r="I67" s="1475"/>
      <c r="J67" s="1475"/>
      <c r="K67" s="1475"/>
    </row>
    <row r="68" spans="1:11" ht="13" thickBot="1">
      <c r="A68" s="1477" t="s">
        <v>847</v>
      </c>
      <c r="B68" s="1478"/>
      <c r="C68" s="1478"/>
      <c r="D68" s="1478"/>
      <c r="E68" s="1478"/>
      <c r="F68" s="1478"/>
      <c r="G68" s="1478"/>
      <c r="H68" s="1478"/>
      <c r="I68" s="1478"/>
      <c r="J68" s="1478"/>
      <c r="K68" s="1478"/>
    </row>
    <row r="69" spans="1:11">
      <c r="A69" s="1472" t="s">
        <v>856</v>
      </c>
      <c r="B69" s="1488"/>
      <c r="C69" s="1488"/>
      <c r="D69" s="1488"/>
      <c r="E69" s="1488"/>
      <c r="F69" s="1488"/>
      <c r="G69" s="1488"/>
      <c r="H69" s="1488"/>
      <c r="I69" s="1488"/>
      <c r="J69" s="1488"/>
      <c r="K69" s="1488"/>
    </row>
    <row r="70" spans="1:11">
      <c r="A70" s="1489" t="s">
        <v>844</v>
      </c>
      <c r="B70" s="1475"/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4" t="s">
        <v>849</v>
      </c>
      <c r="B71" s="1490"/>
      <c r="C71" s="1490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850</v>
      </c>
      <c r="B72" s="1475"/>
      <c r="C72" s="1490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7" t="s">
        <v>847</v>
      </c>
      <c r="B73" s="1478"/>
      <c r="C73" s="1478"/>
      <c r="D73" s="1478"/>
      <c r="E73" s="1478"/>
      <c r="F73" s="1478"/>
      <c r="G73" s="1478"/>
      <c r="H73" s="1478"/>
      <c r="I73" s="1478"/>
      <c r="J73" s="1478"/>
      <c r="K73" s="1478"/>
    </row>
    <row r="74" spans="1:11" ht="13" thickBot="1">
      <c r="A74" s="1493" t="s">
        <v>857</v>
      </c>
      <c r="B74" s="1494"/>
      <c r="C74" s="1494"/>
      <c r="D74" s="1494"/>
      <c r="E74" s="1494"/>
      <c r="F74" s="1494"/>
      <c r="G74" s="1494"/>
      <c r="H74" s="1494"/>
      <c r="I74" s="1494"/>
      <c r="J74" s="1494"/>
      <c r="K74" s="1494"/>
    </row>
    <row r="75" spans="1:11" ht="13" thickBot="1">
      <c r="A75" s="1487" t="s">
        <v>858</v>
      </c>
      <c r="B75" s="1488"/>
      <c r="C75" s="1488"/>
      <c r="D75" s="1488"/>
      <c r="E75" s="1488"/>
      <c r="F75" s="1488"/>
      <c r="G75" s="1488"/>
      <c r="H75" s="1488"/>
      <c r="I75" s="1488"/>
      <c r="J75" s="1488"/>
      <c r="K75" s="1488"/>
    </row>
    <row r="76" spans="1:11">
      <c r="A76" s="1483" t="s">
        <v>859</v>
      </c>
      <c r="B76" s="1488"/>
      <c r="C76" s="1488"/>
      <c r="D76" s="1488"/>
      <c r="E76" s="1488"/>
      <c r="F76" s="1488"/>
      <c r="G76" s="1488"/>
      <c r="H76" s="1488"/>
      <c r="I76" s="1488"/>
      <c r="J76" s="1488"/>
      <c r="K76" s="1488"/>
    </row>
    <row r="77" spans="1:11">
      <c r="A77" s="1485" t="s">
        <v>860</v>
      </c>
      <c r="B77" s="1475"/>
      <c r="C77" s="1475"/>
      <c r="D77" s="1475"/>
      <c r="E77" s="1475"/>
      <c r="F77" s="1475"/>
      <c r="G77" s="1475"/>
      <c r="H77" s="1475"/>
      <c r="I77" s="1475"/>
      <c r="J77" s="1475"/>
      <c r="K77" s="1475"/>
    </row>
    <row r="78" spans="1:11">
      <c r="A78" s="1485" t="s">
        <v>861</v>
      </c>
      <c r="B78" s="1475"/>
      <c r="C78" s="1475"/>
      <c r="D78" s="1475"/>
      <c r="E78" s="1475"/>
      <c r="F78" s="1475"/>
      <c r="G78" s="1475"/>
      <c r="H78" s="1475"/>
      <c r="I78" s="1475"/>
      <c r="J78" s="1475"/>
      <c r="K78" s="1475"/>
    </row>
    <row r="79" spans="1:11">
      <c r="A79" s="1485" t="s">
        <v>862</v>
      </c>
      <c r="B79" s="1475"/>
      <c r="C79" s="1475"/>
      <c r="D79" s="1475"/>
      <c r="E79" s="1475"/>
      <c r="F79" s="1475"/>
      <c r="G79" s="1495"/>
      <c r="H79" s="1496"/>
      <c r="I79" s="1475"/>
      <c r="J79" s="1475"/>
      <c r="K79" s="1475"/>
    </row>
    <row r="80" spans="1:11">
      <c r="A80" s="1485" t="s">
        <v>863</v>
      </c>
      <c r="B80" s="1475"/>
      <c r="C80" s="1475"/>
      <c r="D80" s="1475"/>
      <c r="E80" s="1475"/>
      <c r="F80" s="1475"/>
      <c r="G80" s="1475"/>
      <c r="H80" s="1475"/>
      <c r="I80" s="1475"/>
      <c r="J80" s="1475"/>
      <c r="K80" s="1475"/>
    </row>
    <row r="81" spans="1:11">
      <c r="A81" s="1485" t="s">
        <v>864</v>
      </c>
      <c r="B81" s="1475"/>
      <c r="C81" s="1475"/>
      <c r="D81" s="1475"/>
      <c r="E81" s="1475"/>
      <c r="F81" s="1475"/>
      <c r="G81" s="1495"/>
      <c r="H81" s="1495"/>
      <c r="I81" s="1475"/>
      <c r="J81" s="1475"/>
      <c r="K81" s="1475"/>
    </row>
    <row r="82" spans="1:11" ht="13" thickBot="1">
      <c r="A82" s="1486" t="s">
        <v>865</v>
      </c>
      <c r="B82" s="1478"/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83" t="s">
        <v>866</v>
      </c>
      <c r="B83" s="1488"/>
      <c r="C83" s="1488"/>
      <c r="D83" s="1488"/>
      <c r="E83" s="1488"/>
      <c r="F83" s="1488"/>
      <c r="G83" s="1488"/>
      <c r="H83" s="1488"/>
      <c r="I83" s="1488"/>
      <c r="J83" s="1488"/>
      <c r="K83" s="1488"/>
    </row>
    <row r="84" spans="1:11">
      <c r="A84" s="1485" t="s">
        <v>860</v>
      </c>
      <c r="B84" s="1475"/>
      <c r="C84" s="1475"/>
      <c r="D84" s="1475"/>
      <c r="E84" s="1475"/>
      <c r="F84" s="1475"/>
      <c r="G84" s="1475"/>
      <c r="H84" s="1475"/>
      <c r="I84" s="1475"/>
      <c r="J84" s="1475"/>
      <c r="K84" s="1475"/>
    </row>
    <row r="85" spans="1:11">
      <c r="A85" s="1485" t="s">
        <v>861</v>
      </c>
      <c r="B85" s="1475"/>
      <c r="C85" s="1475"/>
      <c r="D85" s="1475"/>
      <c r="E85" s="1475"/>
      <c r="F85" s="1475"/>
      <c r="G85" s="1475"/>
      <c r="H85" s="1475"/>
      <c r="I85" s="1475"/>
      <c r="J85" s="1475"/>
      <c r="K85" s="1475"/>
    </row>
    <row r="86" spans="1:11">
      <c r="A86" s="1485" t="s">
        <v>862</v>
      </c>
      <c r="B86" s="1475"/>
      <c r="C86" s="1475"/>
      <c r="D86" s="1475"/>
      <c r="E86" s="1475"/>
      <c r="F86" s="1475"/>
      <c r="G86" s="1495"/>
      <c r="H86" s="1496"/>
      <c r="I86" s="1475"/>
      <c r="J86" s="1475"/>
      <c r="K86" s="1475"/>
    </row>
    <row r="87" spans="1:11">
      <c r="A87" s="1485" t="s">
        <v>863</v>
      </c>
      <c r="B87" s="1475"/>
      <c r="C87" s="1475"/>
      <c r="D87" s="1475"/>
      <c r="E87" s="1475"/>
      <c r="F87" s="1475"/>
      <c r="G87" s="1475"/>
      <c r="H87" s="1475"/>
      <c r="I87" s="1475"/>
      <c r="J87" s="1475"/>
      <c r="K87" s="1475"/>
    </row>
    <row r="88" spans="1:11">
      <c r="A88" s="1485" t="s">
        <v>864</v>
      </c>
      <c r="B88" s="1475"/>
      <c r="C88" s="1475"/>
      <c r="D88" s="1475"/>
      <c r="E88" s="1475"/>
      <c r="F88" s="1475"/>
      <c r="G88" s="1495"/>
      <c r="H88" s="1495"/>
      <c r="I88" s="1475"/>
      <c r="J88" s="1475"/>
      <c r="K88" s="1475"/>
    </row>
    <row r="89" spans="1:11" ht="13" thickBot="1">
      <c r="A89" s="1486" t="s">
        <v>865</v>
      </c>
      <c r="B89" s="1478"/>
      <c r="C89" s="1478"/>
      <c r="D89" s="1478"/>
      <c r="E89" s="1478"/>
      <c r="F89" s="1478"/>
      <c r="G89" s="1478"/>
      <c r="H89" s="1478"/>
      <c r="I89" s="1478"/>
      <c r="J89" s="1478"/>
      <c r="K89" s="1478"/>
    </row>
    <row r="90" spans="1:11">
      <c r="A90" s="1483" t="s">
        <v>867</v>
      </c>
      <c r="B90" s="1488"/>
      <c r="C90" s="1488"/>
      <c r="D90" s="1488"/>
      <c r="E90" s="1488"/>
      <c r="F90" s="1488"/>
      <c r="G90" s="1488"/>
      <c r="H90" s="1488"/>
      <c r="I90" s="1488"/>
      <c r="J90" s="1488"/>
      <c r="K90" s="1488"/>
    </row>
    <row r="91" spans="1:11">
      <c r="A91" s="1485" t="s">
        <v>860</v>
      </c>
      <c r="B91" s="1475"/>
      <c r="C91" s="1475"/>
      <c r="D91" s="1475"/>
      <c r="E91" s="1475"/>
      <c r="F91" s="1475"/>
      <c r="G91" s="1475"/>
      <c r="H91" s="1475"/>
      <c r="I91" s="1475"/>
      <c r="J91" s="1475"/>
      <c r="K91" s="1475"/>
    </row>
    <row r="92" spans="1:11">
      <c r="A92" s="1485" t="s">
        <v>861</v>
      </c>
      <c r="B92" s="1475"/>
      <c r="C92" s="1475"/>
      <c r="D92" s="1475"/>
      <c r="E92" s="1475"/>
      <c r="F92" s="1475"/>
      <c r="G92" s="1475"/>
      <c r="H92" s="1475"/>
      <c r="I92" s="1475"/>
      <c r="J92" s="1475"/>
      <c r="K92" s="1475"/>
    </row>
    <row r="93" spans="1:11">
      <c r="A93" s="1485" t="s">
        <v>862</v>
      </c>
      <c r="B93" s="1475"/>
      <c r="C93" s="1475"/>
      <c r="D93" s="1475"/>
      <c r="E93" s="1475"/>
      <c r="F93" s="1475"/>
      <c r="G93" s="1495"/>
      <c r="H93" s="1475"/>
      <c r="I93" s="1475"/>
      <c r="J93" s="1475"/>
      <c r="K93" s="1475"/>
    </row>
    <row r="94" spans="1:11">
      <c r="A94" s="1485" t="s">
        <v>863</v>
      </c>
      <c r="B94" s="1475"/>
      <c r="C94" s="1475"/>
      <c r="D94" s="1475"/>
      <c r="E94" s="1475"/>
      <c r="F94" s="1475"/>
      <c r="G94" s="1475"/>
      <c r="H94" s="1475"/>
      <c r="I94" s="1475"/>
      <c r="J94" s="1475"/>
      <c r="K94" s="1475"/>
    </row>
    <row r="95" spans="1:11">
      <c r="A95" s="1485" t="s">
        <v>864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 ht="13" thickBot="1">
      <c r="A96" s="1486" t="s">
        <v>865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</row>
    <row r="97" spans="1:11">
      <c r="A97" s="1483" t="s">
        <v>868</v>
      </c>
      <c r="B97" s="1488"/>
      <c r="C97" s="1488"/>
      <c r="D97" s="1488"/>
      <c r="E97" s="1488"/>
      <c r="F97" s="1488"/>
      <c r="G97" s="1488"/>
      <c r="H97" s="1488"/>
      <c r="I97" s="1488"/>
      <c r="J97" s="1488"/>
      <c r="K97" s="1488"/>
    </row>
    <row r="98" spans="1:11">
      <c r="A98" s="1485" t="s">
        <v>860</v>
      </c>
      <c r="B98" s="1475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85" t="s">
        <v>861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85" t="s">
        <v>862</v>
      </c>
      <c r="B100" s="1475"/>
      <c r="C100" s="1475"/>
      <c r="D100" s="1475"/>
      <c r="E100" s="1475"/>
      <c r="F100" s="1475"/>
      <c r="G100" s="1495"/>
      <c r="H100" s="1475"/>
      <c r="I100" s="1475"/>
      <c r="J100" s="1475"/>
      <c r="K100" s="1475"/>
    </row>
    <row r="101" spans="1:11">
      <c r="A101" s="1485" t="s">
        <v>863</v>
      </c>
      <c r="B101" s="1475"/>
      <c r="C101" s="1475"/>
      <c r="D101" s="1475"/>
      <c r="E101" s="1475"/>
      <c r="F101" s="1475"/>
      <c r="G101" s="1475"/>
      <c r="H101" s="1475"/>
      <c r="I101" s="1475"/>
      <c r="J101" s="1475"/>
      <c r="K101" s="1475"/>
    </row>
    <row r="102" spans="1:11">
      <c r="A102" s="1485" t="s">
        <v>864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 ht="13" thickBot="1">
      <c r="A103" s="1486" t="s">
        <v>865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</row>
    <row r="104" spans="1:11">
      <c r="A104" s="1483" t="s">
        <v>869</v>
      </c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</row>
    <row r="105" spans="1:11">
      <c r="A105" s="1485" t="s">
        <v>870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85" t="s">
        <v>871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 ht="13" thickBot="1">
      <c r="A107" s="1486" t="s">
        <v>865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>
      <c r="A108" s="1483" t="s">
        <v>872</v>
      </c>
      <c r="B108" s="1488"/>
      <c r="C108" s="1488"/>
      <c r="D108" s="1488"/>
      <c r="E108" s="1488"/>
      <c r="F108" s="1488"/>
      <c r="G108" s="1488"/>
      <c r="H108" s="1488"/>
      <c r="I108" s="1488"/>
      <c r="J108" s="1488"/>
      <c r="K108" s="1488"/>
    </row>
    <row r="109" spans="1:11">
      <c r="A109" s="1485" t="s">
        <v>870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85" t="s">
        <v>871</v>
      </c>
      <c r="B110" s="1475"/>
      <c r="C110" s="1475"/>
      <c r="D110" s="1475"/>
      <c r="E110" s="1475"/>
      <c r="F110" s="1475"/>
      <c r="G110" s="1475"/>
      <c r="H110" s="1475"/>
      <c r="I110" s="1475"/>
      <c r="J110" s="1475"/>
      <c r="K110" s="1475"/>
    </row>
    <row r="111" spans="1:11" ht="13" thickBot="1">
      <c r="A111" s="1486" t="s">
        <v>865</v>
      </c>
      <c r="B111" s="1475"/>
      <c r="C111" s="1475"/>
      <c r="D111" s="1475"/>
      <c r="E111" s="1475"/>
      <c r="F111" s="1475"/>
      <c r="G111" s="1475"/>
      <c r="H111" s="1475"/>
      <c r="I111" s="1475"/>
      <c r="J111" s="1475"/>
      <c r="K111" s="1475"/>
    </row>
    <row r="112" spans="1:11">
      <c r="A112" s="1483" t="s">
        <v>873</v>
      </c>
      <c r="B112" s="1488"/>
      <c r="C112" s="1488"/>
      <c r="D112" s="1488"/>
      <c r="E112" s="1488"/>
      <c r="F112" s="1488"/>
      <c r="G112" s="1488"/>
      <c r="H112" s="1488"/>
      <c r="I112" s="1488"/>
      <c r="J112" s="1488"/>
      <c r="K112" s="1488"/>
    </row>
    <row r="113" spans="1:11">
      <c r="A113" s="1485" t="s">
        <v>870</v>
      </c>
      <c r="B113" s="1475"/>
      <c r="C113" s="1475"/>
      <c r="D113" s="1475"/>
      <c r="E113" s="1475"/>
      <c r="F113" s="1475"/>
      <c r="G113" s="1475"/>
      <c r="H113" s="1475"/>
      <c r="I113" s="1475"/>
      <c r="J113" s="1475"/>
      <c r="K113" s="1475"/>
    </row>
    <row r="114" spans="1:11">
      <c r="A114" s="1485" t="s">
        <v>871</v>
      </c>
      <c r="B114" s="1475"/>
      <c r="C114" s="1475"/>
      <c r="D114" s="1475"/>
      <c r="E114" s="1475"/>
      <c r="F114" s="1475"/>
      <c r="G114" s="1475"/>
      <c r="H114" s="1475"/>
      <c r="I114" s="1475"/>
      <c r="J114" s="1475"/>
      <c r="K114" s="1475"/>
    </row>
    <row r="115" spans="1:11" ht="13" thickBot="1">
      <c r="A115" s="1486" t="s">
        <v>865</v>
      </c>
      <c r="B115" s="1475"/>
      <c r="C115" s="1475"/>
      <c r="D115" s="1475"/>
      <c r="E115" s="1475"/>
      <c r="F115" s="1475"/>
      <c r="G115" s="1475"/>
      <c r="H115" s="1475"/>
      <c r="I115" s="1475"/>
      <c r="J115" s="1475"/>
      <c r="K115" s="1475"/>
    </row>
    <row r="116" spans="1:11">
      <c r="A116" s="1483" t="s">
        <v>874</v>
      </c>
      <c r="B116" s="1488"/>
      <c r="C116" s="1488"/>
      <c r="D116" s="1488"/>
      <c r="E116" s="1488"/>
      <c r="F116" s="1488"/>
      <c r="G116" s="1488"/>
      <c r="H116" s="1488"/>
      <c r="I116" s="1488"/>
      <c r="J116" s="1488"/>
      <c r="K116" s="1488"/>
    </row>
    <row r="117" spans="1:11">
      <c r="A117" s="1485" t="s">
        <v>870</v>
      </c>
      <c r="B117" s="1475"/>
      <c r="C117" s="1475"/>
      <c r="D117" s="1475"/>
      <c r="E117" s="1475"/>
      <c r="F117" s="1475"/>
      <c r="G117" s="1475"/>
      <c r="H117" s="1475"/>
      <c r="I117" s="1475"/>
      <c r="J117" s="1475"/>
      <c r="K117" s="1475"/>
    </row>
    <row r="118" spans="1:11">
      <c r="A118" s="1485" t="s">
        <v>871</v>
      </c>
      <c r="B118" s="1475"/>
      <c r="C118" s="1475"/>
      <c r="D118" s="1475"/>
      <c r="E118" s="1475"/>
      <c r="F118" s="1475"/>
      <c r="G118" s="1475"/>
      <c r="H118" s="1475"/>
      <c r="I118" s="1475"/>
      <c r="J118" s="1475"/>
      <c r="K118" s="1475"/>
    </row>
    <row r="119" spans="1:11" ht="13" thickBot="1">
      <c r="A119" s="1486" t="s">
        <v>865</v>
      </c>
      <c r="B119" s="1475"/>
      <c r="C119" s="1475"/>
      <c r="D119" s="1475"/>
      <c r="E119" s="1475"/>
      <c r="F119" s="1475"/>
      <c r="G119" s="1475"/>
      <c r="H119" s="1475"/>
      <c r="I119" s="1475"/>
      <c r="J119" s="1475"/>
      <c r="K119" s="147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497" t="s">
        <v>875</v>
      </c>
      <c r="B2" s="1467"/>
      <c r="C2" s="1467"/>
      <c r="D2" s="1467"/>
      <c r="E2" s="1467"/>
      <c r="F2" s="1467"/>
      <c r="G2" s="1467"/>
      <c r="H2" s="1467"/>
      <c r="I2" s="1467"/>
      <c r="J2" s="1467"/>
      <c r="K2" s="1467"/>
      <c r="L2" s="1416"/>
      <c r="M2" s="1416"/>
    </row>
    <row r="3" spans="1:13" ht="15">
      <c r="A3" s="1497"/>
      <c r="B3" s="1467"/>
      <c r="C3" s="1467"/>
      <c r="D3" s="1467"/>
      <c r="E3" s="1467"/>
      <c r="F3" s="1467"/>
      <c r="G3" s="1467"/>
      <c r="H3" s="1467"/>
      <c r="I3" s="1467"/>
      <c r="J3" s="1467"/>
      <c r="K3" s="1467"/>
      <c r="L3" s="1416"/>
      <c r="M3" s="1416"/>
    </row>
    <row r="4" spans="1:13" ht="13" thickBot="1">
      <c r="A4" s="1498"/>
      <c r="B4" s="1466" t="s">
        <v>876</v>
      </c>
      <c r="C4" s="1466"/>
      <c r="D4" s="1466"/>
      <c r="E4" s="1466"/>
      <c r="F4" s="1466"/>
      <c r="G4" s="1466"/>
      <c r="H4" s="1467"/>
      <c r="I4" s="1467"/>
      <c r="J4" s="1467"/>
      <c r="K4" s="1467"/>
      <c r="L4" s="1416"/>
      <c r="M4" s="1416"/>
    </row>
    <row r="5" spans="1:13" ht="13" thickBot="1">
      <c r="A5" s="1499" t="s">
        <v>877</v>
      </c>
      <c r="B5" s="1471">
        <f>IF(WB!C6="","",WB!C6)</f>
        <v>1</v>
      </c>
      <c r="C5" s="1471">
        <f>IF(WB!D6="","",WB!D6)</f>
        <v>2</v>
      </c>
      <c r="D5" s="1471">
        <f>IF(WB!E6="","",WB!E6)</f>
        <v>3</v>
      </c>
      <c r="E5" s="1471">
        <f>IF(WB!F6="","",WB!F6)</f>
        <v>4</v>
      </c>
      <c r="F5" s="1471">
        <f>IF(WB!G6="","",WB!G6)</f>
        <v>5</v>
      </c>
      <c r="G5" s="1471">
        <f>IF(WB!H6="","",WB!H6)</f>
        <v>6</v>
      </c>
      <c r="H5" s="1471">
        <f>IF(WB!I6="","",WB!I6)</f>
        <v>7</v>
      </c>
      <c r="I5" s="1471">
        <f>IF(WB!J6="","",WB!J6)</f>
        <v>8</v>
      </c>
      <c r="J5" s="1471">
        <f>IF(WB!K6="","",WB!K6)</f>
        <v>9</v>
      </c>
      <c r="K5" s="1471">
        <f>IF(WB!L6="","",WB!L6)</f>
        <v>10</v>
      </c>
      <c r="L5" s="1416"/>
      <c r="M5" s="1500" t="s">
        <v>878</v>
      </c>
    </row>
    <row r="6" spans="1:13">
      <c r="A6" s="1501">
        <v>2015</v>
      </c>
      <c r="B6" s="1502"/>
      <c r="C6" s="1502"/>
      <c r="D6" s="1502"/>
      <c r="E6" s="1502"/>
      <c r="F6" s="1502"/>
      <c r="G6" s="1502"/>
      <c r="H6" s="1502"/>
      <c r="I6" s="1502"/>
      <c r="J6" s="1502"/>
      <c r="K6" s="1502"/>
      <c r="L6" s="1416"/>
      <c r="M6" s="1503" t="e">
        <f t="shared" ref="M6:M11" si="0">AVERAGE(B6:K6)</f>
        <v>#DIV/0!</v>
      </c>
    </row>
    <row r="7" spans="1:13">
      <c r="A7" s="1504">
        <v>2014</v>
      </c>
      <c r="B7" s="1505"/>
      <c r="C7" s="1505"/>
      <c r="D7" s="1505"/>
      <c r="E7" s="1505"/>
      <c r="F7" s="1505"/>
      <c r="G7" s="1505"/>
      <c r="H7" s="1505"/>
      <c r="I7" s="1505"/>
      <c r="J7" s="1505"/>
      <c r="K7" s="1505"/>
      <c r="L7" s="1416"/>
      <c r="M7" s="1503" t="e">
        <f t="shared" si="0"/>
        <v>#DIV/0!</v>
      </c>
    </row>
    <row r="8" spans="1:13">
      <c r="A8" s="1504">
        <v>2013</v>
      </c>
      <c r="B8" s="1505"/>
      <c r="C8" s="1505"/>
      <c r="D8" s="1505"/>
      <c r="E8" s="1505"/>
      <c r="F8" s="1505"/>
      <c r="G8" s="1505"/>
      <c r="H8" s="1505"/>
      <c r="I8" s="1505"/>
      <c r="J8" s="1505"/>
      <c r="K8" s="1505"/>
      <c r="L8" s="1416"/>
      <c r="M8" s="1503" t="e">
        <f t="shared" si="0"/>
        <v>#DIV/0!</v>
      </c>
    </row>
    <row r="9" spans="1:13">
      <c r="A9" s="1504">
        <v>2012</v>
      </c>
      <c r="B9" s="1505"/>
      <c r="C9" s="1505"/>
      <c r="D9" s="1505"/>
      <c r="E9" s="1505"/>
      <c r="F9" s="1505"/>
      <c r="G9" s="1505"/>
      <c r="H9" s="1505"/>
      <c r="I9" s="1505"/>
      <c r="J9" s="1505"/>
      <c r="K9" s="1505"/>
      <c r="L9" s="1416"/>
      <c r="M9" s="1503" t="e">
        <f t="shared" si="0"/>
        <v>#DIV/0!</v>
      </c>
    </row>
    <row r="10" spans="1:13">
      <c r="A10" s="1506">
        <v>2011</v>
      </c>
      <c r="B10" s="1507"/>
      <c r="C10" s="1507"/>
      <c r="D10" s="1507"/>
      <c r="E10" s="1507"/>
      <c r="F10" s="1507"/>
      <c r="G10" s="1507"/>
      <c r="H10" s="1507"/>
      <c r="I10" s="1507"/>
      <c r="J10" s="1507"/>
      <c r="K10" s="1507"/>
      <c r="L10" s="1416"/>
      <c r="M10" s="1503" t="e">
        <f t="shared" si="0"/>
        <v>#DIV/0!</v>
      </c>
    </row>
    <row r="11" spans="1:13" ht="13" thickBot="1">
      <c r="A11" s="1508">
        <v>2010</v>
      </c>
      <c r="B11" s="1509"/>
      <c r="C11" s="1509"/>
      <c r="D11" s="1509"/>
      <c r="E11" s="1509"/>
      <c r="F11" s="1509"/>
      <c r="G11" s="1509"/>
      <c r="H11" s="1509"/>
      <c r="I11" s="1509"/>
      <c r="J11" s="1509"/>
      <c r="K11" s="1509"/>
      <c r="L11" s="1416"/>
      <c r="M11" s="1503" t="e">
        <f t="shared" si="0"/>
        <v>#DIV/0!</v>
      </c>
    </row>
    <row r="12" spans="1:13">
      <c r="A12" s="1467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416"/>
      <c r="M12" s="1416"/>
    </row>
    <row r="13" spans="1:13" ht="13" thickBot="1">
      <c r="A13" s="1467"/>
      <c r="B13" s="1467"/>
      <c r="C13" s="1467"/>
      <c r="D13" s="1467"/>
      <c r="E13" s="1467"/>
      <c r="F13" s="1467"/>
      <c r="G13" s="1467"/>
      <c r="H13" s="1467"/>
      <c r="I13" s="1467"/>
      <c r="J13" s="1467"/>
      <c r="K13" s="1467"/>
      <c r="L13" s="1416"/>
      <c r="M13" s="1416"/>
    </row>
    <row r="14" spans="1:13" ht="13" thickBot="1">
      <c r="A14" s="1511" t="s">
        <v>879</v>
      </c>
      <c r="B14" s="1512"/>
      <c r="C14" s="1512"/>
      <c r="D14" s="1512"/>
      <c r="E14" s="1512"/>
      <c r="F14" s="1512"/>
      <c r="G14" s="1512"/>
      <c r="H14" s="1513"/>
      <c r="I14" s="1512"/>
      <c r="J14" s="1513"/>
      <c r="K14" s="1512"/>
      <c r="L14" s="1416"/>
      <c r="M14" s="1416"/>
    </row>
    <row r="15" spans="1:13">
      <c r="A15" s="1514">
        <v>1</v>
      </c>
      <c r="B15" s="1515"/>
      <c r="C15" s="1515"/>
      <c r="D15" s="1515"/>
      <c r="E15" s="1515"/>
      <c r="F15" s="1515"/>
      <c r="G15" s="1515"/>
      <c r="H15" s="1516"/>
      <c r="I15" s="1515"/>
      <c r="J15" s="1516"/>
      <c r="K15" s="1515"/>
      <c r="L15" s="1416"/>
      <c r="M15" s="1416"/>
    </row>
    <row r="16" spans="1:13">
      <c r="A16" s="1517">
        <v>2</v>
      </c>
      <c r="B16" s="1518"/>
      <c r="C16" s="1518"/>
      <c r="D16" s="1518"/>
      <c r="E16" s="1518"/>
      <c r="F16" s="1518"/>
      <c r="G16" s="1518"/>
      <c r="H16" s="1518"/>
      <c r="I16" s="1518"/>
      <c r="J16" s="1518"/>
      <c r="K16" s="1518"/>
      <c r="L16" s="1416"/>
      <c r="M16" s="1416"/>
    </row>
    <row r="17" spans="1:13" ht="13" thickBot="1">
      <c r="A17" s="1519">
        <v>3</v>
      </c>
      <c r="B17" s="1479"/>
      <c r="C17" s="1509"/>
      <c r="D17" s="1509"/>
      <c r="E17" s="1479"/>
      <c r="F17" s="1509"/>
      <c r="G17" s="1479"/>
      <c r="H17" s="1509"/>
      <c r="I17" s="1479"/>
      <c r="J17" s="1509"/>
      <c r="K17" s="1479"/>
      <c r="L17" s="1416"/>
      <c r="M17" s="1416"/>
    </row>
    <row r="18" spans="1:13" ht="13" thickBot="1">
      <c r="A18" s="1467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  <c r="L18" s="1416"/>
      <c r="M18" s="1416"/>
    </row>
    <row r="19" spans="1:13" ht="13" thickBot="1">
      <c r="A19" s="1511" t="s">
        <v>880</v>
      </c>
      <c r="B19" s="1512"/>
      <c r="C19" s="1512"/>
      <c r="D19" s="1512"/>
      <c r="E19" s="1512"/>
      <c r="F19" s="1512"/>
      <c r="G19" s="1512"/>
      <c r="H19" s="1513"/>
      <c r="I19" s="1512"/>
      <c r="J19" s="1513"/>
      <c r="K19" s="1512"/>
      <c r="L19" s="1416"/>
      <c r="M19" s="1416"/>
    </row>
    <row r="20" spans="1:13">
      <c r="A20" s="1514">
        <v>1</v>
      </c>
      <c r="B20" s="1515"/>
      <c r="C20" s="1515"/>
      <c r="D20" s="1515"/>
      <c r="E20" s="1515"/>
      <c r="F20" s="1515"/>
      <c r="G20" s="1515"/>
      <c r="H20" s="1516"/>
      <c r="I20" s="1515"/>
      <c r="J20" s="1516"/>
      <c r="K20" s="1515"/>
      <c r="L20" s="1416"/>
      <c r="M20" s="1416"/>
    </row>
    <row r="21" spans="1:13">
      <c r="A21" s="1517">
        <v>2</v>
      </c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  <c r="L21" s="1416"/>
      <c r="M21" s="1416"/>
    </row>
    <row r="22" spans="1:13" ht="13" thickBot="1">
      <c r="A22" s="1519">
        <v>3</v>
      </c>
      <c r="B22" s="1479"/>
      <c r="C22" s="1509"/>
      <c r="D22" s="1509"/>
      <c r="E22" s="1479"/>
      <c r="F22" s="1509"/>
      <c r="G22" s="1479"/>
      <c r="H22" s="1509"/>
      <c r="I22" s="1479"/>
      <c r="J22" s="1509"/>
      <c r="K22" s="1479"/>
      <c r="L22" s="1416"/>
      <c r="M22" s="14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0" t="s">
        <v>881</v>
      </c>
      <c r="B2" s="1416"/>
      <c r="C2" s="1416"/>
      <c r="D2" s="1416"/>
      <c r="E2" s="1416"/>
      <c r="F2" s="1416"/>
      <c r="G2" s="1416"/>
      <c r="H2" s="1416"/>
      <c r="I2" s="1416"/>
      <c r="J2" s="1416"/>
      <c r="K2" s="1416"/>
      <c r="L2" s="1416"/>
    </row>
    <row r="3" spans="1:12" ht="13" thickBot="1">
      <c r="A3" s="1416"/>
      <c r="B3" s="1416"/>
      <c r="C3" s="1416"/>
      <c r="D3" s="1416"/>
      <c r="E3" s="1416"/>
      <c r="F3" s="1416"/>
      <c r="G3" s="1416"/>
      <c r="H3" s="1416"/>
      <c r="I3" s="1416"/>
      <c r="J3" s="1416"/>
      <c r="K3" s="1416"/>
      <c r="L3" s="1416"/>
    </row>
    <row r="4" spans="1:12" ht="13" thickBot="1">
      <c r="A4" s="1470" t="s">
        <v>799</v>
      </c>
      <c r="B4" s="1471"/>
      <c r="C4" s="1471"/>
      <c r="D4" s="1471"/>
      <c r="E4" s="1471"/>
      <c r="F4" s="1471"/>
      <c r="G4" s="1471"/>
      <c r="H4" s="1471"/>
      <c r="I4" s="1471"/>
      <c r="J4" s="1471"/>
      <c r="K4" s="1471"/>
      <c r="L4" s="1416"/>
    </row>
    <row r="5" spans="1:12" ht="13" thickBot="1">
      <c r="A5" s="1487" t="s">
        <v>882</v>
      </c>
      <c r="B5" s="1521"/>
      <c r="C5" s="1521"/>
      <c r="D5" s="1521"/>
      <c r="E5" s="1521"/>
      <c r="F5" s="1521"/>
      <c r="G5" s="1521"/>
      <c r="H5" s="1521"/>
      <c r="I5" s="1521"/>
      <c r="J5" s="1521"/>
      <c r="K5" s="1521"/>
      <c r="L5" s="1416"/>
    </row>
    <row r="6" spans="1:12">
      <c r="A6" s="1472"/>
      <c r="B6" s="1522"/>
      <c r="C6" s="1522"/>
      <c r="D6" s="1522"/>
      <c r="E6" s="1522"/>
      <c r="F6" s="1522"/>
      <c r="G6" s="1522"/>
      <c r="H6" s="1522"/>
      <c r="I6" s="1522"/>
      <c r="J6" s="1522"/>
      <c r="K6" s="1522"/>
      <c r="L6" s="1416"/>
    </row>
    <row r="7" spans="1:12">
      <c r="A7" s="1474"/>
      <c r="B7" s="1490"/>
      <c r="C7" s="1490"/>
      <c r="D7" s="1475"/>
      <c r="E7" s="1475"/>
      <c r="F7" s="1475"/>
      <c r="G7" s="1476"/>
      <c r="H7" s="1476"/>
      <c r="I7" s="1475"/>
      <c r="J7" s="1475"/>
      <c r="K7" s="1475"/>
      <c r="L7" s="1416"/>
    </row>
    <row r="8" spans="1:12">
      <c r="A8" s="1474"/>
      <c r="B8" s="1475"/>
      <c r="C8" s="1475"/>
      <c r="D8" s="1475"/>
      <c r="E8" s="1475"/>
      <c r="F8" s="1475"/>
      <c r="G8" s="1476"/>
      <c r="H8" s="1476"/>
      <c r="I8" s="1475"/>
      <c r="J8" s="1475"/>
      <c r="K8" s="1475"/>
      <c r="L8" s="1416"/>
    </row>
    <row r="9" spans="1:12">
      <c r="A9" s="1474"/>
      <c r="B9" s="1475"/>
      <c r="C9" s="1476"/>
      <c r="D9" s="1475"/>
      <c r="E9" s="1475"/>
      <c r="F9" s="1475"/>
      <c r="G9" s="1476"/>
      <c r="H9" s="1476"/>
      <c r="I9" s="1476"/>
      <c r="J9" s="1476"/>
      <c r="K9" s="1476"/>
      <c r="L9" s="1416"/>
    </row>
    <row r="10" spans="1:12">
      <c r="A10" s="1474"/>
      <c r="B10" s="1475"/>
      <c r="C10" s="1476"/>
      <c r="D10" s="1475"/>
      <c r="E10" s="1475"/>
      <c r="F10" s="1476"/>
      <c r="G10" s="1476"/>
      <c r="H10" s="1475"/>
      <c r="I10" s="1476"/>
      <c r="J10" s="1476"/>
      <c r="K10" s="1476"/>
      <c r="L10" s="1416"/>
    </row>
    <row r="11" spans="1:12">
      <c r="A11" s="1523"/>
      <c r="B11" s="1524"/>
      <c r="C11" s="1525"/>
      <c r="D11" s="1524"/>
      <c r="E11" s="1524"/>
      <c r="F11" s="1525"/>
      <c r="G11" s="1525"/>
      <c r="H11" s="1525"/>
      <c r="I11" s="1525"/>
      <c r="J11" s="1525"/>
      <c r="K11" s="1525"/>
      <c r="L11" s="1416"/>
    </row>
    <row r="12" spans="1:12" ht="13" thickBot="1">
      <c r="A12" s="1477"/>
      <c r="B12" s="1481"/>
      <c r="C12" s="1481"/>
      <c r="D12" s="1478"/>
      <c r="E12" s="1478"/>
      <c r="F12" s="1481"/>
      <c r="G12" s="1481"/>
      <c r="H12" s="1481"/>
      <c r="I12" s="1481"/>
      <c r="J12" s="1481"/>
      <c r="K12" s="1481"/>
      <c r="L12" s="1416"/>
    </row>
    <row r="13" spans="1:12">
      <c r="A13" s="1487" t="s">
        <v>883</v>
      </c>
      <c r="B13" s="1521"/>
      <c r="C13" s="1521"/>
      <c r="D13" s="1521"/>
      <c r="E13" s="1521"/>
      <c r="F13" s="1521"/>
      <c r="G13" s="1521"/>
      <c r="H13" s="1521"/>
      <c r="I13" s="1521"/>
      <c r="J13" s="1521"/>
      <c r="K13" s="1521"/>
      <c r="L13" s="1416"/>
    </row>
    <row r="14" spans="1:12">
      <c r="A14" s="1474"/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  <c r="L14" s="1416"/>
    </row>
    <row r="15" spans="1:12">
      <c r="A15" s="1526"/>
      <c r="B15" s="1515"/>
      <c r="C15" s="1515"/>
      <c r="D15" s="1515"/>
      <c r="E15" s="1515"/>
      <c r="F15" s="1515"/>
      <c r="G15" s="1515"/>
      <c r="H15" s="1515"/>
      <c r="I15" s="1515"/>
      <c r="J15" s="1515"/>
      <c r="K15" s="1515"/>
      <c r="L15" s="1416"/>
    </row>
    <row r="16" spans="1:12">
      <c r="A16" s="1474"/>
      <c r="B16" s="1490"/>
      <c r="C16" s="1490"/>
      <c r="D16" s="1490"/>
      <c r="E16" s="1490"/>
      <c r="F16" s="1490"/>
      <c r="G16" s="1490"/>
      <c r="H16" s="1490"/>
      <c r="I16" s="1490"/>
      <c r="J16" s="1490"/>
      <c r="K16" s="1490"/>
      <c r="L16" s="1416"/>
    </row>
    <row r="17" spans="1:12">
      <c r="A17" s="1474"/>
      <c r="B17" s="1476"/>
      <c r="C17" s="1475"/>
      <c r="D17" s="1475"/>
      <c r="E17" s="1475"/>
      <c r="F17" s="1475"/>
      <c r="G17" s="1475"/>
      <c r="H17" s="1476"/>
      <c r="I17" s="1475"/>
      <c r="J17" s="1475"/>
      <c r="K17" s="1475"/>
      <c r="L17" s="1416"/>
    </row>
    <row r="18" spans="1:12">
      <c r="A18" s="1474"/>
      <c r="B18" s="1476"/>
      <c r="C18" s="1476"/>
      <c r="D18" s="1475"/>
      <c r="E18" s="1475"/>
      <c r="F18" s="1475"/>
      <c r="G18" s="1475"/>
      <c r="H18" s="1476"/>
      <c r="I18" s="1475"/>
      <c r="J18" s="1475"/>
      <c r="K18" s="1475"/>
      <c r="L18" s="1416"/>
    </row>
    <row r="19" spans="1:12">
      <c r="A19" s="1474"/>
      <c r="B19" s="1476"/>
      <c r="C19" s="1476"/>
      <c r="D19" s="1475"/>
      <c r="E19" s="1475"/>
      <c r="F19" s="1475"/>
      <c r="G19" s="1476"/>
      <c r="H19" s="1476"/>
      <c r="I19" s="1475"/>
      <c r="J19" s="1475"/>
      <c r="K19" s="1475"/>
      <c r="L19" s="1416"/>
    </row>
    <row r="20" spans="1:12" ht="13" thickBot="1">
      <c r="A20" s="1477"/>
      <c r="B20" s="1481"/>
      <c r="C20" s="1481"/>
      <c r="D20" s="1481"/>
      <c r="E20" s="1481"/>
      <c r="F20" s="1478"/>
      <c r="G20" s="1481"/>
      <c r="H20" s="1481"/>
      <c r="I20" s="1481"/>
      <c r="J20" s="1481"/>
      <c r="K20" s="1481"/>
      <c r="L20" s="1416"/>
    </row>
    <row r="21" spans="1:12" ht="13" thickBot="1">
      <c r="A21" s="1487" t="s">
        <v>36</v>
      </c>
      <c r="B21" s="1521"/>
      <c r="C21" s="1521"/>
      <c r="D21" s="1521"/>
      <c r="E21" s="1521"/>
      <c r="F21" s="1521"/>
      <c r="G21" s="1521"/>
      <c r="H21" s="1521"/>
      <c r="I21" s="1521"/>
      <c r="J21" s="1521"/>
      <c r="K21" s="1521"/>
      <c r="L21" s="1416"/>
    </row>
    <row r="22" spans="1:12">
      <c r="A22" s="1472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  <c r="L22" s="1416"/>
    </row>
    <row r="23" spans="1:12">
      <c r="A23" s="1526"/>
      <c r="B23" s="1475"/>
      <c r="C23" s="1476"/>
      <c r="D23" s="1476"/>
      <c r="E23" s="1476"/>
      <c r="F23" s="1476"/>
      <c r="G23" s="1476"/>
      <c r="H23" s="1476"/>
      <c r="I23" s="1476"/>
      <c r="J23" s="1476"/>
      <c r="K23" s="1476"/>
      <c r="L23" s="1416"/>
    </row>
    <row r="24" spans="1:12">
      <c r="A24" s="1474"/>
      <c r="B24" s="1515"/>
      <c r="C24" s="1515"/>
      <c r="D24" s="1515"/>
      <c r="E24" s="1515"/>
      <c r="F24" s="1515"/>
      <c r="G24" s="1515"/>
      <c r="H24" s="1515"/>
      <c r="I24" s="1515"/>
      <c r="J24" s="1515"/>
      <c r="K24" s="1515"/>
      <c r="L24" s="1416"/>
    </row>
    <row r="25" spans="1:12">
      <c r="A25" s="1474"/>
      <c r="B25" s="1490"/>
      <c r="C25" s="1490"/>
      <c r="D25" s="1490"/>
      <c r="E25" s="1490"/>
      <c r="F25" s="1490"/>
      <c r="G25" s="1490"/>
      <c r="H25" s="1490"/>
      <c r="I25" s="1490"/>
      <c r="J25" s="1490"/>
      <c r="K25" s="1490"/>
      <c r="L25" s="1416"/>
    </row>
    <row r="26" spans="1:12">
      <c r="A26" s="1474"/>
      <c r="B26" s="1476"/>
      <c r="C26" s="1476"/>
      <c r="D26" s="1476"/>
      <c r="E26" s="1475"/>
      <c r="F26" s="1475"/>
      <c r="G26" s="1475"/>
      <c r="H26" s="1475"/>
      <c r="I26" s="1475"/>
      <c r="J26" s="1475"/>
      <c r="K26" s="1475"/>
      <c r="L26" s="1416"/>
    </row>
    <row r="27" spans="1:12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  <c r="L27" s="1416"/>
    </row>
    <row r="28" spans="1:12" ht="13" thickBot="1">
      <c r="A28" s="1477"/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  <c r="L28" s="1416"/>
    </row>
    <row r="29" spans="1:12" ht="13" thickBot="1">
      <c r="A29" s="1487" t="s">
        <v>37</v>
      </c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  <c r="L29" s="1416"/>
    </row>
    <row r="30" spans="1:12">
      <c r="A30" s="147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  <c r="L30" s="1416"/>
    </row>
    <row r="31" spans="1:12">
      <c r="A31" s="1474"/>
      <c r="B31" s="1476"/>
      <c r="C31" s="1476"/>
      <c r="D31" s="1476"/>
      <c r="E31" s="1476"/>
      <c r="F31" s="1476"/>
      <c r="G31" s="1476"/>
      <c r="H31" s="1476"/>
      <c r="I31" s="1476"/>
      <c r="J31" s="1476"/>
      <c r="K31" s="1476"/>
      <c r="L31" s="1416"/>
    </row>
    <row r="32" spans="1:12">
      <c r="A32" s="1474"/>
      <c r="B32" s="1515"/>
      <c r="C32" s="1515"/>
      <c r="D32" s="1515"/>
      <c r="E32" s="1515"/>
      <c r="F32" s="1515"/>
      <c r="G32" s="1515"/>
      <c r="H32" s="1515"/>
      <c r="I32" s="1515"/>
      <c r="J32" s="1515"/>
      <c r="K32" s="1515"/>
      <c r="L32" s="1416"/>
    </row>
    <row r="33" spans="1:12">
      <c r="A33" s="1474"/>
      <c r="B33" s="1490"/>
      <c r="C33" s="1490"/>
      <c r="D33" s="1490"/>
      <c r="E33" s="1490"/>
      <c r="F33" s="1490"/>
      <c r="G33" s="1490"/>
      <c r="H33" s="1490"/>
      <c r="I33" s="1490"/>
      <c r="J33" s="1490"/>
      <c r="K33" s="1490"/>
      <c r="L33" s="1416"/>
    </row>
    <row r="34" spans="1:12">
      <c r="A34" s="1474"/>
      <c r="B34" s="1475"/>
      <c r="C34" s="1475"/>
      <c r="D34" s="1476"/>
      <c r="E34" s="1475"/>
      <c r="F34" s="1475"/>
      <c r="G34" s="1476"/>
      <c r="H34" s="1475"/>
      <c r="I34" s="1475"/>
      <c r="J34" s="1475"/>
      <c r="K34" s="1475"/>
      <c r="L34" s="1416"/>
    </row>
    <row r="35" spans="1:12">
      <c r="A35" s="1474"/>
      <c r="B35" s="1476"/>
      <c r="C35" s="1475"/>
      <c r="D35" s="1476"/>
      <c r="E35" s="1475"/>
      <c r="F35" s="1476"/>
      <c r="G35" s="1476"/>
      <c r="H35" s="1476"/>
      <c r="I35" s="1475"/>
      <c r="J35" s="1475"/>
      <c r="K35" s="1475"/>
      <c r="L35" s="1416"/>
    </row>
    <row r="36" spans="1:12" ht="13" thickBot="1">
      <c r="A36" s="1477"/>
      <c r="B36" s="1481"/>
      <c r="C36" s="1478"/>
      <c r="D36" s="1481"/>
      <c r="E36" s="1481"/>
      <c r="F36" s="1481"/>
      <c r="G36" s="1481"/>
      <c r="H36" s="1481"/>
      <c r="I36" s="1481"/>
      <c r="J36" s="1481"/>
      <c r="K36" s="1481"/>
      <c r="L36" s="1416"/>
    </row>
    <row r="37" spans="1:12" ht="13" thickBot="1">
      <c r="A37" s="1487" t="s">
        <v>884</v>
      </c>
      <c r="B37" s="1521"/>
      <c r="C37" s="1521"/>
      <c r="D37" s="1521"/>
      <c r="E37" s="1521"/>
      <c r="F37" s="1521"/>
      <c r="G37" s="1521"/>
      <c r="H37" s="1521"/>
      <c r="I37" s="1521"/>
      <c r="J37" s="1521"/>
      <c r="K37" s="1521"/>
      <c r="L37" s="1416"/>
    </row>
    <row r="38" spans="1:12">
      <c r="A38" s="147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  <c r="L38" s="1416"/>
    </row>
    <row r="39" spans="1:12">
      <c r="A39" s="1474"/>
      <c r="B39" s="1476"/>
      <c r="C39" s="1476"/>
      <c r="D39" s="1476"/>
      <c r="E39" s="1476"/>
      <c r="F39" s="1476"/>
      <c r="G39" s="1476"/>
      <c r="H39" s="1476"/>
      <c r="I39" s="1476"/>
      <c r="J39" s="1476"/>
      <c r="K39" s="1476"/>
      <c r="L39" s="1416"/>
    </row>
    <row r="40" spans="1:12">
      <c r="A40" s="1474"/>
      <c r="B40" s="1515"/>
      <c r="C40" s="1515"/>
      <c r="D40" s="1515"/>
      <c r="E40" s="1515"/>
      <c r="F40" s="1515"/>
      <c r="G40" s="1515"/>
      <c r="H40" s="1515"/>
      <c r="I40" s="1515"/>
      <c r="J40" s="1515"/>
      <c r="K40" s="1515"/>
      <c r="L40" s="1416"/>
    </row>
    <row r="41" spans="1:12">
      <c r="A41" s="1474"/>
      <c r="B41" s="1490"/>
      <c r="C41" s="1490"/>
      <c r="D41" s="1490"/>
      <c r="E41" s="1490"/>
      <c r="F41" s="1490"/>
      <c r="G41" s="1490"/>
      <c r="H41" s="1490"/>
      <c r="I41" s="1490"/>
      <c r="J41" s="1490"/>
      <c r="K41" s="1490"/>
      <c r="L41" s="1416"/>
    </row>
    <row r="42" spans="1:12">
      <c r="A42" s="1474"/>
      <c r="B42" s="1476"/>
      <c r="C42" s="1490"/>
      <c r="D42" s="1476"/>
      <c r="E42" s="1475"/>
      <c r="F42" s="1476"/>
      <c r="G42" s="1476"/>
      <c r="H42" s="1475"/>
      <c r="I42" s="1475"/>
      <c r="J42" s="1475"/>
      <c r="K42" s="1475"/>
      <c r="L42" s="1416"/>
    </row>
    <row r="43" spans="1:12">
      <c r="A43" s="1523"/>
      <c r="B43" s="1525"/>
      <c r="C43" s="1524"/>
      <c r="D43" s="1525"/>
      <c r="E43" s="1524"/>
      <c r="F43" s="1525"/>
      <c r="G43" s="1525"/>
      <c r="H43" s="1524"/>
      <c r="I43" s="1524"/>
      <c r="J43" s="1524"/>
      <c r="K43" s="1524"/>
      <c r="L43" s="1416"/>
    </row>
    <row r="44" spans="1:12" ht="13" thickBot="1">
      <c r="A44" s="1477"/>
      <c r="B44" s="1481"/>
      <c r="C44" s="1478"/>
      <c r="D44" s="1481"/>
      <c r="E44" s="1478"/>
      <c r="F44" s="1481"/>
      <c r="G44" s="1481"/>
      <c r="H44" s="1478"/>
      <c r="I44" s="1478"/>
      <c r="J44" s="1478"/>
      <c r="K44" s="1478"/>
      <c r="L44" s="14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16" customWidth="1"/>
    <col min="2" max="11" width="30.6640625" style="1416" customWidth="1"/>
    <col min="12" max="16384" width="9.1640625" style="1416"/>
  </cols>
  <sheetData>
    <row r="1" spans="1:11" ht="13">
      <c r="A1" s="1520" t="s">
        <v>885</v>
      </c>
    </row>
    <row r="2" spans="1:11" ht="13" thickBot="1"/>
    <row r="3" spans="1:11" ht="13" thickBot="1">
      <c r="A3" s="1470" t="s">
        <v>799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487" t="s">
        <v>882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2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6"/>
      <c r="B6" s="1515"/>
      <c r="C6" s="1515"/>
      <c r="D6" s="1515"/>
      <c r="E6" s="1515"/>
      <c r="F6" s="1515"/>
      <c r="G6" s="1515"/>
      <c r="H6" s="1515"/>
      <c r="I6" s="1515"/>
      <c r="J6" s="1515"/>
      <c r="K6" s="1515"/>
    </row>
    <row r="7" spans="1:11">
      <c r="A7" s="1474"/>
      <c r="B7" s="1475"/>
      <c r="C7" s="1475"/>
      <c r="D7" s="1475"/>
      <c r="E7" s="1475"/>
      <c r="F7" s="1476"/>
      <c r="G7" s="1515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25"/>
      <c r="G8" s="1475"/>
      <c r="H8" s="1525"/>
      <c r="I8" s="1524"/>
      <c r="J8" s="1525"/>
      <c r="K8" s="1524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24"/>
      <c r="J9" s="1475"/>
      <c r="K9" s="1524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81"/>
      <c r="C11" s="1481"/>
      <c r="D11" s="1478"/>
      <c r="E11" s="1481"/>
      <c r="F11" s="1478"/>
      <c r="G11" s="1481"/>
      <c r="H11" s="1481"/>
      <c r="I11" s="1481"/>
      <c r="J11" s="1481"/>
      <c r="K11" s="1481"/>
    </row>
    <row r="12" spans="1:11" ht="13" thickBot="1">
      <c r="A12" s="1487" t="s">
        <v>883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72"/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</row>
    <row r="14" spans="1:11">
      <c r="A14" s="1526"/>
      <c r="B14" s="1515"/>
      <c r="C14" s="1515"/>
      <c r="D14" s="1515"/>
      <c r="E14" s="1515"/>
      <c r="F14" s="1515"/>
      <c r="G14" s="1515"/>
      <c r="H14" s="1515"/>
      <c r="I14" s="1515"/>
      <c r="J14" s="1515"/>
      <c r="K14" s="1515"/>
    </row>
    <row r="15" spans="1:11">
      <c r="A15" s="1474"/>
      <c r="B15" s="1490"/>
      <c r="C15" s="1475"/>
      <c r="D15" s="1476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6"/>
      <c r="E16" s="1475"/>
      <c r="F16" s="1475"/>
      <c r="G16" s="1476"/>
      <c r="H16" s="1475"/>
      <c r="I16" s="1475"/>
      <c r="J16" s="1475"/>
      <c r="K16" s="1475"/>
    </row>
    <row r="17" spans="1:11">
      <c r="A17" s="1474"/>
      <c r="B17" s="1476"/>
      <c r="C17" s="1476"/>
      <c r="D17" s="1476"/>
      <c r="E17" s="1475"/>
      <c r="F17" s="1475"/>
      <c r="G17" s="1476"/>
      <c r="H17" s="1475"/>
      <c r="I17" s="1476"/>
      <c r="J17" s="1475"/>
      <c r="K17" s="1476"/>
    </row>
    <row r="18" spans="1:11">
      <c r="A18" s="1474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 ht="13" thickBot="1">
      <c r="A19" s="1477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487" t="s">
        <v>36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522"/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</row>
    <row r="22" spans="1:11">
      <c r="A22" s="1515"/>
      <c r="B22" s="1515"/>
      <c r="C22" s="1515"/>
      <c r="D22" s="1515"/>
      <c r="E22" s="1515"/>
      <c r="F22" s="1515"/>
      <c r="G22" s="1515"/>
      <c r="H22" s="1515"/>
      <c r="I22" s="1515"/>
      <c r="J22" s="1515"/>
      <c r="K22" s="1515"/>
    </row>
    <row r="23" spans="1:11">
      <c r="A23" s="1515"/>
      <c r="B23" s="1515"/>
      <c r="C23" s="1515"/>
      <c r="D23" s="1515"/>
      <c r="E23" s="1515"/>
      <c r="F23" s="1515"/>
      <c r="G23" s="1515"/>
      <c r="H23" s="1515"/>
      <c r="I23" s="1515"/>
      <c r="J23" s="1515"/>
      <c r="K23" s="1515"/>
    </row>
    <row r="24" spans="1:11">
      <c r="A24" s="1475"/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527"/>
      <c r="B25" s="1518"/>
      <c r="C25" s="1518"/>
      <c r="D25" s="1518"/>
      <c r="E25" s="1518"/>
      <c r="F25" s="1518"/>
      <c r="G25" s="1475"/>
      <c r="H25" s="1518"/>
      <c r="I25" s="1518"/>
      <c r="J25" s="1518"/>
      <c r="K25" s="1518"/>
    </row>
    <row r="26" spans="1:11">
      <c r="A26" s="1474"/>
      <c r="B26" s="1490"/>
      <c r="C26" s="1490"/>
      <c r="D26" s="1476"/>
      <c r="E26" s="1475"/>
      <c r="F26" s="1475"/>
      <c r="G26" s="1476"/>
      <c r="H26" s="1475"/>
      <c r="I26" s="1475"/>
      <c r="J26" s="1475"/>
      <c r="K26" s="1475"/>
    </row>
    <row r="27" spans="1:11" ht="13" thickBot="1">
      <c r="A27" s="1477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487" t="s">
        <v>37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2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6"/>
      <c r="B30" s="1515"/>
      <c r="C30" s="1515"/>
      <c r="D30" s="1515"/>
      <c r="E30" s="1515"/>
      <c r="F30" s="1515"/>
      <c r="G30" s="1515"/>
      <c r="H30" s="1515"/>
      <c r="I30" s="1515"/>
      <c r="J30" s="1515"/>
      <c r="K30" s="1515"/>
    </row>
    <row r="31" spans="1:11">
      <c r="A31" s="1526"/>
      <c r="B31" s="1515"/>
      <c r="C31" s="1515"/>
      <c r="D31" s="1515"/>
      <c r="E31" s="1515"/>
      <c r="F31" s="1515"/>
      <c r="G31" s="1515"/>
      <c r="H31" s="1515"/>
      <c r="I31" s="1515"/>
      <c r="J31" s="1515"/>
      <c r="K31" s="1515"/>
    </row>
    <row r="32" spans="1:11">
      <c r="A32" s="1526"/>
      <c r="B32" s="1515"/>
      <c r="C32" s="1515"/>
      <c r="D32" s="1475"/>
      <c r="E32" s="1515"/>
      <c r="F32" s="1515"/>
      <c r="G32" s="1515"/>
      <c r="H32" s="1515"/>
      <c r="I32" s="1515"/>
      <c r="J32" s="1515"/>
      <c r="K32" s="1515"/>
    </row>
    <row r="33" spans="1:11">
      <c r="A33" s="1474"/>
      <c r="B33" s="1476"/>
      <c r="C33" s="1475"/>
      <c r="D33" s="1475"/>
      <c r="E33" s="1476"/>
      <c r="F33" s="1475"/>
      <c r="G33" s="1475"/>
      <c r="H33" s="1475"/>
      <c r="I33" s="1475"/>
      <c r="J33" s="1475"/>
      <c r="K33" s="1475"/>
    </row>
    <row r="34" spans="1:11">
      <c r="A34" s="1474"/>
      <c r="B34" s="1476"/>
      <c r="C34" s="1475"/>
      <c r="D34" s="1475"/>
      <c r="E34" s="1476"/>
      <c r="F34" s="1475"/>
      <c r="G34" s="1476"/>
      <c r="H34" s="1475"/>
      <c r="I34" s="1475"/>
      <c r="J34" s="1475"/>
      <c r="K34" s="1475"/>
    </row>
    <row r="35" spans="1:11" ht="13" thickBot="1">
      <c r="A35" s="1477"/>
      <c r="B35" s="1481"/>
      <c r="C35" s="1478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487" t="s">
        <v>884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2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6"/>
      <c r="B38" s="1515"/>
      <c r="C38" s="1515"/>
      <c r="D38" s="1515"/>
      <c r="E38" s="1515"/>
      <c r="F38" s="1515"/>
      <c r="G38" s="1515"/>
      <c r="H38" s="1515"/>
      <c r="I38" s="1515"/>
      <c r="J38" s="1515"/>
      <c r="K38" s="1515"/>
    </row>
    <row r="39" spans="1:11">
      <c r="A39" s="1526"/>
      <c r="B39" s="1515"/>
      <c r="C39" s="1515"/>
      <c r="D39" s="1515"/>
      <c r="E39" s="1515"/>
      <c r="F39" s="1515"/>
      <c r="G39" s="1515"/>
      <c r="H39" s="1515"/>
      <c r="I39" s="1515"/>
      <c r="J39" s="1515"/>
      <c r="K39" s="1515"/>
    </row>
    <row r="40" spans="1:11">
      <c r="A40" s="1474"/>
      <c r="B40" s="1475"/>
      <c r="C40" s="1475"/>
      <c r="D40" s="1475"/>
      <c r="E40" s="1475"/>
      <c r="F40" s="1476"/>
      <c r="G40" s="1515"/>
      <c r="H40" s="1476"/>
      <c r="I40" s="1475"/>
      <c r="J40" s="1476"/>
      <c r="K40" s="1475"/>
    </row>
    <row r="41" spans="1:11">
      <c r="A41" s="1523"/>
      <c r="B41" s="1525"/>
      <c r="C41" s="1524"/>
      <c r="D41" s="1475"/>
      <c r="E41" s="1524"/>
      <c r="F41" s="1525"/>
      <c r="G41" s="1475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76"/>
      <c r="H42" s="1525"/>
      <c r="I42" s="1524"/>
      <c r="J42" s="1525"/>
      <c r="K42" s="1524"/>
    </row>
    <row r="43" spans="1:11" ht="13" thickBot="1">
      <c r="A43" s="1477"/>
      <c r="B43" s="1481"/>
      <c r="C43" s="1478"/>
      <c r="D43" s="1481"/>
      <c r="E43" s="1478"/>
      <c r="F43" s="1481"/>
      <c r="G43" s="1481"/>
      <c r="H43" s="1481"/>
      <c r="I43" s="1481"/>
      <c r="J43" s="1481"/>
      <c r="K43" s="1481"/>
    </row>
    <row r="46" spans="1:11">
      <c r="A46" s="852"/>
      <c r="B46" s="1500"/>
    </row>
    <row r="47" spans="1:11">
      <c r="B47" s="1500"/>
    </row>
    <row r="48" spans="1:11">
      <c r="B48" s="1500"/>
    </row>
    <row r="49" spans="1:2">
      <c r="B49" s="1500"/>
    </row>
    <row r="50" spans="1:2">
      <c r="B50" s="1500"/>
    </row>
    <row r="51" spans="1:2">
      <c r="B51" s="1500"/>
    </row>
    <row r="52" spans="1:2">
      <c r="B52" s="1500"/>
    </row>
    <row r="55" spans="1:2">
      <c r="A55" s="852"/>
      <c r="B55" s="1500"/>
    </row>
    <row r="56" spans="1:2">
      <c r="B56" s="1500"/>
    </row>
    <row r="57" spans="1:2">
      <c r="B57" s="1500"/>
    </row>
    <row r="58" spans="1:2">
      <c r="B58" s="1500"/>
    </row>
    <row r="59" spans="1:2">
      <c r="B5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2016-04-27T15:52:40Z</dcterms:modified>
  <cp:category/>
</cp:coreProperties>
</file>