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8800" windowHeight="16760" activeTab="5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externalReferences>
    <externalReference r:id="rId9"/>
  </externalReference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3" l="1"/>
  <c r="E2" i="13"/>
  <c r="D2" i="13"/>
  <c r="C2" i="13"/>
  <c r="B1" i="1"/>
  <c r="A1" i="1"/>
  <c r="B87" i="8"/>
  <c r="B82" i="8"/>
  <c r="B81" i="8"/>
  <c r="B80" i="8"/>
  <c r="B79" i="8"/>
  <c r="B73" i="8"/>
  <c r="B72" i="8"/>
  <c r="B71" i="8"/>
  <c r="B70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B87" i="7"/>
  <c r="B82" i="7"/>
  <c r="B81" i="7"/>
  <c r="B80" i="7"/>
  <c r="B79" i="7"/>
  <c r="B73" i="7"/>
  <c r="B72" i="7"/>
  <c r="B71" i="7"/>
  <c r="B70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B87" i="1"/>
  <c r="B82" i="1"/>
  <c r="B81" i="1"/>
  <c r="B80" i="1"/>
  <c r="B79" i="1"/>
  <c r="B73" i="1"/>
  <c r="B72" i="1"/>
  <c r="B71" i="1"/>
  <c r="B70" i="1"/>
  <c r="C64" i="1"/>
  <c r="B64" i="1"/>
  <c r="A64" i="1"/>
  <c r="C63" i="1"/>
  <c r="B63" i="1"/>
  <c r="A63" i="1"/>
  <c r="C62" i="1"/>
  <c r="B62" i="1"/>
  <c r="A62" i="1"/>
  <c r="C61" i="1"/>
  <c r="B61" i="1"/>
  <c r="A61" i="1"/>
  <c r="C60" i="1"/>
  <c r="B60" i="1"/>
  <c r="A60" i="1"/>
  <c r="C59" i="1"/>
  <c r="B59" i="1"/>
  <c r="A59" i="1"/>
  <c r="C58" i="1"/>
  <c r="B58" i="1"/>
  <c r="A58" i="1"/>
  <c r="C57" i="1"/>
  <c r="B57" i="1"/>
  <c r="A57" i="1"/>
  <c r="C56" i="1"/>
  <c r="B56" i="1"/>
  <c r="A56" i="1"/>
  <c r="C55" i="1"/>
  <c r="B55" i="1"/>
  <c r="A55" i="1"/>
  <c r="C54" i="1"/>
  <c r="B54" i="1"/>
  <c r="A54" i="1"/>
  <c r="C53" i="1"/>
  <c r="B53" i="1"/>
  <c r="A53" i="1"/>
  <c r="C52" i="1"/>
  <c r="B52" i="1"/>
  <c r="A52" i="1"/>
  <c r="C51" i="1"/>
  <c r="B51" i="1"/>
  <c r="A51" i="1"/>
  <c r="C50" i="1"/>
  <c r="B50" i="1"/>
  <c r="A50" i="1"/>
  <c r="C49" i="1"/>
  <c r="B49" i="1"/>
  <c r="A49" i="1"/>
  <c r="C48" i="1"/>
  <c r="B48" i="1"/>
  <c r="A48" i="1"/>
  <c r="C47" i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A40" i="1"/>
  <c r="C39" i="1"/>
  <c r="B39" i="1"/>
  <c r="A39" i="1"/>
  <c r="C38" i="1"/>
  <c r="B38" i="1"/>
  <c r="A38" i="1"/>
  <c r="C37" i="1"/>
  <c r="B37" i="1"/>
  <c r="A37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C24" i="1"/>
  <c r="B24" i="1"/>
  <c r="A24" i="1"/>
  <c r="C23" i="1"/>
  <c r="B23" i="1"/>
  <c r="A23" i="1"/>
  <c r="C22" i="1"/>
  <c r="B22" i="1"/>
  <c r="A22" i="1"/>
  <c r="C21" i="1"/>
  <c r="B21" i="1"/>
  <c r="A21" i="1"/>
  <c r="C20" i="1"/>
  <c r="B20" i="1"/>
  <c r="A20" i="1"/>
  <c r="C19" i="1"/>
  <c r="B19" i="1"/>
  <c r="A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A8" i="1"/>
  <c r="F7" i="1"/>
  <c r="C7" i="1"/>
  <c r="B7" i="1"/>
  <c r="A7" i="1"/>
  <c r="C6" i="1"/>
  <c r="B6" i="1"/>
  <c r="A6" i="1"/>
  <c r="B87" i="12"/>
  <c r="B82" i="12"/>
  <c r="B81" i="12"/>
  <c r="B80" i="12"/>
  <c r="B79" i="12"/>
  <c r="B73" i="12"/>
  <c r="B72" i="12"/>
  <c r="B71" i="12"/>
  <c r="B70" i="12"/>
  <c r="C64" i="12"/>
  <c r="B64" i="12"/>
  <c r="C63" i="12"/>
  <c r="B63" i="12"/>
  <c r="C62" i="12"/>
  <c r="B62" i="12"/>
  <c r="C61" i="12"/>
  <c r="B61" i="12"/>
  <c r="C60" i="12"/>
  <c r="B60" i="12"/>
  <c r="C59" i="12"/>
  <c r="B59" i="12"/>
  <c r="C58" i="12"/>
  <c r="B58" i="12"/>
  <c r="C57" i="12"/>
  <c r="B57" i="12"/>
  <c r="C56" i="12"/>
  <c r="B56" i="12"/>
  <c r="C55" i="12"/>
  <c r="B55" i="12"/>
  <c r="C54" i="12"/>
  <c r="B54" i="12"/>
  <c r="C53" i="12"/>
  <c r="B53" i="12"/>
  <c r="C52" i="12"/>
  <c r="B52" i="12"/>
  <c r="C51" i="12"/>
  <c r="B51" i="12"/>
  <c r="C50" i="12"/>
  <c r="B50" i="12"/>
  <c r="C49" i="12"/>
  <c r="B49" i="12"/>
  <c r="C48" i="12"/>
  <c r="B48" i="12"/>
  <c r="C47" i="12"/>
  <c r="B47" i="12"/>
  <c r="C46" i="12"/>
  <c r="B46" i="12"/>
  <c r="C45" i="12"/>
  <c r="B45" i="12"/>
  <c r="C44" i="12"/>
  <c r="B44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C20" i="12"/>
  <c r="B20" i="12"/>
  <c r="C19" i="12"/>
  <c r="B19" i="12"/>
  <c r="C18" i="12"/>
  <c r="B18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G37" i="7"/>
  <c r="G37" i="8"/>
  <c r="H91" i="8"/>
  <c r="B83" i="8"/>
  <c r="B91" i="8"/>
  <c r="C91" i="8"/>
  <c r="D91" i="8"/>
  <c r="I91" i="8"/>
  <c r="G38" i="8"/>
  <c r="H92" i="8"/>
  <c r="B92" i="8"/>
  <c r="C92" i="8"/>
  <c r="D92" i="8"/>
  <c r="I92" i="8"/>
  <c r="G39" i="8"/>
  <c r="H93" i="8"/>
  <c r="B93" i="8"/>
  <c r="C93" i="8"/>
  <c r="D93" i="8"/>
  <c r="I93" i="8"/>
  <c r="G40" i="8"/>
  <c r="H94" i="8"/>
  <c r="B94" i="8"/>
  <c r="C94" i="8"/>
  <c r="D94" i="8"/>
  <c r="I94" i="8"/>
  <c r="G41" i="8"/>
  <c r="H95" i="8"/>
  <c r="B95" i="8"/>
  <c r="C95" i="8"/>
  <c r="D95" i="8"/>
  <c r="I95" i="8"/>
  <c r="G42" i="8"/>
  <c r="H96" i="8"/>
  <c r="B96" i="8"/>
  <c r="C96" i="8"/>
  <c r="D96" i="8"/>
  <c r="I96" i="8"/>
  <c r="G43" i="8"/>
  <c r="H97" i="8"/>
  <c r="B97" i="8"/>
  <c r="C97" i="8"/>
  <c r="D97" i="8"/>
  <c r="I97" i="8"/>
  <c r="G44" i="8"/>
  <c r="H98" i="8"/>
  <c r="B98" i="8"/>
  <c r="C98" i="8"/>
  <c r="D98" i="8"/>
  <c r="I98" i="8"/>
  <c r="G45" i="8"/>
  <c r="H99" i="8"/>
  <c r="B99" i="8"/>
  <c r="C99" i="8"/>
  <c r="D99" i="8"/>
  <c r="I99" i="8"/>
  <c r="G46" i="8"/>
  <c r="H100" i="8"/>
  <c r="B100" i="8"/>
  <c r="C100" i="8"/>
  <c r="D100" i="8"/>
  <c r="I100" i="8"/>
  <c r="G47" i="8"/>
  <c r="H101" i="8"/>
  <c r="B101" i="8"/>
  <c r="C101" i="8"/>
  <c r="D101" i="8"/>
  <c r="I101" i="8"/>
  <c r="G48" i="8"/>
  <c r="H102" i="8"/>
  <c r="B102" i="8"/>
  <c r="C102" i="8"/>
  <c r="D102" i="8"/>
  <c r="I102" i="8"/>
  <c r="G49" i="8"/>
  <c r="H103" i="8"/>
  <c r="B103" i="8"/>
  <c r="C103" i="8"/>
  <c r="D103" i="8"/>
  <c r="I103" i="8"/>
  <c r="G50" i="8"/>
  <c r="H104" i="8"/>
  <c r="B104" i="8"/>
  <c r="C104" i="8"/>
  <c r="D104" i="8"/>
  <c r="I104" i="8"/>
  <c r="G51" i="8"/>
  <c r="H105" i="8"/>
  <c r="B105" i="8"/>
  <c r="C105" i="8"/>
  <c r="D105" i="8"/>
  <c r="I105" i="8"/>
  <c r="G52" i="8"/>
  <c r="H106" i="8"/>
  <c r="B106" i="8"/>
  <c r="C106" i="8"/>
  <c r="D106" i="8"/>
  <c r="I106" i="8"/>
  <c r="G53" i="8"/>
  <c r="H107" i="8"/>
  <c r="B107" i="8"/>
  <c r="C107" i="8"/>
  <c r="D107" i="8"/>
  <c r="I107" i="8"/>
  <c r="G54" i="8"/>
  <c r="H108" i="8"/>
  <c r="B108" i="8"/>
  <c r="C108" i="8"/>
  <c r="D108" i="8"/>
  <c r="I108" i="8"/>
  <c r="G55" i="8"/>
  <c r="H109" i="8"/>
  <c r="B109" i="8"/>
  <c r="C109" i="8"/>
  <c r="D109" i="8"/>
  <c r="I109" i="8"/>
  <c r="G56" i="8"/>
  <c r="H110" i="8"/>
  <c r="B110" i="8"/>
  <c r="C110" i="8"/>
  <c r="D110" i="8"/>
  <c r="I110" i="8"/>
  <c r="G57" i="8"/>
  <c r="H111" i="8"/>
  <c r="B111" i="8"/>
  <c r="C111" i="8"/>
  <c r="D111" i="8"/>
  <c r="I111" i="8"/>
  <c r="G58" i="8"/>
  <c r="H112" i="8"/>
  <c r="B112" i="8"/>
  <c r="C112" i="8"/>
  <c r="D112" i="8"/>
  <c r="I112" i="8"/>
  <c r="G59" i="8"/>
  <c r="H113" i="8"/>
  <c r="B113" i="8"/>
  <c r="C113" i="8"/>
  <c r="D113" i="8"/>
  <c r="I113" i="8"/>
  <c r="G60" i="8"/>
  <c r="H114" i="8"/>
  <c r="B114" i="8"/>
  <c r="C114" i="8"/>
  <c r="D114" i="8"/>
  <c r="I114" i="8"/>
  <c r="G61" i="8"/>
  <c r="H115" i="8"/>
  <c r="B115" i="8"/>
  <c r="C115" i="8"/>
  <c r="D115" i="8"/>
  <c r="I115" i="8"/>
  <c r="G62" i="8"/>
  <c r="H116" i="8"/>
  <c r="B116" i="8"/>
  <c r="C116" i="8"/>
  <c r="D116" i="8"/>
  <c r="I116" i="8"/>
  <c r="G63" i="8"/>
  <c r="H117" i="8"/>
  <c r="B117" i="8"/>
  <c r="C117" i="8"/>
  <c r="D117" i="8"/>
  <c r="I117" i="8"/>
  <c r="G64" i="8"/>
  <c r="H118" i="8"/>
  <c r="B118" i="8"/>
  <c r="C118" i="8"/>
  <c r="D118" i="8"/>
  <c r="I118" i="8"/>
  <c r="I119" i="8"/>
  <c r="H124" i="8"/>
  <c r="B124" i="8"/>
  <c r="I124" i="8"/>
  <c r="I30" i="8"/>
  <c r="D6" i="8"/>
  <c r="I6" i="8"/>
  <c r="D7" i="8"/>
  <c r="I7" i="8"/>
  <c r="D8" i="8"/>
  <c r="I8" i="8"/>
  <c r="D9" i="8"/>
  <c r="I9" i="8"/>
  <c r="D10" i="8"/>
  <c r="I10" i="8"/>
  <c r="D11" i="8"/>
  <c r="I11" i="8"/>
  <c r="D12" i="8"/>
  <c r="I12" i="8"/>
  <c r="D13" i="8"/>
  <c r="I13" i="8"/>
  <c r="D14" i="8"/>
  <c r="I14" i="8"/>
  <c r="D15" i="8"/>
  <c r="I15" i="8"/>
  <c r="D16" i="8"/>
  <c r="I16" i="8"/>
  <c r="D17" i="8"/>
  <c r="I17" i="8"/>
  <c r="D18" i="8"/>
  <c r="I18" i="8"/>
  <c r="D19" i="8"/>
  <c r="I19" i="8"/>
  <c r="D20" i="8"/>
  <c r="I20" i="8"/>
  <c r="D21" i="8"/>
  <c r="I21" i="8"/>
  <c r="D22" i="8"/>
  <c r="I22" i="8"/>
  <c r="D23" i="8"/>
  <c r="I23" i="8"/>
  <c r="D24" i="8"/>
  <c r="I24" i="8"/>
  <c r="D25" i="8"/>
  <c r="I25" i="8"/>
  <c r="D26" i="8"/>
  <c r="I26" i="8"/>
  <c r="D27" i="8"/>
  <c r="I27" i="8"/>
  <c r="D28" i="8"/>
  <c r="I28" i="8"/>
  <c r="D29" i="8"/>
  <c r="I29" i="8"/>
  <c r="I32" i="8"/>
  <c r="H125" i="8"/>
  <c r="H126" i="8"/>
  <c r="H127" i="8"/>
  <c r="H91" i="7"/>
  <c r="B83" i="7"/>
  <c r="B91" i="7"/>
  <c r="C91" i="7"/>
  <c r="D91" i="7"/>
  <c r="I91" i="7"/>
  <c r="G38" i="1"/>
  <c r="G38" i="7"/>
  <c r="H92" i="7"/>
  <c r="B92" i="7"/>
  <c r="C92" i="7"/>
  <c r="D92" i="7"/>
  <c r="I92" i="7"/>
  <c r="G39" i="1"/>
  <c r="G39" i="7"/>
  <c r="H93" i="7"/>
  <c r="B93" i="7"/>
  <c r="C93" i="7"/>
  <c r="D93" i="7"/>
  <c r="I93" i="7"/>
  <c r="G40" i="1"/>
  <c r="G40" i="7"/>
  <c r="H94" i="7"/>
  <c r="B94" i="7"/>
  <c r="C94" i="7"/>
  <c r="D94" i="7"/>
  <c r="I94" i="7"/>
  <c r="G41" i="1"/>
  <c r="G41" i="7"/>
  <c r="H95" i="7"/>
  <c r="B95" i="7"/>
  <c r="C95" i="7"/>
  <c r="D95" i="7"/>
  <c r="I95" i="7"/>
  <c r="G42" i="1"/>
  <c r="G42" i="7"/>
  <c r="H96" i="7"/>
  <c r="B96" i="7"/>
  <c r="C96" i="7"/>
  <c r="D96" i="7"/>
  <c r="I96" i="7"/>
  <c r="G43" i="1"/>
  <c r="G43" i="7"/>
  <c r="H97" i="7"/>
  <c r="B97" i="7"/>
  <c r="C97" i="7"/>
  <c r="D97" i="7"/>
  <c r="I97" i="7"/>
  <c r="G44" i="1"/>
  <c r="G44" i="7"/>
  <c r="H98" i="7"/>
  <c r="B98" i="7"/>
  <c r="C98" i="7"/>
  <c r="D98" i="7"/>
  <c r="I98" i="7"/>
  <c r="G45" i="1"/>
  <c r="G45" i="7"/>
  <c r="H99" i="7"/>
  <c r="B99" i="7"/>
  <c r="C99" i="7"/>
  <c r="D99" i="7"/>
  <c r="I99" i="7"/>
  <c r="G46" i="1"/>
  <c r="G46" i="7"/>
  <c r="H100" i="7"/>
  <c r="B100" i="7"/>
  <c r="C100" i="7"/>
  <c r="D100" i="7"/>
  <c r="I100" i="7"/>
  <c r="G47" i="1"/>
  <c r="G47" i="7"/>
  <c r="H101" i="7"/>
  <c r="B101" i="7"/>
  <c r="C101" i="7"/>
  <c r="D101" i="7"/>
  <c r="I101" i="7"/>
  <c r="G48" i="1"/>
  <c r="G48" i="7"/>
  <c r="H102" i="7"/>
  <c r="B102" i="7"/>
  <c r="C102" i="7"/>
  <c r="D102" i="7"/>
  <c r="I102" i="7"/>
  <c r="G49" i="1"/>
  <c r="G49" i="7"/>
  <c r="H103" i="7"/>
  <c r="B103" i="7"/>
  <c r="C103" i="7"/>
  <c r="D103" i="7"/>
  <c r="I103" i="7"/>
  <c r="G50" i="1"/>
  <c r="G50" i="7"/>
  <c r="H104" i="7"/>
  <c r="B104" i="7"/>
  <c r="C104" i="7"/>
  <c r="D104" i="7"/>
  <c r="I104" i="7"/>
  <c r="G51" i="1"/>
  <c r="G51" i="7"/>
  <c r="H105" i="7"/>
  <c r="B105" i="7"/>
  <c r="C105" i="7"/>
  <c r="D105" i="7"/>
  <c r="I105" i="7"/>
  <c r="G52" i="1"/>
  <c r="G52" i="7"/>
  <c r="H106" i="7"/>
  <c r="B106" i="7"/>
  <c r="C106" i="7"/>
  <c r="D106" i="7"/>
  <c r="I106" i="7"/>
  <c r="G53" i="1"/>
  <c r="G53" i="7"/>
  <c r="H107" i="7"/>
  <c r="B107" i="7"/>
  <c r="C107" i="7"/>
  <c r="D107" i="7"/>
  <c r="I107" i="7"/>
  <c r="G54" i="1"/>
  <c r="G54" i="7"/>
  <c r="H108" i="7"/>
  <c r="B108" i="7"/>
  <c r="C108" i="7"/>
  <c r="D108" i="7"/>
  <c r="I108" i="7"/>
  <c r="G55" i="1"/>
  <c r="G55" i="7"/>
  <c r="H109" i="7"/>
  <c r="B109" i="7"/>
  <c r="C109" i="7"/>
  <c r="D109" i="7"/>
  <c r="I109" i="7"/>
  <c r="G56" i="1"/>
  <c r="G56" i="7"/>
  <c r="H110" i="7"/>
  <c r="B110" i="7"/>
  <c r="C110" i="7"/>
  <c r="D110" i="7"/>
  <c r="I110" i="7"/>
  <c r="G57" i="1"/>
  <c r="G57" i="7"/>
  <c r="H111" i="7"/>
  <c r="B111" i="7"/>
  <c r="C111" i="7"/>
  <c r="D111" i="7"/>
  <c r="I111" i="7"/>
  <c r="G58" i="1"/>
  <c r="G58" i="7"/>
  <c r="H112" i="7"/>
  <c r="B112" i="7"/>
  <c r="C112" i="7"/>
  <c r="D112" i="7"/>
  <c r="I112" i="7"/>
  <c r="G59" i="1"/>
  <c r="G59" i="7"/>
  <c r="H113" i="7"/>
  <c r="B113" i="7"/>
  <c r="C113" i="7"/>
  <c r="D113" i="7"/>
  <c r="I113" i="7"/>
  <c r="G60" i="1"/>
  <c r="G60" i="7"/>
  <c r="H114" i="7"/>
  <c r="B114" i="7"/>
  <c r="C114" i="7"/>
  <c r="D114" i="7"/>
  <c r="I114" i="7"/>
  <c r="G61" i="1"/>
  <c r="G61" i="7"/>
  <c r="H115" i="7"/>
  <c r="B115" i="7"/>
  <c r="C115" i="7"/>
  <c r="D115" i="7"/>
  <c r="I115" i="7"/>
  <c r="G62" i="1"/>
  <c r="G62" i="7"/>
  <c r="H116" i="7"/>
  <c r="B116" i="7"/>
  <c r="C116" i="7"/>
  <c r="D116" i="7"/>
  <c r="I116" i="7"/>
  <c r="G63" i="1"/>
  <c r="G63" i="7"/>
  <c r="H117" i="7"/>
  <c r="B117" i="7"/>
  <c r="C117" i="7"/>
  <c r="D117" i="7"/>
  <c r="I117" i="7"/>
  <c r="G64" i="1"/>
  <c r="G64" i="7"/>
  <c r="H118" i="7"/>
  <c r="B118" i="7"/>
  <c r="C118" i="7"/>
  <c r="D118" i="7"/>
  <c r="I118" i="7"/>
  <c r="I119" i="7"/>
  <c r="H124" i="7"/>
  <c r="B124" i="7"/>
  <c r="I124" i="7"/>
  <c r="I30" i="7"/>
  <c r="D6" i="7"/>
  <c r="I6" i="7"/>
  <c r="D7" i="7"/>
  <c r="I7" i="7"/>
  <c r="D8" i="7"/>
  <c r="I8" i="7"/>
  <c r="D9" i="7"/>
  <c r="I9" i="7"/>
  <c r="D10" i="7"/>
  <c r="I10" i="7"/>
  <c r="D11" i="7"/>
  <c r="I11" i="7"/>
  <c r="D12" i="7"/>
  <c r="I12" i="7"/>
  <c r="D13" i="7"/>
  <c r="I13" i="7"/>
  <c r="D14" i="7"/>
  <c r="I14" i="7"/>
  <c r="D15" i="7"/>
  <c r="I15" i="7"/>
  <c r="D16" i="7"/>
  <c r="I16" i="7"/>
  <c r="D17" i="7"/>
  <c r="I17" i="7"/>
  <c r="D18" i="7"/>
  <c r="I18" i="7"/>
  <c r="D19" i="7"/>
  <c r="I19" i="7"/>
  <c r="D20" i="7"/>
  <c r="I20" i="7"/>
  <c r="D21" i="7"/>
  <c r="I21" i="7"/>
  <c r="D22" i="7"/>
  <c r="I22" i="7"/>
  <c r="D23" i="7"/>
  <c r="I23" i="7"/>
  <c r="D24" i="7"/>
  <c r="I24" i="7"/>
  <c r="D25" i="7"/>
  <c r="I25" i="7"/>
  <c r="D26" i="7"/>
  <c r="I26" i="7"/>
  <c r="D27" i="7"/>
  <c r="I27" i="7"/>
  <c r="D28" i="7"/>
  <c r="I28" i="7"/>
  <c r="D29" i="7"/>
  <c r="I29" i="7"/>
  <c r="I32" i="7"/>
  <c r="H125" i="7"/>
  <c r="H126" i="7"/>
  <c r="H127" i="7"/>
  <c r="G37" i="12"/>
  <c r="H91" i="12"/>
  <c r="B83" i="12"/>
  <c r="B91" i="12"/>
  <c r="C91" i="12"/>
  <c r="D91" i="12"/>
  <c r="I91" i="12"/>
  <c r="G38" i="12"/>
  <c r="H92" i="12"/>
  <c r="B92" i="12"/>
  <c r="C92" i="12"/>
  <c r="D92" i="12"/>
  <c r="I92" i="12"/>
  <c r="G39" i="12"/>
  <c r="H93" i="12"/>
  <c r="B93" i="12"/>
  <c r="C93" i="12"/>
  <c r="D93" i="12"/>
  <c r="I93" i="12"/>
  <c r="G40" i="12"/>
  <c r="H94" i="12"/>
  <c r="B94" i="12"/>
  <c r="C94" i="12"/>
  <c r="D94" i="12"/>
  <c r="I94" i="12"/>
  <c r="G41" i="12"/>
  <c r="H95" i="12"/>
  <c r="B95" i="12"/>
  <c r="C95" i="12"/>
  <c r="D95" i="12"/>
  <c r="I95" i="12"/>
  <c r="G42" i="12"/>
  <c r="H96" i="12"/>
  <c r="B96" i="12"/>
  <c r="C96" i="12"/>
  <c r="D96" i="12"/>
  <c r="I96" i="12"/>
  <c r="G43" i="12"/>
  <c r="H97" i="12"/>
  <c r="B97" i="12"/>
  <c r="C97" i="12"/>
  <c r="D97" i="12"/>
  <c r="I97" i="12"/>
  <c r="G44" i="12"/>
  <c r="H98" i="12"/>
  <c r="B98" i="12"/>
  <c r="C98" i="12"/>
  <c r="D98" i="12"/>
  <c r="I98" i="12"/>
  <c r="G45" i="12"/>
  <c r="H99" i="12"/>
  <c r="B99" i="12"/>
  <c r="C99" i="12"/>
  <c r="D99" i="12"/>
  <c r="I99" i="12"/>
  <c r="G46" i="12"/>
  <c r="H100" i="12"/>
  <c r="B100" i="12"/>
  <c r="C100" i="12"/>
  <c r="D100" i="12"/>
  <c r="I100" i="12"/>
  <c r="G47" i="12"/>
  <c r="H101" i="12"/>
  <c r="B101" i="12"/>
  <c r="C101" i="12"/>
  <c r="D101" i="12"/>
  <c r="I101" i="12"/>
  <c r="G48" i="12"/>
  <c r="H102" i="12"/>
  <c r="B102" i="12"/>
  <c r="C102" i="12"/>
  <c r="D102" i="12"/>
  <c r="I102" i="12"/>
  <c r="G49" i="12"/>
  <c r="H103" i="12"/>
  <c r="B103" i="12"/>
  <c r="C103" i="12"/>
  <c r="D103" i="12"/>
  <c r="I103" i="12"/>
  <c r="G50" i="12"/>
  <c r="H104" i="12"/>
  <c r="B104" i="12"/>
  <c r="C104" i="12"/>
  <c r="D104" i="12"/>
  <c r="I104" i="12"/>
  <c r="G51" i="12"/>
  <c r="H105" i="12"/>
  <c r="B105" i="12"/>
  <c r="C105" i="12"/>
  <c r="D105" i="12"/>
  <c r="I105" i="12"/>
  <c r="G52" i="12"/>
  <c r="H106" i="12"/>
  <c r="B106" i="12"/>
  <c r="C106" i="12"/>
  <c r="D106" i="12"/>
  <c r="I106" i="12"/>
  <c r="G53" i="12"/>
  <c r="H107" i="12"/>
  <c r="B107" i="12"/>
  <c r="C107" i="12"/>
  <c r="D107" i="12"/>
  <c r="I107" i="12"/>
  <c r="G54" i="12"/>
  <c r="H108" i="12"/>
  <c r="B108" i="12"/>
  <c r="C108" i="12"/>
  <c r="D108" i="12"/>
  <c r="I108" i="12"/>
  <c r="G55" i="12"/>
  <c r="H109" i="12"/>
  <c r="B109" i="12"/>
  <c r="C109" i="12"/>
  <c r="D109" i="12"/>
  <c r="I109" i="12"/>
  <c r="G56" i="12"/>
  <c r="H110" i="12"/>
  <c r="B110" i="12"/>
  <c r="C110" i="12"/>
  <c r="D110" i="12"/>
  <c r="I110" i="12"/>
  <c r="G57" i="12"/>
  <c r="H111" i="12"/>
  <c r="B111" i="12"/>
  <c r="C111" i="12"/>
  <c r="D111" i="12"/>
  <c r="I111" i="12"/>
  <c r="G58" i="12"/>
  <c r="H112" i="12"/>
  <c r="B112" i="12"/>
  <c r="C112" i="12"/>
  <c r="D112" i="12"/>
  <c r="I112" i="12"/>
  <c r="G59" i="12"/>
  <c r="H113" i="12"/>
  <c r="B113" i="12"/>
  <c r="C113" i="12"/>
  <c r="D113" i="12"/>
  <c r="I113" i="12"/>
  <c r="G60" i="12"/>
  <c r="H114" i="12"/>
  <c r="B114" i="12"/>
  <c r="C114" i="12"/>
  <c r="D114" i="12"/>
  <c r="I114" i="12"/>
  <c r="G61" i="12"/>
  <c r="H115" i="12"/>
  <c r="B115" i="12"/>
  <c r="C115" i="12"/>
  <c r="D115" i="12"/>
  <c r="I115" i="12"/>
  <c r="G62" i="12"/>
  <c r="H116" i="12"/>
  <c r="B116" i="12"/>
  <c r="C116" i="12"/>
  <c r="D116" i="12"/>
  <c r="I116" i="12"/>
  <c r="G63" i="12"/>
  <c r="H117" i="12"/>
  <c r="B117" i="12"/>
  <c r="C117" i="12"/>
  <c r="D117" i="12"/>
  <c r="I117" i="12"/>
  <c r="G64" i="12"/>
  <c r="H118" i="12"/>
  <c r="B118" i="12"/>
  <c r="C118" i="12"/>
  <c r="D118" i="12"/>
  <c r="I118" i="12"/>
  <c r="I119" i="12"/>
  <c r="H124" i="12"/>
  <c r="B124" i="12"/>
  <c r="I124" i="12"/>
  <c r="I30" i="12"/>
  <c r="D6" i="12"/>
  <c r="I6" i="12"/>
  <c r="D7" i="12"/>
  <c r="I7" i="12"/>
  <c r="D8" i="12"/>
  <c r="I8" i="12"/>
  <c r="D9" i="12"/>
  <c r="I9" i="12"/>
  <c r="D10" i="12"/>
  <c r="I10" i="12"/>
  <c r="D11" i="12"/>
  <c r="I11" i="12"/>
  <c r="D12" i="12"/>
  <c r="I12" i="12"/>
  <c r="D13" i="12"/>
  <c r="I13" i="12"/>
  <c r="D14" i="12"/>
  <c r="I14" i="12"/>
  <c r="D15" i="12"/>
  <c r="I15" i="12"/>
  <c r="D16" i="12"/>
  <c r="I16" i="12"/>
  <c r="D17" i="12"/>
  <c r="I17" i="12"/>
  <c r="D18" i="12"/>
  <c r="I18" i="12"/>
  <c r="D19" i="12"/>
  <c r="I19" i="12"/>
  <c r="D20" i="12"/>
  <c r="I20" i="12"/>
  <c r="D21" i="12"/>
  <c r="I21" i="12"/>
  <c r="D22" i="12"/>
  <c r="I22" i="12"/>
  <c r="D23" i="12"/>
  <c r="I23" i="12"/>
  <c r="D24" i="12"/>
  <c r="I24" i="12"/>
  <c r="D25" i="12"/>
  <c r="I25" i="12"/>
  <c r="D26" i="12"/>
  <c r="I26" i="12"/>
  <c r="D27" i="12"/>
  <c r="I27" i="12"/>
  <c r="D28" i="12"/>
  <c r="I28" i="12"/>
  <c r="D29" i="12"/>
  <c r="I29" i="12"/>
  <c r="I32" i="12"/>
  <c r="H125" i="12"/>
  <c r="H126" i="12"/>
  <c r="H127" i="12"/>
  <c r="K91" i="8"/>
  <c r="L91" i="8"/>
  <c r="K92" i="8"/>
  <c r="L92" i="8"/>
  <c r="K93" i="8"/>
  <c r="L93" i="8"/>
  <c r="K94" i="8"/>
  <c r="L94" i="8"/>
  <c r="K95" i="8"/>
  <c r="L95" i="8"/>
  <c r="K96" i="8"/>
  <c r="L96" i="8"/>
  <c r="K97" i="8"/>
  <c r="L97" i="8"/>
  <c r="K98" i="8"/>
  <c r="L98" i="8"/>
  <c r="K99" i="8"/>
  <c r="L99" i="8"/>
  <c r="K100" i="8"/>
  <c r="L100" i="8"/>
  <c r="K101" i="8"/>
  <c r="L101" i="8"/>
  <c r="K102" i="8"/>
  <c r="L102" i="8"/>
  <c r="K103" i="8"/>
  <c r="L103" i="8"/>
  <c r="K104" i="8"/>
  <c r="L104" i="8"/>
  <c r="K105" i="8"/>
  <c r="L105" i="8"/>
  <c r="K106" i="8"/>
  <c r="L106" i="8"/>
  <c r="K107" i="8"/>
  <c r="L107" i="8"/>
  <c r="K108" i="8"/>
  <c r="L108" i="8"/>
  <c r="K109" i="8"/>
  <c r="L109" i="8"/>
  <c r="K110" i="8"/>
  <c r="L110" i="8"/>
  <c r="K111" i="8"/>
  <c r="L111" i="8"/>
  <c r="K112" i="8"/>
  <c r="L112" i="8"/>
  <c r="K113" i="8"/>
  <c r="L113" i="8"/>
  <c r="K114" i="8"/>
  <c r="L114" i="8"/>
  <c r="K115" i="8"/>
  <c r="L115" i="8"/>
  <c r="K116" i="8"/>
  <c r="L116" i="8"/>
  <c r="K117" i="8"/>
  <c r="L117" i="8"/>
  <c r="K118" i="8"/>
  <c r="L118" i="8"/>
  <c r="L119" i="8"/>
  <c r="L124" i="8"/>
  <c r="B119" i="8"/>
  <c r="B128" i="8"/>
  <c r="K128" i="8"/>
  <c r="L128" i="8"/>
  <c r="B125" i="8"/>
  <c r="B126" i="8"/>
  <c r="B127" i="8"/>
  <c r="L127" i="8"/>
  <c r="L126" i="8"/>
  <c r="L125" i="8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B119" i="7"/>
  <c r="B128" i="7"/>
  <c r="K128" i="7"/>
  <c r="L128" i="7"/>
  <c r="B125" i="7"/>
  <c r="B126" i="7"/>
  <c r="B127" i="7"/>
  <c r="L127" i="7"/>
  <c r="L126" i="7"/>
  <c r="L125" i="7"/>
  <c r="K91" i="12"/>
  <c r="L91" i="12"/>
  <c r="K92" i="12"/>
  <c r="L92" i="12"/>
  <c r="K93" i="12"/>
  <c r="L93" i="12"/>
  <c r="K94" i="12"/>
  <c r="L94" i="12"/>
  <c r="K95" i="12"/>
  <c r="L95" i="12"/>
  <c r="K96" i="12"/>
  <c r="L96" i="12"/>
  <c r="K97" i="12"/>
  <c r="L97" i="12"/>
  <c r="K98" i="12"/>
  <c r="L98" i="12"/>
  <c r="K99" i="12"/>
  <c r="L99" i="12"/>
  <c r="K100" i="12"/>
  <c r="L100" i="12"/>
  <c r="K101" i="12"/>
  <c r="L101" i="12"/>
  <c r="K102" i="12"/>
  <c r="L102" i="12"/>
  <c r="K103" i="12"/>
  <c r="L103" i="12"/>
  <c r="K104" i="12"/>
  <c r="L104" i="12"/>
  <c r="K105" i="12"/>
  <c r="L105" i="12"/>
  <c r="K106" i="12"/>
  <c r="L106" i="12"/>
  <c r="K107" i="12"/>
  <c r="L107" i="12"/>
  <c r="K108" i="12"/>
  <c r="L108" i="12"/>
  <c r="K109" i="12"/>
  <c r="L109" i="12"/>
  <c r="K110" i="12"/>
  <c r="L110" i="12"/>
  <c r="K111" i="12"/>
  <c r="L111" i="12"/>
  <c r="K112" i="12"/>
  <c r="L112" i="12"/>
  <c r="K113" i="12"/>
  <c r="L113" i="12"/>
  <c r="K114" i="12"/>
  <c r="L114" i="12"/>
  <c r="K115" i="12"/>
  <c r="L115" i="12"/>
  <c r="K116" i="12"/>
  <c r="L116" i="12"/>
  <c r="K117" i="12"/>
  <c r="L117" i="12"/>
  <c r="K118" i="12"/>
  <c r="L118" i="12"/>
  <c r="L119" i="12"/>
  <c r="L124" i="12"/>
  <c r="B119" i="12"/>
  <c r="B128" i="12"/>
  <c r="K128" i="12"/>
  <c r="L128" i="12"/>
  <c r="B125" i="12"/>
  <c r="B126" i="12"/>
  <c r="B127" i="12"/>
  <c r="L127" i="12"/>
  <c r="L126" i="12"/>
  <c r="L125" i="12"/>
  <c r="L130" i="8"/>
  <c r="L129" i="8"/>
  <c r="B130" i="8"/>
  <c r="B129" i="8"/>
  <c r="K129" i="8"/>
  <c r="K30" i="8"/>
  <c r="L30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L32" i="8"/>
  <c r="K127" i="8"/>
  <c r="J33" i="8"/>
  <c r="J18" i="8"/>
  <c r="J19" i="8"/>
  <c r="J20" i="8"/>
  <c r="J21" i="8"/>
  <c r="J22" i="8"/>
  <c r="J23" i="8"/>
  <c r="J24" i="8"/>
  <c r="J25" i="8"/>
  <c r="L130" i="7"/>
  <c r="L129" i="7"/>
  <c r="B130" i="7"/>
  <c r="B129" i="7"/>
  <c r="K129" i="7"/>
  <c r="K30" i="7"/>
  <c r="L30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L32" i="7"/>
  <c r="K127" i="7"/>
  <c r="J33" i="7"/>
  <c r="J18" i="7"/>
  <c r="J19" i="7"/>
  <c r="J20" i="7"/>
  <c r="J21" i="7"/>
  <c r="J22" i="7"/>
  <c r="J23" i="7"/>
  <c r="J24" i="7"/>
  <c r="J25" i="7"/>
  <c r="L130" i="12"/>
  <c r="L129" i="12"/>
  <c r="B130" i="12"/>
  <c r="B129" i="12"/>
  <c r="K129" i="12"/>
  <c r="K30" i="12"/>
  <c r="L30" i="12"/>
  <c r="K6" i="12"/>
  <c r="L6" i="12"/>
  <c r="K7" i="12"/>
  <c r="L7" i="12"/>
  <c r="K8" i="12"/>
  <c r="L8" i="12"/>
  <c r="K9" i="12"/>
  <c r="L9" i="12"/>
  <c r="K10" i="12"/>
  <c r="L10" i="12"/>
  <c r="K11" i="12"/>
  <c r="L11" i="12"/>
  <c r="K12" i="12"/>
  <c r="L12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6" i="12"/>
  <c r="L26" i="12"/>
  <c r="K27" i="12"/>
  <c r="L27" i="12"/>
  <c r="K28" i="12"/>
  <c r="L28" i="12"/>
  <c r="K29" i="12"/>
  <c r="L29" i="12"/>
  <c r="L32" i="12"/>
  <c r="K127" i="12"/>
  <c r="J33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6" i="12"/>
  <c r="J17" i="12"/>
  <c r="J18" i="12"/>
  <c r="J19" i="12"/>
  <c r="J20" i="12"/>
  <c r="J21" i="12"/>
  <c r="J22" i="12"/>
  <c r="J23" i="12"/>
  <c r="J24" i="12"/>
  <c r="J25" i="12"/>
  <c r="H124" i="1"/>
  <c r="H91" i="1"/>
  <c r="B83" i="1"/>
  <c r="B91" i="1"/>
  <c r="K91" i="1"/>
  <c r="L91" i="1"/>
  <c r="H92" i="1"/>
  <c r="B92" i="1"/>
  <c r="K92" i="1"/>
  <c r="L92" i="1"/>
  <c r="H93" i="1"/>
  <c r="B93" i="1"/>
  <c r="K93" i="1"/>
  <c r="L93" i="1"/>
  <c r="H94" i="1"/>
  <c r="B94" i="1"/>
  <c r="K94" i="1"/>
  <c r="L94" i="1"/>
  <c r="H95" i="1"/>
  <c r="B95" i="1"/>
  <c r="K95" i="1"/>
  <c r="L95" i="1"/>
  <c r="H96" i="1"/>
  <c r="B96" i="1"/>
  <c r="K96" i="1"/>
  <c r="L96" i="1"/>
  <c r="H97" i="1"/>
  <c r="B97" i="1"/>
  <c r="K97" i="1"/>
  <c r="L97" i="1"/>
  <c r="H98" i="1"/>
  <c r="B98" i="1"/>
  <c r="K98" i="1"/>
  <c r="L98" i="1"/>
  <c r="H99" i="1"/>
  <c r="B99" i="1"/>
  <c r="K99" i="1"/>
  <c r="L99" i="1"/>
  <c r="H100" i="1"/>
  <c r="B100" i="1"/>
  <c r="K100" i="1"/>
  <c r="L100" i="1"/>
  <c r="H101" i="1"/>
  <c r="B101" i="1"/>
  <c r="K101" i="1"/>
  <c r="L101" i="1"/>
  <c r="H102" i="1"/>
  <c r="B102" i="1"/>
  <c r="K102" i="1"/>
  <c r="L102" i="1"/>
  <c r="H103" i="1"/>
  <c r="B103" i="1"/>
  <c r="K103" i="1"/>
  <c r="L103" i="1"/>
  <c r="H104" i="1"/>
  <c r="B104" i="1"/>
  <c r="K104" i="1"/>
  <c r="L104" i="1"/>
  <c r="H105" i="1"/>
  <c r="B105" i="1"/>
  <c r="K105" i="1"/>
  <c r="L105" i="1"/>
  <c r="H106" i="1"/>
  <c r="B106" i="1"/>
  <c r="K106" i="1"/>
  <c r="L106" i="1"/>
  <c r="H107" i="1"/>
  <c r="B107" i="1"/>
  <c r="K107" i="1"/>
  <c r="L107" i="1"/>
  <c r="H108" i="1"/>
  <c r="B108" i="1"/>
  <c r="K108" i="1"/>
  <c r="L108" i="1"/>
  <c r="H109" i="1"/>
  <c r="B109" i="1"/>
  <c r="K109" i="1"/>
  <c r="L109" i="1"/>
  <c r="H110" i="1"/>
  <c r="B110" i="1"/>
  <c r="K110" i="1"/>
  <c r="L110" i="1"/>
  <c r="H111" i="1"/>
  <c r="B111" i="1"/>
  <c r="K111" i="1"/>
  <c r="L111" i="1"/>
  <c r="H112" i="1"/>
  <c r="B112" i="1"/>
  <c r="K112" i="1"/>
  <c r="L112" i="1"/>
  <c r="H113" i="1"/>
  <c r="B113" i="1"/>
  <c r="K113" i="1"/>
  <c r="L113" i="1"/>
  <c r="H114" i="1"/>
  <c r="B114" i="1"/>
  <c r="K114" i="1"/>
  <c r="L114" i="1"/>
  <c r="H115" i="1"/>
  <c r="B115" i="1"/>
  <c r="K115" i="1"/>
  <c r="L115" i="1"/>
  <c r="H116" i="1"/>
  <c r="B116" i="1"/>
  <c r="K116" i="1"/>
  <c r="L116" i="1"/>
  <c r="H117" i="1"/>
  <c r="B117" i="1"/>
  <c r="K117" i="1"/>
  <c r="L117" i="1"/>
  <c r="H118" i="1"/>
  <c r="B118" i="1"/>
  <c r="K118" i="1"/>
  <c r="L118" i="1"/>
  <c r="L119" i="1"/>
  <c r="B124" i="1"/>
  <c r="L124" i="1"/>
  <c r="H125" i="1"/>
  <c r="B125" i="1"/>
  <c r="L125" i="1"/>
  <c r="H126" i="1"/>
  <c r="B119" i="1"/>
  <c r="B128" i="1"/>
  <c r="K128" i="1"/>
  <c r="L128" i="1"/>
  <c r="B126" i="1"/>
  <c r="L126" i="1"/>
  <c r="H127" i="1"/>
  <c r="B127" i="1"/>
  <c r="L127" i="1"/>
  <c r="L130" i="1"/>
  <c r="L129" i="1"/>
  <c r="C91" i="1"/>
  <c r="D91" i="1"/>
  <c r="I91" i="1"/>
  <c r="C92" i="1"/>
  <c r="D92" i="1"/>
  <c r="I92" i="1"/>
  <c r="C93" i="1"/>
  <c r="D93" i="1"/>
  <c r="I93" i="1"/>
  <c r="C94" i="1"/>
  <c r="D94" i="1"/>
  <c r="I94" i="1"/>
  <c r="C95" i="1"/>
  <c r="D95" i="1"/>
  <c r="I95" i="1"/>
  <c r="C96" i="1"/>
  <c r="D96" i="1"/>
  <c r="I96" i="1"/>
  <c r="C97" i="1"/>
  <c r="D97" i="1"/>
  <c r="I97" i="1"/>
  <c r="C98" i="1"/>
  <c r="D98" i="1"/>
  <c r="I98" i="1"/>
  <c r="C99" i="1"/>
  <c r="D99" i="1"/>
  <c r="I99" i="1"/>
  <c r="C100" i="1"/>
  <c r="D100" i="1"/>
  <c r="I100" i="1"/>
  <c r="C101" i="1"/>
  <c r="D101" i="1"/>
  <c r="I101" i="1"/>
  <c r="C102" i="1"/>
  <c r="D102" i="1"/>
  <c r="I102" i="1"/>
  <c r="C103" i="1"/>
  <c r="D103" i="1"/>
  <c r="I103" i="1"/>
  <c r="C104" i="1"/>
  <c r="D104" i="1"/>
  <c r="I104" i="1"/>
  <c r="C105" i="1"/>
  <c r="D105" i="1"/>
  <c r="I105" i="1"/>
  <c r="C106" i="1"/>
  <c r="D106" i="1"/>
  <c r="I106" i="1"/>
  <c r="C107" i="1"/>
  <c r="D107" i="1"/>
  <c r="I107" i="1"/>
  <c r="C108" i="1"/>
  <c r="D108" i="1"/>
  <c r="I108" i="1"/>
  <c r="C109" i="1"/>
  <c r="D109" i="1"/>
  <c r="I109" i="1"/>
  <c r="C110" i="1"/>
  <c r="D110" i="1"/>
  <c r="I110" i="1"/>
  <c r="C111" i="1"/>
  <c r="D111" i="1"/>
  <c r="I111" i="1"/>
  <c r="C112" i="1"/>
  <c r="D112" i="1"/>
  <c r="I112" i="1"/>
  <c r="C113" i="1"/>
  <c r="D113" i="1"/>
  <c r="I113" i="1"/>
  <c r="C114" i="1"/>
  <c r="D114" i="1"/>
  <c r="I114" i="1"/>
  <c r="C115" i="1"/>
  <c r="D115" i="1"/>
  <c r="I115" i="1"/>
  <c r="C116" i="1"/>
  <c r="D116" i="1"/>
  <c r="I116" i="1"/>
  <c r="C117" i="1"/>
  <c r="D117" i="1"/>
  <c r="I117" i="1"/>
  <c r="C118" i="1"/>
  <c r="D118" i="1"/>
  <c r="I118" i="1"/>
  <c r="I119" i="1"/>
  <c r="I124" i="1"/>
  <c r="I30" i="1"/>
  <c r="D6" i="1"/>
  <c r="H6" i="1"/>
  <c r="I6" i="1"/>
  <c r="D7" i="1"/>
  <c r="H7" i="1"/>
  <c r="I7" i="1"/>
  <c r="D8" i="1"/>
  <c r="H8" i="1"/>
  <c r="I8" i="1"/>
  <c r="D9" i="1"/>
  <c r="H9" i="1"/>
  <c r="I9" i="1"/>
  <c r="D10" i="1"/>
  <c r="H10" i="1"/>
  <c r="I10" i="1"/>
  <c r="D11" i="1"/>
  <c r="H11" i="1"/>
  <c r="I11" i="1"/>
  <c r="D12" i="1"/>
  <c r="H12" i="1"/>
  <c r="I12" i="1"/>
  <c r="D13" i="1"/>
  <c r="H13" i="1"/>
  <c r="I13" i="1"/>
  <c r="D14" i="1"/>
  <c r="H14" i="1"/>
  <c r="I14" i="1"/>
  <c r="D15" i="1"/>
  <c r="H15" i="1"/>
  <c r="I15" i="1"/>
  <c r="D16" i="1"/>
  <c r="H16" i="1"/>
  <c r="I16" i="1"/>
  <c r="D17" i="1"/>
  <c r="H17" i="1"/>
  <c r="I17" i="1"/>
  <c r="D18" i="1"/>
  <c r="H18" i="1"/>
  <c r="I18" i="1"/>
  <c r="D19" i="1"/>
  <c r="H19" i="1"/>
  <c r="I19" i="1"/>
  <c r="D20" i="1"/>
  <c r="H20" i="1"/>
  <c r="I20" i="1"/>
  <c r="D21" i="1"/>
  <c r="H21" i="1"/>
  <c r="I21" i="1"/>
  <c r="D22" i="1"/>
  <c r="H22" i="1"/>
  <c r="I22" i="1"/>
  <c r="D23" i="1"/>
  <c r="H23" i="1"/>
  <c r="I23" i="1"/>
  <c r="D24" i="1"/>
  <c r="H24" i="1"/>
  <c r="I24" i="1"/>
  <c r="D25" i="1"/>
  <c r="H25" i="1"/>
  <c r="I25" i="1"/>
  <c r="D26" i="1"/>
  <c r="H26" i="1"/>
  <c r="I26" i="1"/>
  <c r="D27" i="1"/>
  <c r="H27" i="1"/>
  <c r="I27" i="1"/>
  <c r="D28" i="1"/>
  <c r="H28" i="1"/>
  <c r="I28" i="1"/>
  <c r="D29" i="1"/>
  <c r="H29" i="1"/>
  <c r="I29" i="1"/>
  <c r="I32" i="1"/>
  <c r="B130" i="1"/>
  <c r="B129" i="1"/>
  <c r="B75" i="1"/>
  <c r="L75" i="12"/>
  <c r="H83" i="8"/>
  <c r="I83" i="8"/>
  <c r="I84" i="8"/>
  <c r="B84" i="8"/>
  <c r="H84" i="8"/>
  <c r="R8" i="8"/>
  <c r="S8" i="8"/>
  <c r="I128" i="8"/>
  <c r="R9" i="8"/>
  <c r="S9" i="8"/>
  <c r="R10" i="8"/>
  <c r="S10" i="8"/>
  <c r="T10" i="8"/>
  <c r="R11" i="8"/>
  <c r="S11" i="8"/>
  <c r="R12" i="8"/>
  <c r="S12" i="8"/>
  <c r="M20" i="8"/>
  <c r="I131" i="8"/>
  <c r="J11" i="8"/>
  <c r="M11" i="8"/>
  <c r="J98" i="8"/>
  <c r="M98" i="8"/>
  <c r="T12" i="8"/>
  <c r="R13" i="8"/>
  <c r="S13" i="8"/>
  <c r="M21" i="8"/>
  <c r="M22" i="8"/>
  <c r="R14" i="8"/>
  <c r="S14" i="8"/>
  <c r="R15" i="8"/>
  <c r="S15" i="8"/>
  <c r="R16" i="8"/>
  <c r="S16" i="8"/>
  <c r="R17" i="8"/>
  <c r="S17" i="8"/>
  <c r="R18" i="8"/>
  <c r="S18" i="8"/>
  <c r="R19" i="8"/>
  <c r="S19" i="8"/>
  <c r="M23" i="8"/>
  <c r="M24" i="8"/>
  <c r="T19" i="8"/>
  <c r="R20" i="8"/>
  <c r="S20" i="8"/>
  <c r="R21" i="8"/>
  <c r="S21" i="8"/>
  <c r="J106" i="8"/>
  <c r="M106" i="8"/>
  <c r="J107" i="8"/>
  <c r="M107" i="8"/>
  <c r="T21" i="8"/>
  <c r="R22" i="8"/>
  <c r="S22" i="8"/>
  <c r="H83" i="7"/>
  <c r="I83" i="7"/>
  <c r="I84" i="7"/>
  <c r="B84" i="7"/>
  <c r="H84" i="7"/>
  <c r="R8" i="7"/>
  <c r="S8" i="7"/>
  <c r="I128" i="7"/>
  <c r="R9" i="7"/>
  <c r="S9" i="7"/>
  <c r="R10" i="7"/>
  <c r="S10" i="7"/>
  <c r="T10" i="7"/>
  <c r="R11" i="7"/>
  <c r="S11" i="7"/>
  <c r="R12" i="7"/>
  <c r="S12" i="7"/>
  <c r="M20" i="7"/>
  <c r="I131" i="7"/>
  <c r="J11" i="7"/>
  <c r="M11" i="7"/>
  <c r="J98" i="7"/>
  <c r="M98" i="7"/>
  <c r="T12" i="7"/>
  <c r="R13" i="7"/>
  <c r="S13" i="7"/>
  <c r="M21" i="7"/>
  <c r="M22" i="7"/>
  <c r="R14" i="7"/>
  <c r="S14" i="7"/>
  <c r="R15" i="7"/>
  <c r="S15" i="7"/>
  <c r="R16" i="7"/>
  <c r="S16" i="7"/>
  <c r="R17" i="7"/>
  <c r="S17" i="7"/>
  <c r="R18" i="7"/>
  <c r="S18" i="7"/>
  <c r="R19" i="7"/>
  <c r="S19" i="7"/>
  <c r="M23" i="7"/>
  <c r="M24" i="7"/>
  <c r="T19" i="7"/>
  <c r="R20" i="7"/>
  <c r="S20" i="7"/>
  <c r="R21" i="7"/>
  <c r="S21" i="7"/>
  <c r="J106" i="7"/>
  <c r="M106" i="7"/>
  <c r="J107" i="7"/>
  <c r="M107" i="7"/>
  <c r="T21" i="7"/>
  <c r="R22" i="7"/>
  <c r="S22" i="7"/>
  <c r="H83" i="12"/>
  <c r="I83" i="12"/>
  <c r="I84" i="12"/>
  <c r="B84" i="12"/>
  <c r="H84" i="12"/>
  <c r="R8" i="12"/>
  <c r="S8" i="12"/>
  <c r="I128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R9" i="12"/>
  <c r="S9" i="12"/>
  <c r="R10" i="12"/>
  <c r="S10" i="12"/>
  <c r="T10" i="12"/>
  <c r="R11" i="12"/>
  <c r="S11" i="12"/>
  <c r="R12" i="12"/>
  <c r="S12" i="12"/>
  <c r="M20" i="12"/>
  <c r="I131" i="12"/>
  <c r="J11" i="12"/>
  <c r="M11" i="12"/>
  <c r="J98" i="12"/>
  <c r="M98" i="12"/>
  <c r="T12" i="12"/>
  <c r="R13" i="12"/>
  <c r="S13" i="12"/>
  <c r="M21" i="12"/>
  <c r="M22" i="12"/>
  <c r="R14" i="12"/>
  <c r="S14" i="12"/>
  <c r="R15" i="12"/>
  <c r="S15" i="12"/>
  <c r="J105" i="12"/>
  <c r="M105" i="12"/>
  <c r="T15" i="12"/>
  <c r="R16" i="12"/>
  <c r="S16" i="12"/>
  <c r="T16" i="12"/>
  <c r="R17" i="12"/>
  <c r="S17" i="12"/>
  <c r="J103" i="12"/>
  <c r="M103" i="12"/>
  <c r="T17" i="12"/>
  <c r="R18" i="12"/>
  <c r="S18" i="12"/>
  <c r="R19" i="12"/>
  <c r="S19" i="12"/>
  <c r="M23" i="12"/>
  <c r="M24" i="12"/>
  <c r="T19" i="12"/>
  <c r="R20" i="12"/>
  <c r="S20" i="12"/>
  <c r="J104" i="12"/>
  <c r="M104" i="12"/>
  <c r="T20" i="12"/>
  <c r="R21" i="12"/>
  <c r="S21" i="12"/>
  <c r="T21" i="12"/>
  <c r="R22" i="12"/>
  <c r="S22" i="12"/>
  <c r="T22" i="12"/>
  <c r="M16" i="12"/>
  <c r="M17" i="12"/>
  <c r="M18" i="12"/>
  <c r="M19" i="12"/>
  <c r="M25" i="12"/>
  <c r="S7" i="12"/>
  <c r="R7" i="12"/>
  <c r="M18" i="7"/>
  <c r="M19" i="7"/>
  <c r="M25" i="7"/>
  <c r="S7" i="7"/>
  <c r="R7" i="7"/>
  <c r="M18" i="8"/>
  <c r="M19" i="8"/>
  <c r="M25" i="8"/>
  <c r="S7" i="8"/>
  <c r="R7" i="8"/>
  <c r="T37" i="8"/>
  <c r="T36" i="8"/>
  <c r="T35" i="8"/>
  <c r="T34" i="8"/>
  <c r="T33" i="8"/>
  <c r="T27" i="7"/>
  <c r="S27" i="7"/>
  <c r="R27" i="7"/>
  <c r="T26" i="7"/>
  <c r="S26" i="7"/>
  <c r="R26" i="7"/>
  <c r="T25" i="7"/>
  <c r="S25" i="7"/>
  <c r="R25" i="7"/>
  <c r="T27" i="8"/>
  <c r="S27" i="8"/>
  <c r="R27" i="8"/>
  <c r="T26" i="8"/>
  <c r="S26" i="8"/>
  <c r="R26" i="8"/>
  <c r="T25" i="8"/>
  <c r="S25" i="8"/>
  <c r="R25" i="8"/>
  <c r="T27" i="12"/>
  <c r="S27" i="12"/>
  <c r="R27" i="12"/>
  <c r="T26" i="12"/>
  <c r="S26" i="12"/>
  <c r="R26" i="12"/>
  <c r="T25" i="12"/>
  <c r="S25" i="12"/>
  <c r="R25" i="12"/>
  <c r="T41" i="1"/>
  <c r="H83" i="1"/>
  <c r="I83" i="1"/>
  <c r="I84" i="1"/>
  <c r="B84" i="1"/>
  <c r="H84" i="1"/>
  <c r="S25" i="1"/>
  <c r="T25" i="1"/>
  <c r="S26" i="1"/>
  <c r="T26" i="1"/>
  <c r="S27" i="1"/>
  <c r="T27" i="1"/>
  <c r="R27" i="1"/>
  <c r="R26" i="1"/>
  <c r="R25" i="1"/>
  <c r="T38" i="1"/>
  <c r="T39" i="1"/>
  <c r="T40" i="1"/>
  <c r="T37" i="1"/>
  <c r="I127" i="8"/>
  <c r="I73" i="8"/>
  <c r="B32" i="8"/>
  <c r="I125" i="8"/>
  <c r="I71" i="8"/>
  <c r="I126" i="8"/>
  <c r="I72" i="8"/>
  <c r="S24" i="7"/>
  <c r="T24" i="7"/>
  <c r="R8" i="1"/>
  <c r="K6" i="1"/>
  <c r="K7" i="1"/>
  <c r="K8" i="1"/>
  <c r="R9" i="1"/>
  <c r="R10" i="1"/>
  <c r="R11" i="1"/>
  <c r="K20" i="1"/>
  <c r="R12" i="1"/>
  <c r="K21" i="1"/>
  <c r="K22" i="1"/>
  <c r="R13" i="1"/>
  <c r="R14" i="1"/>
  <c r="R15" i="1"/>
  <c r="R16" i="1"/>
  <c r="R17" i="1"/>
  <c r="K26" i="1"/>
  <c r="R18" i="1"/>
  <c r="K23" i="1"/>
  <c r="K24" i="1"/>
  <c r="R19" i="1"/>
  <c r="R20" i="1"/>
  <c r="R21" i="1"/>
  <c r="R22" i="1"/>
  <c r="S8" i="1"/>
  <c r="I128" i="1"/>
  <c r="L6" i="1"/>
  <c r="L7" i="1"/>
  <c r="L8" i="1"/>
  <c r="S9" i="1"/>
  <c r="S10" i="1"/>
  <c r="T10" i="1"/>
  <c r="S11" i="1"/>
  <c r="L20" i="1"/>
  <c r="S12" i="1"/>
  <c r="K30" i="1"/>
  <c r="L30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L21" i="1"/>
  <c r="L22" i="1"/>
  <c r="L23" i="1"/>
  <c r="L24" i="1"/>
  <c r="K25" i="1"/>
  <c r="L25" i="1"/>
  <c r="L26" i="1"/>
  <c r="K27" i="1"/>
  <c r="L27" i="1"/>
  <c r="K28" i="1"/>
  <c r="L28" i="1"/>
  <c r="K29" i="1"/>
  <c r="L29" i="1"/>
  <c r="L32" i="1"/>
  <c r="K127" i="1"/>
  <c r="J33" i="1"/>
  <c r="J20" i="1"/>
  <c r="M20" i="1"/>
  <c r="I131" i="1"/>
  <c r="J11" i="1"/>
  <c r="M11" i="1"/>
  <c r="J98" i="1"/>
  <c r="M98" i="1"/>
  <c r="T12" i="1"/>
  <c r="S13" i="1"/>
  <c r="J21" i="1"/>
  <c r="M21" i="1"/>
  <c r="J22" i="1"/>
  <c r="M22" i="1"/>
  <c r="S14" i="1"/>
  <c r="S15" i="1"/>
  <c r="S16" i="1"/>
  <c r="S17" i="1"/>
  <c r="S18" i="1"/>
  <c r="S19" i="1"/>
  <c r="J23" i="1"/>
  <c r="M23" i="1"/>
  <c r="J24" i="1"/>
  <c r="M24" i="1"/>
  <c r="T19" i="1"/>
  <c r="S20" i="1"/>
  <c r="S21" i="1"/>
  <c r="J106" i="1"/>
  <c r="M106" i="1"/>
  <c r="J107" i="1"/>
  <c r="M107" i="1"/>
  <c r="T21" i="1"/>
  <c r="S22" i="1"/>
  <c r="J18" i="1"/>
  <c r="M18" i="1"/>
  <c r="J19" i="1"/>
  <c r="M19" i="1"/>
  <c r="J25" i="1"/>
  <c r="M25" i="1"/>
  <c r="S7" i="1"/>
  <c r="R7" i="1"/>
  <c r="R24" i="1"/>
  <c r="H70" i="1"/>
  <c r="R23" i="1"/>
  <c r="F70" i="7"/>
  <c r="F70" i="8"/>
  <c r="E70" i="7"/>
  <c r="E70" i="8"/>
  <c r="F9" i="8"/>
  <c r="E71" i="7"/>
  <c r="E71" i="8"/>
  <c r="F71" i="7"/>
  <c r="F71" i="8"/>
  <c r="E72" i="7"/>
  <c r="E72" i="8"/>
  <c r="F72" i="7"/>
  <c r="F72" i="8"/>
  <c r="E29" i="7"/>
  <c r="E29" i="8"/>
  <c r="H29" i="8"/>
  <c r="E28" i="7"/>
  <c r="E28" i="8"/>
  <c r="H28" i="8"/>
  <c r="F9" i="7"/>
  <c r="H29" i="7"/>
  <c r="H28" i="7"/>
  <c r="R24" i="7"/>
  <c r="F9" i="12"/>
  <c r="F70" i="12"/>
  <c r="E70" i="12"/>
  <c r="H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E37" i="12"/>
  <c r="F37" i="12"/>
  <c r="E38" i="12"/>
  <c r="F38" i="12"/>
  <c r="E39" i="12"/>
  <c r="F39" i="12"/>
  <c r="E40" i="12"/>
  <c r="F40" i="12"/>
  <c r="E41" i="12"/>
  <c r="F41" i="12"/>
  <c r="E42" i="12"/>
  <c r="F42" i="12"/>
  <c r="E43" i="12"/>
  <c r="F43" i="12"/>
  <c r="E44" i="12"/>
  <c r="F44" i="12"/>
  <c r="E45" i="12"/>
  <c r="F45" i="12"/>
  <c r="E46" i="12"/>
  <c r="F46" i="12"/>
  <c r="E47" i="12"/>
  <c r="F47" i="12"/>
  <c r="E48" i="12"/>
  <c r="F48" i="12"/>
  <c r="E49" i="12"/>
  <c r="F49" i="12"/>
  <c r="E50" i="12"/>
  <c r="F50" i="12"/>
  <c r="E51" i="12"/>
  <c r="F51" i="12"/>
  <c r="E52" i="12"/>
  <c r="F52" i="12"/>
  <c r="E53" i="12"/>
  <c r="F53" i="12"/>
  <c r="E54" i="12"/>
  <c r="F54" i="12"/>
  <c r="E55" i="12"/>
  <c r="F55" i="12"/>
  <c r="E56" i="12"/>
  <c r="F56" i="12"/>
  <c r="E57" i="12"/>
  <c r="F57" i="12"/>
  <c r="E58" i="12"/>
  <c r="F58" i="12"/>
  <c r="E59" i="12"/>
  <c r="F59" i="12"/>
  <c r="E60" i="12"/>
  <c r="F60" i="12"/>
  <c r="E61" i="12"/>
  <c r="F61" i="12"/>
  <c r="E62" i="12"/>
  <c r="F62" i="12"/>
  <c r="E63" i="12"/>
  <c r="F63" i="12"/>
  <c r="E64" i="12"/>
  <c r="F64" i="12"/>
  <c r="E30" i="12"/>
  <c r="E6" i="12"/>
  <c r="H6" i="12"/>
  <c r="E7" i="12"/>
  <c r="H7" i="12"/>
  <c r="E8" i="12"/>
  <c r="H8" i="12"/>
  <c r="E9" i="12"/>
  <c r="H9" i="12"/>
  <c r="E10" i="12"/>
  <c r="H10" i="12"/>
  <c r="E11" i="12"/>
  <c r="H11" i="12"/>
  <c r="E12" i="12"/>
  <c r="H12" i="12"/>
  <c r="E13" i="12"/>
  <c r="H13" i="12"/>
  <c r="E14" i="12"/>
  <c r="H14" i="12"/>
  <c r="E15" i="12"/>
  <c r="H15" i="12"/>
  <c r="E16" i="12"/>
  <c r="H16" i="12"/>
  <c r="E17" i="12"/>
  <c r="H17" i="12"/>
  <c r="E18" i="12"/>
  <c r="H18" i="12"/>
  <c r="E19" i="12"/>
  <c r="H19" i="12"/>
  <c r="E20" i="12"/>
  <c r="H2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F71" i="12"/>
  <c r="E72" i="12"/>
  <c r="F72" i="12"/>
  <c r="E73" i="12"/>
  <c r="F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1" i="12"/>
  <c r="H72" i="12"/>
  <c r="H73" i="12"/>
  <c r="T24" i="12"/>
  <c r="S24" i="12"/>
  <c r="R24" i="12"/>
  <c r="T24" i="1"/>
  <c r="S24" i="1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H70" i="7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E37" i="7"/>
  <c r="F37" i="7"/>
  <c r="E38" i="7"/>
  <c r="F38" i="7"/>
  <c r="E39" i="7"/>
  <c r="F39" i="7"/>
  <c r="E40" i="7"/>
  <c r="F40" i="7"/>
  <c r="E41" i="7"/>
  <c r="F41" i="7"/>
  <c r="E42" i="7"/>
  <c r="F42" i="7"/>
  <c r="E43" i="7"/>
  <c r="F43" i="7"/>
  <c r="E44" i="7"/>
  <c r="F44" i="7"/>
  <c r="E45" i="7"/>
  <c r="F45" i="7"/>
  <c r="E46" i="7"/>
  <c r="F46" i="7"/>
  <c r="E47" i="7"/>
  <c r="F47" i="7"/>
  <c r="E48" i="7"/>
  <c r="F48" i="7"/>
  <c r="E49" i="7"/>
  <c r="F49" i="7"/>
  <c r="E50" i="7"/>
  <c r="F50" i="7"/>
  <c r="E51" i="7"/>
  <c r="F51" i="7"/>
  <c r="E52" i="7"/>
  <c r="F52" i="7"/>
  <c r="E53" i="7"/>
  <c r="F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30" i="7"/>
  <c r="E6" i="7"/>
  <c r="H6" i="7"/>
  <c r="E7" i="7"/>
  <c r="H7" i="7"/>
  <c r="E8" i="7"/>
  <c r="H8" i="7"/>
  <c r="E9" i="7"/>
  <c r="H9" i="7"/>
  <c r="E10" i="7"/>
  <c r="H10" i="7"/>
  <c r="E11" i="7"/>
  <c r="H11" i="7"/>
  <c r="E12" i="7"/>
  <c r="H12" i="7"/>
  <c r="E13" i="7"/>
  <c r="H13" i="7"/>
  <c r="E14" i="7"/>
  <c r="H14" i="7"/>
  <c r="E15" i="7"/>
  <c r="H15" i="7"/>
  <c r="E16" i="7"/>
  <c r="H16" i="7"/>
  <c r="E17" i="7"/>
  <c r="H17" i="7"/>
  <c r="E18" i="7"/>
  <c r="H18" i="7"/>
  <c r="E19" i="7"/>
  <c r="H19" i="7"/>
  <c r="E20" i="7"/>
  <c r="H2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F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B32" i="7"/>
  <c r="H71" i="7"/>
  <c r="H72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E37" i="8"/>
  <c r="F37" i="8"/>
  <c r="E38" i="8"/>
  <c r="F38" i="8"/>
  <c r="E39" i="8"/>
  <c r="F39" i="8"/>
  <c r="E40" i="8"/>
  <c r="F40" i="8"/>
  <c r="E41" i="8"/>
  <c r="F41" i="8"/>
  <c r="E42" i="8"/>
  <c r="F42" i="8"/>
  <c r="E43" i="8"/>
  <c r="F43" i="8"/>
  <c r="E44" i="8"/>
  <c r="F44" i="8"/>
  <c r="E45" i="8"/>
  <c r="F45" i="8"/>
  <c r="E46" i="8"/>
  <c r="F46" i="8"/>
  <c r="E47" i="8"/>
  <c r="F47" i="8"/>
  <c r="E48" i="8"/>
  <c r="F48" i="8"/>
  <c r="E49" i="8"/>
  <c r="F49" i="8"/>
  <c r="E50" i="8"/>
  <c r="F50" i="8"/>
  <c r="E51" i="8"/>
  <c r="F51" i="8"/>
  <c r="E52" i="8"/>
  <c r="F52" i="8"/>
  <c r="E53" i="8"/>
  <c r="F53" i="8"/>
  <c r="E54" i="8"/>
  <c r="F54" i="8"/>
  <c r="E55" i="8"/>
  <c r="F55" i="8"/>
  <c r="E56" i="8"/>
  <c r="F56" i="8"/>
  <c r="E57" i="8"/>
  <c r="F57" i="8"/>
  <c r="E58" i="8"/>
  <c r="F58" i="8"/>
  <c r="E59" i="8"/>
  <c r="F59" i="8"/>
  <c r="E60" i="8"/>
  <c r="F60" i="8"/>
  <c r="E61" i="8"/>
  <c r="F61" i="8"/>
  <c r="E62" i="8"/>
  <c r="F62" i="8"/>
  <c r="E63" i="8"/>
  <c r="F63" i="8"/>
  <c r="E64" i="8"/>
  <c r="F64" i="8"/>
  <c r="E30" i="8"/>
  <c r="E6" i="8"/>
  <c r="H6" i="8"/>
  <c r="E7" i="8"/>
  <c r="H7" i="8"/>
  <c r="E8" i="8"/>
  <c r="H8" i="8"/>
  <c r="E9" i="8"/>
  <c r="H9" i="8"/>
  <c r="E10" i="8"/>
  <c r="H10" i="8"/>
  <c r="E11" i="8"/>
  <c r="H11" i="8"/>
  <c r="E12" i="8"/>
  <c r="H12" i="8"/>
  <c r="E13" i="8"/>
  <c r="H13" i="8"/>
  <c r="E14" i="8"/>
  <c r="H14" i="8"/>
  <c r="E15" i="8"/>
  <c r="H15" i="8"/>
  <c r="E16" i="8"/>
  <c r="H16" i="8"/>
  <c r="E17" i="8"/>
  <c r="H17" i="8"/>
  <c r="E18" i="8"/>
  <c r="H18" i="8"/>
  <c r="E19" i="8"/>
  <c r="H19" i="8"/>
  <c r="E20" i="8"/>
  <c r="H20" i="8"/>
  <c r="E21" i="8"/>
  <c r="H21" i="8"/>
  <c r="E22" i="8"/>
  <c r="H22" i="8"/>
  <c r="E23" i="8"/>
  <c r="H23" i="8"/>
  <c r="E24" i="8"/>
  <c r="H24" i="8"/>
  <c r="E73" i="8"/>
  <c r="F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E46" i="1"/>
  <c r="E45" i="1"/>
  <c r="E44" i="1"/>
  <c r="E43" i="1"/>
  <c r="E42" i="1"/>
  <c r="E41" i="1"/>
  <c r="E40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0" i="8"/>
  <c r="H71" i="8"/>
  <c r="H72" i="8"/>
  <c r="H73" i="8"/>
  <c r="I92" i="9"/>
  <c r="H92" i="9"/>
  <c r="H71" i="1"/>
  <c r="H72" i="1"/>
  <c r="H73" i="1"/>
  <c r="G92" i="9"/>
  <c r="F92" i="9"/>
  <c r="E92" i="9"/>
  <c r="R23" i="8"/>
  <c r="E88" i="9"/>
  <c r="E101" i="9"/>
  <c r="D92" i="9"/>
  <c r="R23" i="7"/>
  <c r="D88" i="9"/>
  <c r="D101" i="9"/>
  <c r="C92" i="9"/>
  <c r="C88" i="9"/>
  <c r="C101" i="9"/>
  <c r="B92" i="9"/>
  <c r="R23" i="12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T24" i="8"/>
  <c r="I89" i="9"/>
  <c r="H89" i="9"/>
  <c r="G89" i="9"/>
  <c r="F89" i="9"/>
  <c r="R24" i="8"/>
  <c r="E89" i="9"/>
  <c r="E98" i="9"/>
  <c r="D89" i="9"/>
  <c r="D98" i="9"/>
  <c r="C89" i="9"/>
  <c r="C98" i="9"/>
  <c r="B89" i="9"/>
  <c r="B98" i="9"/>
  <c r="S23" i="1"/>
  <c r="S33" i="1"/>
  <c r="R33" i="1"/>
  <c r="S32" i="1"/>
  <c r="R32" i="1"/>
  <c r="S31" i="1"/>
  <c r="R31" i="1"/>
  <c r="S30" i="1"/>
  <c r="R30" i="1"/>
  <c r="S23" i="12"/>
  <c r="S33" i="12"/>
  <c r="R33" i="12"/>
  <c r="S32" i="12"/>
  <c r="R32" i="12"/>
  <c r="S31" i="12"/>
  <c r="R31" i="12"/>
  <c r="S30" i="12"/>
  <c r="R30" i="12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S24" i="8"/>
  <c r="K125" i="7"/>
  <c r="K126" i="7"/>
  <c r="K125" i="8"/>
  <c r="K126" i="8"/>
  <c r="B31" i="12"/>
  <c r="B31" i="7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1" i="7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A1" i="12"/>
  <c r="K2" i="11"/>
  <c r="A1" i="8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C32" i="7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R19" i="13"/>
  <c r="DA43" i="13"/>
  <c r="DA42" i="13"/>
  <c r="G49" i="13"/>
  <c r="J45" i="13"/>
  <c r="L43" i="13"/>
  <c r="DA52" i="13"/>
  <c r="F46" i="13"/>
  <c r="CZ46" i="13"/>
  <c r="H48" i="13"/>
  <c r="CZ52" i="13"/>
  <c r="K43" i="13"/>
  <c r="DA49" i="13"/>
  <c r="I54" i="13"/>
  <c r="E82" i="9"/>
  <c r="E34" i="13"/>
  <c r="D82" i="9"/>
  <c r="D34" i="13"/>
  <c r="CX51" i="13"/>
  <c r="O52" i="13"/>
  <c r="L50" i="13"/>
  <c r="J48" i="13"/>
  <c r="R47" i="13"/>
  <c r="P52" i="13"/>
  <c r="P42" i="13"/>
  <c r="DA44" i="13"/>
  <c r="O45" i="13"/>
  <c r="H51" i="13"/>
  <c r="O54" i="13"/>
  <c r="G52" i="13"/>
  <c r="F53" i="13"/>
  <c r="E86" i="9"/>
  <c r="E37" i="13"/>
  <c r="D86" i="9"/>
  <c r="D37" i="13"/>
  <c r="CY54" i="13"/>
  <c r="I48" i="13"/>
  <c r="J51" i="13"/>
  <c r="N42" i="13"/>
  <c r="CZ53" i="13"/>
  <c r="P50" i="13"/>
  <c r="O42" i="13"/>
  <c r="L47" i="13"/>
  <c r="H42" i="13"/>
  <c r="Q53" i="13"/>
  <c r="N19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K46" i="13"/>
  <c r="N46" i="13"/>
  <c r="G19" i="13"/>
  <c r="G51" i="13"/>
  <c r="CZ51" i="13"/>
  <c r="G46" i="13"/>
  <c r="K52" i="13"/>
  <c r="F52" i="13"/>
  <c r="DA50" i="13"/>
  <c r="K54" i="13"/>
  <c r="Q43" i="13"/>
  <c r="E83" i="9"/>
  <c r="E35" i="13"/>
  <c r="D83" i="9"/>
  <c r="D35" i="13"/>
  <c r="CX52" i="13"/>
  <c r="G53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CZ48" i="13"/>
  <c r="K51" i="13"/>
  <c r="CZ19" i="13"/>
  <c r="I50" i="13"/>
  <c r="G48" i="13"/>
  <c r="O46" i="13"/>
  <c r="R54" i="13"/>
  <c r="DA47" i="13"/>
  <c r="F19" i="13"/>
  <c r="CY52" i="13"/>
  <c r="M42" i="13"/>
  <c r="F54" i="13"/>
  <c r="O43" i="13"/>
  <c r="E76" i="9"/>
  <c r="E29" i="13"/>
  <c r="D76" i="9"/>
  <c r="D29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Q51" i="13"/>
  <c r="R52" i="13"/>
  <c r="Q42" i="13"/>
  <c r="R51" i="13"/>
  <c r="DA54" i="13"/>
  <c r="Q46" i="13"/>
  <c r="CZ47" i="13"/>
  <c r="Q19" i="13"/>
  <c r="E78" i="9"/>
  <c r="E31" i="13"/>
  <c r="D78" i="9"/>
  <c r="D31" i="13"/>
  <c r="CY48" i="13"/>
  <c r="L49" i="13"/>
  <c r="N48" i="13"/>
  <c r="H47" i="13"/>
  <c r="M19" i="13"/>
  <c r="CX45" i="13"/>
  <c r="R45" i="13"/>
  <c r="Q47" i="13"/>
  <c r="P46" i="13"/>
  <c r="J19" i="13"/>
  <c r="M54" i="13"/>
  <c r="M53" i="13"/>
  <c r="O44" i="13"/>
  <c r="I43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E77" i="9"/>
  <c r="E30" i="13"/>
  <c r="D77" i="9"/>
  <c r="D30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E85" i="9"/>
  <c r="E36" i="13"/>
  <c r="D85" i="9"/>
  <c r="D36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R49" i="13"/>
  <c r="CZ42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75" i="9"/>
  <c r="C74" i="9"/>
  <c r="C86" i="9"/>
  <c r="C81" i="9"/>
  <c r="C85" i="9"/>
  <c r="C78" i="9"/>
  <c r="C80" i="9"/>
  <c r="C84" i="9"/>
  <c r="C76" i="9"/>
  <c r="I73" i="1"/>
  <c r="G75" i="9"/>
  <c r="C73" i="9"/>
  <c r="C82" i="9"/>
  <c r="C87" i="9"/>
  <c r="C77" i="9"/>
  <c r="C79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36" i="13"/>
  <c r="C14" i="13"/>
  <c r="C4" i="13"/>
  <c r="C26" i="13"/>
  <c r="C72" i="9"/>
  <c r="O124" i="12"/>
  <c r="C17" i="13"/>
  <c r="C39" i="13"/>
  <c r="C10" i="13"/>
  <c r="C32" i="13"/>
  <c r="C12" i="13"/>
  <c r="C34" i="13"/>
  <c r="C29" i="13"/>
  <c r="C7" i="13"/>
  <c r="C37" i="13"/>
  <c r="C15" i="13"/>
  <c r="C5" i="13"/>
  <c r="C27" i="13"/>
  <c r="C18" i="13"/>
  <c r="C40" i="13"/>
  <c r="G94" i="9"/>
  <c r="C30" i="13"/>
  <c r="C8" i="13"/>
  <c r="I73" i="7"/>
  <c r="D87" i="9"/>
  <c r="H75" i="9"/>
  <c r="D84" i="9"/>
  <c r="D80" i="9"/>
  <c r="C83" i="9"/>
  <c r="I73" i="12"/>
  <c r="B85" i="9"/>
  <c r="B84" i="9"/>
  <c r="B87" i="9"/>
  <c r="B78" i="9"/>
  <c r="B77" i="9"/>
  <c r="B74" i="9"/>
  <c r="B80" i="9"/>
  <c r="F87" i="9"/>
  <c r="B86" i="9"/>
  <c r="B79" i="9"/>
  <c r="B75" i="9"/>
  <c r="F75" i="9"/>
  <c r="B76" i="9"/>
  <c r="B82" i="9"/>
  <c r="B81" i="9"/>
  <c r="B73" i="9"/>
  <c r="O127" i="12"/>
  <c r="G93" i="9"/>
  <c r="C9" i="13"/>
  <c r="C31" i="13"/>
  <c r="C11" i="13"/>
  <c r="C33" i="13"/>
  <c r="C6" i="13"/>
  <c r="C28" i="13"/>
  <c r="L42" i="8"/>
  <c r="I42" i="8"/>
  <c r="L65" i="8"/>
  <c r="I65" i="8"/>
  <c r="L74" i="1"/>
  <c r="I70" i="7"/>
  <c r="I76" i="7"/>
  <c r="B28" i="13"/>
  <c r="Y45" i="13"/>
  <c r="AP45" i="13"/>
  <c r="B7" i="13"/>
  <c r="B29" i="13"/>
  <c r="F93" i="9"/>
  <c r="AC83" i="8"/>
  <c r="AG83" i="8"/>
  <c r="I75" i="9"/>
  <c r="AA83" i="8"/>
  <c r="E87" i="9"/>
  <c r="E84" i="9"/>
  <c r="E80" i="9"/>
  <c r="AE83" i="8"/>
  <c r="B4" i="13"/>
  <c r="AS4" i="13"/>
  <c r="AT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B36" i="13"/>
  <c r="AM53" i="13"/>
  <c r="B72" i="9"/>
  <c r="B15" i="13"/>
  <c r="B37" i="13"/>
  <c r="AV54" i="13"/>
  <c r="B8" i="13"/>
  <c r="B30" i="13"/>
  <c r="AF47" i="13"/>
  <c r="D10" i="13"/>
  <c r="BY32" i="13"/>
  <c r="D14" i="13"/>
  <c r="BG36" i="13"/>
  <c r="B31" i="13"/>
  <c r="BA31" i="13"/>
  <c r="D9" i="13"/>
  <c r="D6" i="13"/>
  <c r="BD28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B33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B32" i="13"/>
  <c r="T49" i="13"/>
  <c r="B10" i="13"/>
  <c r="B27" i="13"/>
  <c r="B14" i="13"/>
  <c r="AH53" i="13"/>
  <c r="D8" i="13"/>
  <c r="CC30" i="13"/>
  <c r="D11" i="13"/>
  <c r="BP33" i="13"/>
  <c r="D5" i="13"/>
  <c r="BJ27" i="13"/>
  <c r="B18" i="13"/>
  <c r="AI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BF17" i="13"/>
  <c r="AU17" i="13"/>
  <c r="BH17" i="13"/>
  <c r="AE17" i="13"/>
  <c r="BD17" i="13"/>
  <c r="AP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D17" i="13"/>
  <c r="AH83" i="12"/>
  <c r="B26" i="13"/>
  <c r="AV43" i="13"/>
  <c r="AJ45" i="13"/>
  <c r="D4" i="13"/>
  <c r="BU26" i="13"/>
  <c r="B34" i="13"/>
  <c r="BJ34" i="13"/>
  <c r="D12" i="13"/>
  <c r="BC40" i="13"/>
  <c r="AW40" i="13"/>
  <c r="BL40" i="13"/>
  <c r="BF40" i="13"/>
  <c r="BK40" i="13"/>
  <c r="AY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BB15" i="13"/>
  <c r="AF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D40" i="13"/>
  <c r="D18" i="13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B83" i="9"/>
  <c r="AI51" i="13"/>
  <c r="AT48" i="13"/>
  <c r="C13" i="13"/>
  <c r="C35" i="13"/>
  <c r="D15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25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S23" i="7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CP4" i="13"/>
  <c r="CA4" i="13"/>
  <c r="CL4" i="13"/>
  <c r="BV4" i="13"/>
  <c r="CD4" i="13"/>
  <c r="CH4" i="13"/>
  <c r="CQ4" i="13"/>
  <c r="CF4" i="13"/>
  <c r="CK4" i="13"/>
  <c r="BW4" i="13"/>
  <c r="CE4" i="13"/>
  <c r="CC4" i="13"/>
  <c r="CO4" i="13"/>
  <c r="BZ4" i="13"/>
  <c r="BX4" i="13"/>
  <c r="CJ4" i="13"/>
  <c r="E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CN6" i="13"/>
  <c r="CF6" i="13"/>
  <c r="BZ6" i="13"/>
  <c r="CP6" i="13"/>
  <c r="E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E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B25" i="13"/>
  <c r="AU42" i="13"/>
  <c r="B3" i="13"/>
  <c r="CJ32" i="13"/>
  <c r="E10" i="13"/>
  <c r="CP28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E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CO11" i="13"/>
  <c r="CG11" i="13"/>
  <c r="CN11" i="13"/>
  <c r="CC11" i="13"/>
  <c r="CJ11" i="13"/>
  <c r="CP11" i="13"/>
  <c r="E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CO15" i="13"/>
  <c r="CG15" i="13"/>
  <c r="CI15" i="13"/>
  <c r="CN15" i="13"/>
  <c r="CM15" i="13"/>
  <c r="CQ15" i="13"/>
  <c r="BV15" i="13"/>
  <c r="E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35" i="13"/>
  <c r="B13" i="13"/>
  <c r="BV7" i="13"/>
  <c r="BZ7" i="13"/>
  <c r="CO7" i="13"/>
  <c r="E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CM18" i="13"/>
  <c r="CD18" i="13"/>
  <c r="BY18" i="13"/>
  <c r="CH18" i="13"/>
  <c r="CC18" i="13"/>
  <c r="CF18" i="13"/>
  <c r="CK18" i="13"/>
  <c r="CL18" i="13"/>
  <c r="CI18" i="13"/>
  <c r="CB18" i="13"/>
  <c r="CE18" i="13"/>
  <c r="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CI33" i="13"/>
  <c r="CM27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C16" i="13"/>
  <c r="D13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CI36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E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B1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S23" i="8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CP3" i="13"/>
  <c r="CI3" i="13"/>
  <c r="CK3" i="13"/>
  <c r="CD3" i="13"/>
  <c r="CB3" i="13"/>
  <c r="CM3" i="13"/>
  <c r="CQ3" i="13"/>
  <c r="BW3" i="13"/>
  <c r="BV3" i="13"/>
  <c r="CJ3" i="13"/>
  <c r="BX3" i="13"/>
  <c r="CO3" i="13"/>
  <c r="CC3" i="13"/>
  <c r="CN3" i="13"/>
  <c r="CE3" i="13"/>
  <c r="CH3" i="13"/>
  <c r="E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J6" i="7"/>
  <c r="M6" i="7"/>
  <c r="AA6" i="7"/>
  <c r="J12" i="7"/>
  <c r="M12" i="7"/>
  <c r="AA12" i="7"/>
  <c r="J13" i="7"/>
  <c r="M13" i="7"/>
  <c r="AA13" i="7"/>
  <c r="J14" i="7"/>
  <c r="M14" i="7"/>
  <c r="AA14" i="7"/>
  <c r="J15" i="7"/>
  <c r="M15" i="7"/>
  <c r="AA15" i="7"/>
  <c r="J16" i="7"/>
  <c r="M16" i="7"/>
  <c r="AA16" i="7"/>
  <c r="J17" i="7"/>
  <c r="M17" i="7"/>
  <c r="AA17" i="7"/>
  <c r="J26" i="7"/>
  <c r="M26" i="7"/>
  <c r="AA26" i="7"/>
  <c r="J27" i="7"/>
  <c r="M27" i="7"/>
  <c r="AA27" i="7"/>
  <c r="J28" i="7"/>
  <c r="M28" i="7"/>
  <c r="AA28" i="7"/>
  <c r="J29" i="7"/>
  <c r="M29" i="7"/>
  <c r="AA29" i="7"/>
  <c r="J8" i="7"/>
  <c r="M8" i="7"/>
  <c r="J7" i="7"/>
  <c r="M7" i="7"/>
  <c r="J9" i="7"/>
  <c r="M9" i="7"/>
  <c r="J10" i="7"/>
  <c r="M10" i="7"/>
  <c r="Y8" i="7"/>
  <c r="AA8" i="7"/>
  <c r="Y9" i="7"/>
  <c r="AA9" i="7"/>
  <c r="Y10" i="7"/>
  <c r="AA10" i="7"/>
  <c r="Y11" i="7"/>
  <c r="AA11" i="7"/>
  <c r="J91" i="7"/>
  <c r="J92" i="7"/>
  <c r="J93" i="7"/>
  <c r="J94" i="7"/>
  <c r="J95" i="7"/>
  <c r="J96" i="7"/>
  <c r="J97" i="7"/>
  <c r="J99" i="7"/>
  <c r="J100" i="7"/>
  <c r="J101" i="7"/>
  <c r="J102" i="7"/>
  <c r="J103" i="7"/>
  <c r="J104" i="7"/>
  <c r="J105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11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30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J31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J6" i="8"/>
  <c r="M6" i="8"/>
  <c r="AE6" i="8"/>
  <c r="J12" i="8"/>
  <c r="M12" i="8"/>
  <c r="AE12" i="8"/>
  <c r="J13" i="8"/>
  <c r="M13" i="8"/>
  <c r="AE13" i="8"/>
  <c r="J14" i="8"/>
  <c r="M14" i="8"/>
  <c r="AE14" i="8"/>
  <c r="J15" i="8"/>
  <c r="M15" i="8"/>
  <c r="AE15" i="8"/>
  <c r="J16" i="8"/>
  <c r="M16" i="8"/>
  <c r="AE16" i="8"/>
  <c r="J17" i="8"/>
  <c r="M17" i="8"/>
  <c r="AE17" i="8"/>
  <c r="J26" i="8"/>
  <c r="M26" i="8"/>
  <c r="AE26" i="8"/>
  <c r="J27" i="8"/>
  <c r="M27" i="8"/>
  <c r="AE27" i="8"/>
  <c r="J28" i="8"/>
  <c r="M28" i="8"/>
  <c r="AE28" i="8"/>
  <c r="J29" i="8"/>
  <c r="M29" i="8"/>
  <c r="AE29" i="8"/>
  <c r="J7" i="8"/>
  <c r="M7" i="8"/>
  <c r="Y7" i="8"/>
  <c r="J8" i="8"/>
  <c r="M8" i="8"/>
  <c r="Y8" i="8"/>
  <c r="AA6" i="8"/>
  <c r="AA12" i="8"/>
  <c r="AA13" i="8"/>
  <c r="AA14" i="8"/>
  <c r="AA15" i="8"/>
  <c r="AA16" i="8"/>
  <c r="AA17" i="8"/>
  <c r="AA26" i="8"/>
  <c r="AA27" i="8"/>
  <c r="AA28" i="8"/>
  <c r="AA29" i="8"/>
  <c r="J9" i="8"/>
  <c r="M9" i="8"/>
  <c r="J10" i="8"/>
  <c r="M10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91" i="8"/>
  <c r="J92" i="8"/>
  <c r="J93" i="8"/>
  <c r="J94" i="8"/>
  <c r="J95" i="8"/>
  <c r="J96" i="8"/>
  <c r="J97" i="8"/>
  <c r="J99" i="8"/>
  <c r="J100" i="8"/>
  <c r="J101" i="8"/>
  <c r="J102" i="8"/>
  <c r="J103" i="8"/>
  <c r="J104" i="8"/>
  <c r="J105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E37" i="8"/>
  <c r="AD37" i="8"/>
  <c r="AF37" i="8"/>
  <c r="AG37" i="8"/>
  <c r="J38" i="8"/>
  <c r="Z38" i="8"/>
  <c r="AC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30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J31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J6" i="1"/>
  <c r="M6" i="1"/>
  <c r="AE6" i="1"/>
  <c r="J12" i="1"/>
  <c r="M12" i="1"/>
  <c r="AE12" i="1"/>
  <c r="J13" i="1"/>
  <c r="M13" i="1"/>
  <c r="AE13" i="1"/>
  <c r="J14" i="1"/>
  <c r="M14" i="1"/>
  <c r="AE14" i="1"/>
  <c r="J15" i="1"/>
  <c r="M15" i="1"/>
  <c r="AE15" i="1"/>
  <c r="J16" i="1"/>
  <c r="M16" i="1"/>
  <c r="AE16" i="1"/>
  <c r="J17" i="1"/>
  <c r="M17" i="1"/>
  <c r="AE17" i="1"/>
  <c r="J26" i="1"/>
  <c r="M26" i="1"/>
  <c r="AE26" i="1"/>
  <c r="J27" i="1"/>
  <c r="M27" i="1"/>
  <c r="AE27" i="1"/>
  <c r="J28" i="1"/>
  <c r="M28" i="1"/>
  <c r="AE28" i="1"/>
  <c r="J29" i="1"/>
  <c r="M29" i="1"/>
  <c r="AE29" i="1"/>
  <c r="J7" i="1"/>
  <c r="M7" i="1"/>
  <c r="Y7" i="1"/>
  <c r="J8" i="1"/>
  <c r="M8" i="1"/>
  <c r="Y8" i="1"/>
  <c r="AA6" i="1"/>
  <c r="AA12" i="1"/>
  <c r="AA13" i="1"/>
  <c r="AA14" i="1"/>
  <c r="AA15" i="1"/>
  <c r="AA16" i="1"/>
  <c r="AA17" i="1"/>
  <c r="AA26" i="1"/>
  <c r="AA27" i="1"/>
  <c r="AA28" i="1"/>
  <c r="AA29" i="1"/>
  <c r="J9" i="1"/>
  <c r="M9" i="1"/>
  <c r="J10" i="1"/>
  <c r="M10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91" i="1"/>
  <c r="J92" i="1"/>
  <c r="J93" i="1"/>
  <c r="J94" i="1"/>
  <c r="J95" i="1"/>
  <c r="J96" i="1"/>
  <c r="J97" i="1"/>
  <c r="J99" i="1"/>
  <c r="J100" i="1"/>
  <c r="J101" i="1"/>
  <c r="J102" i="1"/>
  <c r="J103" i="1"/>
  <c r="J104" i="1"/>
  <c r="J105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J37" i="1"/>
  <c r="J38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C38" i="1"/>
  <c r="AE37" i="1"/>
  <c r="AD37" i="1"/>
  <c r="AF37" i="1"/>
  <c r="AG37" i="1"/>
  <c r="Z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30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J31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J6" i="12"/>
  <c r="M6" i="12"/>
  <c r="AE6" i="12"/>
  <c r="J12" i="12"/>
  <c r="M12" i="12"/>
  <c r="AE12" i="12"/>
  <c r="J13" i="12"/>
  <c r="M13" i="12"/>
  <c r="AE13" i="12"/>
  <c r="J14" i="12"/>
  <c r="M14" i="12"/>
  <c r="AE14" i="12"/>
  <c r="J15" i="12"/>
  <c r="M15" i="12"/>
  <c r="AE15" i="12"/>
  <c r="J26" i="12"/>
  <c r="M26" i="12"/>
  <c r="AE26" i="12"/>
  <c r="J27" i="12"/>
  <c r="M27" i="12"/>
  <c r="AE27" i="12"/>
  <c r="J28" i="12"/>
  <c r="M28" i="12"/>
  <c r="AE28" i="12"/>
  <c r="J29" i="12"/>
  <c r="M29" i="12"/>
  <c r="AE29" i="12"/>
  <c r="J7" i="12"/>
  <c r="M7" i="12"/>
  <c r="Y7" i="12"/>
  <c r="J8" i="12"/>
  <c r="M8" i="12"/>
  <c r="Y8" i="12"/>
  <c r="AA6" i="12"/>
  <c r="AA12" i="12"/>
  <c r="AA13" i="12"/>
  <c r="AA14" i="12"/>
  <c r="AA15" i="12"/>
  <c r="AA26" i="12"/>
  <c r="AA27" i="12"/>
  <c r="AA28" i="12"/>
  <c r="AA29" i="12"/>
  <c r="J9" i="12"/>
  <c r="M9" i="12"/>
  <c r="J10" i="12"/>
  <c r="M10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91" i="12"/>
  <c r="J92" i="12"/>
  <c r="J93" i="12"/>
  <c r="J94" i="12"/>
  <c r="J95" i="12"/>
  <c r="J96" i="12"/>
  <c r="J97" i="12"/>
  <c r="J99" i="12"/>
  <c r="J100" i="12"/>
  <c r="J101" i="12"/>
  <c r="J102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B37" i="12"/>
  <c r="AD37" i="12"/>
  <c r="AF37" i="12"/>
  <c r="AG37" i="12"/>
  <c r="Z38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8" i="12"/>
  <c r="AB38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30" i="12"/>
  <c r="J128" i="12"/>
  <c r="J126" i="12"/>
  <c r="J127" i="12"/>
  <c r="J130" i="12"/>
  <c r="J129" i="12"/>
  <c r="J75" i="12"/>
  <c r="AA79" i="12"/>
  <c r="AA30" i="12"/>
  <c r="AA74" i="12"/>
  <c r="AC37" i="12"/>
  <c r="AC65" i="12"/>
  <c r="AC79" i="12"/>
  <c r="AC30" i="12"/>
  <c r="AC74" i="12"/>
  <c r="AE37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J31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T7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T9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M109" i="8"/>
  <c r="M104" i="8"/>
  <c r="T20" i="8"/>
  <c r="I85" i="9"/>
  <c r="M99" i="8"/>
  <c r="M100" i="8"/>
  <c r="M101" i="8"/>
  <c r="T13" i="8"/>
  <c r="I78" i="9"/>
  <c r="M108" i="8"/>
  <c r="M103" i="8"/>
  <c r="T17" i="8"/>
  <c r="I82" i="9"/>
  <c r="M105" i="8"/>
  <c r="M102" i="8"/>
  <c r="T14" i="8"/>
  <c r="I79" i="9"/>
  <c r="AH11" i="8"/>
  <c r="M94" i="8"/>
  <c r="M95" i="8"/>
  <c r="M96" i="8"/>
  <c r="M97" i="8"/>
  <c r="M91" i="8"/>
  <c r="M92" i="8"/>
  <c r="M93" i="8"/>
  <c r="M110" i="8"/>
  <c r="M111" i="8"/>
  <c r="M112" i="8"/>
  <c r="M113" i="8"/>
  <c r="M114" i="8"/>
  <c r="M115" i="8"/>
  <c r="M116" i="8"/>
  <c r="M117" i="8"/>
  <c r="M118" i="8"/>
  <c r="T8" i="8"/>
  <c r="I73" i="9"/>
  <c r="T18" i="8"/>
  <c r="I83" i="9"/>
  <c r="T11" i="8"/>
  <c r="I76" i="9"/>
  <c r="T15" i="8"/>
  <c r="I80" i="9"/>
  <c r="T16" i="8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M102" i="12"/>
  <c r="T14" i="12"/>
  <c r="F79" i="9"/>
  <c r="M94" i="12"/>
  <c r="M95" i="12"/>
  <c r="M96" i="12"/>
  <c r="M97" i="12"/>
  <c r="M91" i="12"/>
  <c r="M92" i="12"/>
  <c r="M93" i="12"/>
  <c r="M99" i="12"/>
  <c r="M100" i="12"/>
  <c r="M101" i="12"/>
  <c r="T8" i="12"/>
  <c r="F73" i="9"/>
  <c r="AI16" i="7"/>
  <c r="AI6" i="1"/>
  <c r="AI12" i="12"/>
  <c r="T18" i="12"/>
  <c r="F83" i="9"/>
  <c r="T9" i="12"/>
  <c r="F74" i="9"/>
  <c r="T9" i="7"/>
  <c r="H74" i="9"/>
  <c r="T18" i="7"/>
  <c r="H83" i="9"/>
  <c r="M119" i="12"/>
  <c r="AI14" i="12"/>
  <c r="AI14" i="7"/>
  <c r="AI28" i="12"/>
  <c r="AI17" i="7"/>
  <c r="J65" i="7"/>
  <c r="T7" i="12"/>
  <c r="F72" i="9"/>
  <c r="AI26" i="7"/>
  <c r="AI29" i="7"/>
  <c r="AI28" i="7"/>
  <c r="AI27" i="7"/>
  <c r="M91" i="7"/>
  <c r="M92" i="7"/>
  <c r="M93" i="7"/>
  <c r="M94" i="7"/>
  <c r="T11" i="7"/>
  <c r="H76" i="9"/>
  <c r="M105" i="7"/>
  <c r="M102" i="7"/>
  <c r="T14" i="7"/>
  <c r="H79" i="9"/>
  <c r="T11" i="12"/>
  <c r="F76" i="9"/>
  <c r="AI26" i="12"/>
  <c r="M128" i="7"/>
  <c r="J76" i="1"/>
  <c r="AI13" i="12"/>
  <c r="T7" i="7"/>
  <c r="H72" i="9"/>
  <c r="AI15" i="12"/>
  <c r="AI15" i="7"/>
  <c r="AI12" i="7"/>
  <c r="AI13" i="7"/>
  <c r="N31" i="7"/>
  <c r="M119" i="7"/>
  <c r="AI27" i="12"/>
  <c r="J65" i="12"/>
  <c r="M104" i="7"/>
  <c r="M99" i="7"/>
  <c r="M100" i="7"/>
  <c r="M101" i="7"/>
  <c r="T13" i="7"/>
  <c r="H78" i="9"/>
  <c r="M95" i="7"/>
  <c r="M96" i="7"/>
  <c r="M97" i="7"/>
  <c r="M103" i="7"/>
  <c r="M108" i="7"/>
  <c r="M109" i="7"/>
  <c r="M110" i="7"/>
  <c r="M111" i="7"/>
  <c r="M112" i="7"/>
  <c r="M113" i="7"/>
  <c r="M114" i="7"/>
  <c r="M115" i="7"/>
  <c r="M116" i="7"/>
  <c r="M117" i="7"/>
  <c r="M118" i="7"/>
  <c r="T8" i="7"/>
  <c r="H73" i="9"/>
  <c r="T13" i="12"/>
  <c r="F78" i="9"/>
  <c r="M94" i="1"/>
  <c r="M95" i="1"/>
  <c r="M96" i="1"/>
  <c r="M97" i="1"/>
  <c r="M91" i="1"/>
  <c r="M92" i="1"/>
  <c r="M93" i="1"/>
  <c r="M99" i="1"/>
  <c r="M100" i="1"/>
  <c r="M101" i="1"/>
  <c r="M102" i="1"/>
  <c r="M103" i="1"/>
  <c r="M104" i="1"/>
  <c r="M105" i="1"/>
  <c r="M108" i="1"/>
  <c r="M109" i="1"/>
  <c r="M110" i="1"/>
  <c r="M111" i="1"/>
  <c r="M112" i="1"/>
  <c r="M113" i="1"/>
  <c r="M114" i="1"/>
  <c r="M115" i="1"/>
  <c r="M116" i="1"/>
  <c r="M117" i="1"/>
  <c r="M118" i="1"/>
  <c r="T8" i="1"/>
  <c r="G73" i="9"/>
  <c r="AI17" i="1"/>
  <c r="J65" i="1"/>
  <c r="AI27" i="1"/>
  <c r="AI26" i="1"/>
  <c r="N31" i="1"/>
  <c r="L131" i="8"/>
  <c r="L77" i="8"/>
  <c r="AI13" i="1"/>
  <c r="AI12" i="1"/>
  <c r="AI29" i="12"/>
  <c r="T20" i="7"/>
  <c r="H85" i="9"/>
  <c r="M119" i="1"/>
  <c r="T17" i="7"/>
  <c r="H82" i="9"/>
  <c r="AI29" i="1"/>
  <c r="AI14" i="1"/>
  <c r="T14" i="1"/>
  <c r="G79" i="9"/>
  <c r="AI15" i="1"/>
  <c r="T9" i="1"/>
  <c r="G74" i="9"/>
  <c r="T16" i="7"/>
  <c r="H81" i="9"/>
  <c r="T15" i="7"/>
  <c r="H80" i="9"/>
  <c r="T13" i="1"/>
  <c r="G78" i="9"/>
  <c r="AI28" i="1"/>
  <c r="T7" i="1"/>
  <c r="G72" i="9"/>
  <c r="T11" i="1"/>
  <c r="G76" i="9"/>
  <c r="T18" i="1"/>
  <c r="G83" i="9"/>
  <c r="L131" i="12"/>
  <c r="L77" i="12"/>
  <c r="AI16" i="1"/>
  <c r="T15" i="1"/>
  <c r="G80" i="9"/>
  <c r="L131" i="7"/>
  <c r="L77" i="7"/>
  <c r="T20" i="1"/>
  <c r="G85" i="9"/>
  <c r="T16" i="1"/>
  <c r="G81" i="9"/>
  <c r="T17" i="1"/>
  <c r="G82" i="9"/>
  <c r="L131" i="1"/>
  <c r="L77" i="1"/>
  <c r="I77" i="8"/>
  <c r="T22" i="8"/>
  <c r="I87" i="9"/>
  <c r="I77" i="12"/>
  <c r="T22" i="7"/>
  <c r="H87" i="9"/>
  <c r="I77" i="1"/>
  <c r="I77" i="7"/>
  <c r="T22" i="1"/>
  <c r="G87" i="9"/>
  <c r="M125" i="8"/>
  <c r="M125" i="7"/>
  <c r="T23" i="12"/>
  <c r="T30" i="12"/>
  <c r="T32" i="12"/>
  <c r="T33" i="12"/>
  <c r="T23" i="1"/>
  <c r="T30" i="1"/>
  <c r="T31" i="1"/>
  <c r="T32" i="1"/>
  <c r="T33" i="1"/>
  <c r="F88" i="9"/>
  <c r="F98" i="9"/>
  <c r="G88" i="9"/>
  <c r="G98" i="9"/>
  <c r="T23" i="7"/>
  <c r="H88" i="9"/>
  <c r="H98" i="9"/>
  <c r="T23" i="8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T31" i="12"/>
  <c r="U31" i="12"/>
  <c r="T36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<sst xmlns="http://schemas.openxmlformats.org/spreadsheetml/2006/main" count="787" uniqueCount="146">
  <si>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</si>
  <si>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</si>
  <si>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</si>
  <si>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</si>
  <si>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</si>
  <si>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</si>
  <si>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</si>
  <si>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</si>
  <si>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</si>
  <si>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</si>
  <si>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</si>
  <si>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</si>
  <si>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</si>
  <si>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</si>
  <si>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</si>
  <si>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</si>
  <si>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</si>
  <si>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</si>
  <si>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</si>
  <si>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</si>
  <si>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</si>
  <si>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</si>
  <si>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</si>
  <si>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</si>
  <si>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</si>
  <si>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</si>
  <si>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</si>
  <si>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</si>
  <si>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</si>
  <si>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</si>
  <si>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</si>
  <si>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</si>
  <si>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</si>
  <si>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</si>
  <si>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</si>
  <si>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</si>
  <si>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</si>
  <si>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</si>
  <si>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</si>
  <si>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</si>
  <si>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</si>
  <si>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</si>
  <si>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</si>
  <si>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</si>
  <si>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</si>
  <si>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</si>
  <si>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</si>
  <si>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</si>
  <si>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</si>
  <si>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</si>
  <si>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</si>
  <si>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</si>
  <si>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</si>
  <si>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</si>
  <si>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</si>
  <si>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</si>
  <si>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</si>
  <si>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</si>
  <si>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</si>
  <si>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</si>
  <si>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</si>
  <si>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</si>
  <si>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</si>
  <si>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</si>
  <si>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</si>
  <si>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</si>
  <si>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</si>
  <si>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</si>
  <si>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</si>
  <si>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</si>
  <si>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</si>
  <si>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</si>
  <si>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</si>
  <si>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</si>
  <si>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</si>
  <si>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</si>
  <si>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</si>
  <si>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</si>
  <si>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</si>
  <si>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</si>
  <si>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</si>
  <si>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</si>
  <si>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</si>
  <si>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</si>
  <si>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</si>
  <si>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</si>
  <si>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</si>
  <si>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</si>
  <si>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</si>
  <si>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</si>
  <si>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</si>
  <si>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</si>
  <si>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</si>
  <si>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</si>
  <si>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</si>
  <si>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</si>
  <si>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</si>
  <si>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</si>
  <si>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</si>
  <si>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</si>
  <si>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</si>
  <si>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</si>
  <si>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</si>
  <si>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</si>
  <si>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</si>
  <si>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</si>
  <si>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</si>
  <si>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</si>
  <si>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</si>
  <si>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</si>
  <si>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</si>
  <si>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</si>
  <si>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</si>
  <si>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</si>
  <si>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</si>
  <si>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</si>
  <si>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</si>
  <si>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</si>
  <si>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</si>
  <si>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</si>
  <si>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</si>
  <si>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</si>
  <si>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</si>
  <si>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</si>
  <si>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</si>
  <si>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</si>
  <si>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</si>
  <si>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</si>
  <si>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</si>
  <si>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</si>
  <si>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</si>
  <si>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</si>
  <si>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</si>
  <si>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</si>
  <si>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</si>
  <si>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</si>
  <si>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</si>
  <si>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</si>
  <si>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</si>
  <si>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</si>
  <si>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</si>
  <si>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</si>
  <si>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</si>
  <si>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</si>
  <si>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</si>
  <si>
    <t>LBPL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</si>
</sst>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.0%;[Red]\(0.0%\);&quot;-&quot;"/>
    <numFmt numFmtId="174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10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73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38" fontId="8" fillId="0" borderId="0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173" fontId="8" fillId="0" borderId="0" xfId="6" applyNumberFormat="1" applyFont="1" applyAlignment="1" applyProtection="1"/>
    <xf numFmtId="4" fontId="8" fillId="0" borderId="0" xfId="1" applyFont="1" applyAlignment="1" applyProtection="1"/>
    <xf numFmtId="10" fontId="8" fillId="0" borderId="0" xfId="6" applyFont="1" applyAlignment="1" applyProtection="1"/>
    <xf numFmtId="10" fontId="7" fillId="0" borderId="0" xfId="0" applyNumberFormat="1" applyFont="1" applyBorder="1" applyProtection="1">
      <alignment vertical="top"/>
    </xf>
    <xf numFmtId="10" fontId="7" fillId="0" borderId="0" xfId="6" applyFont="1" applyAlignment="1" applyProtection="1"/>
    <xf numFmtId="174" fontId="8" fillId="0" borderId="0" xfId="6" applyNumberFormat="1" applyFont="1" applyAlignment="1" applyProtection="1"/>
    <xf numFmtId="174" fontId="7" fillId="0" borderId="0" xfId="0" applyNumberFormat="1" applyFont="1" applyBorder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1" fontId="7" fillId="0" borderId="0" xfId="0" applyNumberFormat="1" applyFont="1" applyBorder="1" applyAlignment="1" applyProtection="1"/>
    <xf numFmtId="1" fontId="8" fillId="0" borderId="0" xfId="6" applyNumberFormat="1" applyFont="1" applyAlignment="1" applyProtection="1"/>
    <xf numFmtId="9" fontId="7" fillId="0" borderId="0" xfId="6" applyNumberFormat="1" applyFont="1" applyAlignment="1" applyProtection="1"/>
    <xf numFmtId="10" fontId="0" fillId="0" borderId="0" xfId="6" applyNumberFormat="1" applyFont="1" applyAlignment="1" applyProtection="1"/>
    <xf numFmtId="10" fontId="7" fillId="0" borderId="0" xfId="6" applyNumberFormat="1" applyFont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9" fontId="30" fillId="0" borderId="16" xfId="0" applyNumberFormat="1" applyFont="1" applyBorder="1" applyAlignment="1">
      <alignment horizontal="center"/>
    </xf>
    <xf numFmtId="0" fontId="28" fillId="0" borderId="16" xfId="0" applyFont="1" applyBorder="1" applyAlignment="1"/>
    <xf numFmtId="0" fontId="29" fillId="0" borderId="0" xfId="0" applyFont="1" applyAlignment="1"/>
  </cellXfs>
  <cellStyles count="110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  <cellStyle name="Percent" xfId="6" builtinId="5"/>
    <cellStyle name="Total" xfId="7" builtinId="25" customBuiltin="1"/>
  </cellStyles>
  <dxfs count="624"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0.0234666874221669</c:v>
                </c:pt>
                <c:pt idx="1">
                  <c:v>0.0234666874221669</c:v>
                </c:pt>
                <c:pt idx="2" formatCode="0.0%">
                  <c:v>0.0234666874221669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0.0249943617683686</c:v>
                </c:pt>
                <c:pt idx="1">
                  <c:v>0.0249943617683686</c:v>
                </c:pt>
                <c:pt idx="2" formatCode="0.0%">
                  <c:v>0.0249943617683686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0.192815044520548</c:v>
                </c:pt>
                <c:pt idx="1">
                  <c:v>0.192815044520548</c:v>
                </c:pt>
                <c:pt idx="2" formatCode="0.0%">
                  <c:v>0.192815044520548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0.0276176292029888</c:v>
                </c:pt>
                <c:pt idx="1">
                  <c:v>0.0276176292029888</c:v>
                </c:pt>
                <c:pt idx="2" formatCode="0.0%">
                  <c:v>0.0276176292029888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0.00930689663760896</c:v>
                </c:pt>
                <c:pt idx="1">
                  <c:v>0.00930689663760896</c:v>
                </c:pt>
                <c:pt idx="2" formatCode="0.0%">
                  <c:v>0.0111818577269546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0.00428101059891331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0.119047619047619</c:v>
                </c:pt>
                <c:pt idx="1">
                  <c:v>0.119047619047619</c:v>
                </c:pt>
                <c:pt idx="2" formatCode="0.0%">
                  <c:v>0.119047619047619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0.0121517568493151</c:v>
                </c:pt>
                <c:pt idx="1">
                  <c:v>0.0121517568493151</c:v>
                </c:pt>
                <c:pt idx="2" formatCode="0.0%">
                  <c:v>0.0111113208519684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0.0676509713574097</c:v>
                </c:pt>
                <c:pt idx="1">
                  <c:v>0.0676509713574097</c:v>
                </c:pt>
                <c:pt idx="2" formatCode="0.0%">
                  <c:v>0.0618586808492526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0.328536384153175</c:v>
                </c:pt>
                <c:pt idx="1">
                  <c:v>0.328536384153175</c:v>
                </c:pt>
                <c:pt idx="2" formatCode="0.0%">
                  <c:v>0.342082420459703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0.396481617683686</c:v>
                </c:pt>
                <c:pt idx="1">
                  <c:v>0.396481617683686</c:v>
                </c:pt>
                <c:pt idx="2" formatCode="0.0%">
                  <c:v>0.383612336194403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21502776"/>
        <c:axId val="-2078275368"/>
      </c:barChart>
      <c:catAx>
        <c:axId val="-2121502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78275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275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215027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0.0804572140188578</c:v>
                </c:pt>
                <c:pt idx="1">
                  <c:v>0.0804572140188578</c:v>
                </c:pt>
                <c:pt idx="2" formatCode="0.0%">
                  <c:v>0.0804572140188578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0.0602583383739548</c:v>
                </c:pt>
                <c:pt idx="1">
                  <c:v>0.0602583383739548</c:v>
                </c:pt>
                <c:pt idx="2" formatCode="0.0%">
                  <c:v>0.0602583383739548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0.0675951076320939</c:v>
                </c:pt>
                <c:pt idx="1">
                  <c:v>0.0675951076320939</c:v>
                </c:pt>
                <c:pt idx="2" formatCode="0.0%">
                  <c:v>0.0379304284695429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0.0315630048034158</c:v>
                </c:pt>
                <c:pt idx="1">
                  <c:v>0.0315630048034158</c:v>
                </c:pt>
                <c:pt idx="2" formatCode="0.0%">
                  <c:v>0.0315630048034158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0.112621270236613</c:v>
                </c:pt>
                <c:pt idx="1">
                  <c:v>0.112621270236613</c:v>
                </c:pt>
                <c:pt idx="2" formatCode="0.0%">
                  <c:v>0.0988921625250188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0.119047619047619</c:v>
                </c:pt>
                <c:pt idx="1">
                  <c:v>0.119047619047619</c:v>
                </c:pt>
                <c:pt idx="2" formatCode="0.0%">
                  <c:v>0.119047619047619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0.0151502423056396</c:v>
                </c:pt>
                <c:pt idx="1">
                  <c:v>0.0151502423056396</c:v>
                </c:pt>
                <c:pt idx="2" formatCode="0.0%">
                  <c:v>0.015815123379101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0.0773153958370397</c:v>
                </c:pt>
                <c:pt idx="1">
                  <c:v>0.0773153958370397</c:v>
                </c:pt>
                <c:pt idx="2" formatCode="0.0%">
                  <c:v>0.080708446742905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0.468070981675858</c:v>
                </c:pt>
                <c:pt idx="1">
                  <c:v>0.468070981675858</c:v>
                </c:pt>
                <c:pt idx="2" formatCode="0.0%">
                  <c:v>0.467251363924735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0.293969819605052</c:v>
                </c:pt>
                <c:pt idx="1">
                  <c:v>0.293969819605052</c:v>
                </c:pt>
                <c:pt idx="2" formatCode="0.0%">
                  <c:v>0.334125292250994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98052200"/>
        <c:axId val="2134862968"/>
      </c:barChart>
      <c:catAx>
        <c:axId val="-2098052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34862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34862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9805220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0.0844800747198007</c:v>
                </c:pt>
                <c:pt idx="1">
                  <c:v>0.0844800747198007</c:v>
                </c:pt>
                <c:pt idx="2" formatCode="0.0%">
                  <c:v>0.0844800747198007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0.0881645968244085</c:v>
                </c:pt>
                <c:pt idx="1">
                  <c:v>0.0881645968244085</c:v>
                </c:pt>
                <c:pt idx="2" formatCode="0.0%">
                  <c:v>0.0881645968244085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0.0591457191780822</c:v>
                </c:pt>
                <c:pt idx="1">
                  <c:v>0.0591457191780822</c:v>
                </c:pt>
                <c:pt idx="2" formatCode="0.0%">
                  <c:v>0.0455495854159223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0.0552352584059776</c:v>
                </c:pt>
                <c:pt idx="1">
                  <c:v>0.0552352584059776</c:v>
                </c:pt>
                <c:pt idx="2" formatCode="0.0%">
                  <c:v>0.0552352584059776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0.033942799501868</c:v>
                </c:pt>
                <c:pt idx="1">
                  <c:v>0.033942799501868</c:v>
                </c:pt>
                <c:pt idx="2" formatCode="0.0%">
                  <c:v>0.0330366902237022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0.0331411550435865</c:v>
                </c:pt>
                <c:pt idx="1">
                  <c:v>0.0331411550435865</c:v>
                </c:pt>
                <c:pt idx="2" formatCode="0.0%">
                  <c:v>0.0336490436766854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0.0676509713574097</c:v>
                </c:pt>
                <c:pt idx="1">
                  <c:v>0.0676509713574097</c:v>
                </c:pt>
                <c:pt idx="2" formatCode="0.0%">
                  <c:v>0.0686877233754168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0.607608046513076</c:v>
                </c:pt>
                <c:pt idx="1">
                  <c:v>0.607608046513076</c:v>
                </c:pt>
                <c:pt idx="2" formatCode="0.0%">
                  <c:v>0.609460241865199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0.315104929016189</c:v>
                </c:pt>
                <c:pt idx="1">
                  <c:v>0.315104929016189</c:v>
                </c:pt>
                <c:pt idx="2" formatCode="0.0%">
                  <c:v>0.326210336053286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74639592"/>
        <c:axId val="2112033720"/>
      </c:barChart>
      <c:catAx>
        <c:axId val="-2074639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12033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2033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746395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0.0101253002134851</c:v>
                </c:pt>
                <c:pt idx="1">
                  <c:v>0.0101253002134851</c:v>
                </c:pt>
                <c:pt idx="2" formatCode="0.0%">
                  <c:v>0.0101253002134851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0.0459646731898239</c:v>
                </c:pt>
                <c:pt idx="1">
                  <c:v>0.0459646731898239</c:v>
                </c:pt>
                <c:pt idx="2" formatCode="0.0%">
                  <c:v>0.0459646731898239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0.0126252019213663</c:v>
                </c:pt>
                <c:pt idx="1">
                  <c:v>0.0126252019213663</c:v>
                </c:pt>
                <c:pt idx="2" formatCode="0.0%">
                  <c:v>0.0126252019213663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0.0250269489414695</c:v>
                </c:pt>
                <c:pt idx="1">
                  <c:v>0.0250269489414695</c:v>
                </c:pt>
                <c:pt idx="2" formatCode="0.0%">
                  <c:v>0.0250269489414695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0.03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0.119047619047619</c:v>
                </c:pt>
                <c:pt idx="1">
                  <c:v>0.119047619047619</c:v>
                </c:pt>
                <c:pt idx="2" formatCode="0.0%">
                  <c:v>0.119047619047619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0.0303004846112791</c:v>
                </c:pt>
                <c:pt idx="1">
                  <c:v>0.0303004846112791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0.0773153958370397</c:v>
                </c:pt>
                <c:pt idx="1">
                  <c:v>0.0773153958370397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0.35165768176481</c:v>
                </c:pt>
                <c:pt idx="1">
                  <c:v>0.35165768176481</c:v>
                </c:pt>
                <c:pt idx="2" formatCode="0.0%">
                  <c:v>0.486747114932099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0.485478118484255</c:v>
                </c:pt>
                <c:pt idx="1">
                  <c:v>0.485478118484255</c:v>
                </c:pt>
                <c:pt idx="2" formatCode="0.0%">
                  <c:v>0.428004565765285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3775688"/>
        <c:axId val="2110402392"/>
      </c:barChart>
      <c:catAx>
        <c:axId val="-208377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10402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10402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37756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layout/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0.0159573474470735</c:v>
                </c:pt>
                <c:pt idx="1">
                  <c:v>0.0159573474470735</c:v>
                </c:pt>
                <c:pt idx="2">
                  <c:v>0.0309760273972603</c:v>
                </c:pt>
                <c:pt idx="3">
                  <c:v>0.0309760273972603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0.0999774470734744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0.418333420303984</c:v>
                </c:pt>
                <c:pt idx="1">
                  <c:v>0.352926757778207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0.0599194804217794</c:v>
                </c:pt>
                <c:pt idx="1">
                  <c:v>0.0505510363901757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0.0242602686937686</c:v>
                </c:pt>
                <c:pt idx="1">
                  <c:v>0.0204671622140498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0.00928812277410316</c:v>
                </c:pt>
                <c:pt idx="1">
                  <c:v>0.0078359196215501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0.123717361698505</c:v>
                </c:pt>
                <c:pt idx="3">
                  <c:v>0.123717361698505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0.342082420459703</c:v>
                </c:pt>
                <c:pt idx="1">
                  <c:v>0.342082420459703</c:v>
                </c:pt>
                <c:pt idx="2">
                  <c:v>0.342082420459703</c:v>
                </c:pt>
                <c:pt idx="3">
                  <c:v>0.342082420459703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0.0800204161896528</c:v>
                </c:pt>
                <c:pt idx="2">
                  <c:v>0.373065250544944</c:v>
                </c:pt>
                <c:pt idx="3">
                  <c:v>0.146475339446197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10204440"/>
        <c:axId val="-2084007960"/>
      </c:barChart>
      <c:catAx>
        <c:axId val="211020444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4007960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8400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02044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layout/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0.0405012008539406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0.159479164933634</c:v>
                </c:pt>
                <c:pt idx="1">
                  <c:v>0.0243795278256612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0.0438044376215379</c:v>
                </c:pt>
                <c:pt idx="1">
                  <c:v>0.00669637006392735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0.0868335754621635</c:v>
                </c:pt>
                <c:pt idx="1">
                  <c:v>0.0132742203037144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0.104088088002946</c:v>
                </c:pt>
                <c:pt idx="1">
                  <c:v>0.0159119119970542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0.486747114932099</c:v>
                </c:pt>
                <c:pt idx="1">
                  <c:v>0.486747114932099</c:v>
                </c:pt>
                <c:pt idx="2">
                  <c:v>0.486747114932099</c:v>
                </c:pt>
                <c:pt idx="3">
                  <c:v>0.486747114932099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0.333943235829924</c:v>
                </c:pt>
                <c:pt idx="2">
                  <c:v>0.394205266020281</c:v>
                </c:pt>
                <c:pt idx="3">
                  <c:v>0.353704065166341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3947160"/>
        <c:axId val="2112847336"/>
      </c:barChart>
      <c:catAx>
        <c:axId val="208394716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284733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2112847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9471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layout/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0.0547109055328233</c:v>
                </c:pt>
                <c:pt idx="1">
                  <c:v>0.0547109055328233</c:v>
                </c:pt>
                <c:pt idx="2">
                  <c:v>0.106203522504892</c:v>
                </c:pt>
                <c:pt idx="3">
                  <c:v>0.106203522504892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0.241033353495819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0.0773033719278258</c:v>
                </c:pt>
                <c:pt idx="1">
                  <c:v>0.0744183419503457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0.0643263679828293</c:v>
                </c:pt>
                <c:pt idx="1">
                  <c:v>0.0619256512308337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0.201545248205066</c:v>
                </c:pt>
                <c:pt idx="1">
                  <c:v>0.194023401895009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0.16141689348581</c:v>
                </c:pt>
                <c:pt idx="3">
                  <c:v>0.16141689348581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0.467251363924735</c:v>
                </c:pt>
                <c:pt idx="1">
                  <c:v>0.467251363924735</c:v>
                </c:pt>
                <c:pt idx="2">
                  <c:v>0.467251363924735</c:v>
                </c:pt>
                <c:pt idx="3">
                  <c:v>0.467251363924735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0.0128075930395328</c:v>
                </c:pt>
                <c:pt idx="2">
                  <c:v>0.130265477657842</c:v>
                </c:pt>
                <c:pt idx="3">
                  <c:v>-0.110767875837977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0410968"/>
        <c:axId val="-2121430360"/>
      </c:barChart>
      <c:catAx>
        <c:axId val="-205041096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1430360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1214303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041096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layout/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0.0574464508094645</c:v>
                </c:pt>
                <c:pt idx="1">
                  <c:v>0.0574464508094645</c:v>
                </c:pt>
                <c:pt idx="2">
                  <c:v>0.111513698630137</c:v>
                </c:pt>
                <c:pt idx="3">
                  <c:v>0.111513698630137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0.352658387297634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0.101923521962648</c:v>
                </c:pt>
                <c:pt idx="1">
                  <c:v>0.080274819701041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0.123596560140946</c:v>
                </c:pt>
                <c:pt idx="1">
                  <c:v>0.0973444734829642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0.0739241815450569</c:v>
                </c:pt>
                <c:pt idx="1">
                  <c:v>0.058222579349752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0.137375446750834</c:v>
                </c:pt>
                <c:pt idx="3">
                  <c:v>0.137375446750834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0.609460241865199</c:v>
                </c:pt>
                <c:pt idx="1">
                  <c:v>0.609460241865199</c:v>
                </c:pt>
                <c:pt idx="2">
                  <c:v>0.609460241865199</c:v>
                </c:pt>
                <c:pt idx="3">
                  <c:v>0.609460241865199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0.063602391114894</c:v>
                </c:pt>
                <c:pt idx="2">
                  <c:v>0.108001569077145</c:v>
                </c:pt>
                <c:pt idx="3">
                  <c:v>-0.244656818220489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72828408"/>
        <c:axId val="-2072953512"/>
      </c:barChart>
      <c:catAx>
        <c:axId val="-2072828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953512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72953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282840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0.126627396540727</c:v>
                </c:pt>
                <c:pt idx="1">
                  <c:v>0.126627396540727</c:v>
                </c:pt>
                <c:pt idx="2">
                  <c:v>0.126627396540727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0.0562788429069898</c:v>
                </c:pt>
                <c:pt idx="1">
                  <c:v>0.0562788429069898</c:v>
                </c:pt>
                <c:pt idx="2">
                  <c:v>0.0522633375239998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0.0281394214534949</c:v>
                </c:pt>
                <c:pt idx="1">
                  <c:v>0.0281394214534949</c:v>
                </c:pt>
                <c:pt idx="2">
                  <c:v>0.0281394214534949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0.00300153828837279</c:v>
                </c:pt>
                <c:pt idx="1">
                  <c:v>0.00300153828837279</c:v>
                </c:pt>
                <c:pt idx="2">
                  <c:v>0.00274454594386143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0.001204651614897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0.0517765354744306</c:v>
                </c:pt>
                <c:pt idx="1">
                  <c:v>0.0517765354744306</c:v>
                </c:pt>
                <c:pt idx="2">
                  <c:v>0.0517765354744306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0.0412711514651259</c:v>
                </c:pt>
                <c:pt idx="1">
                  <c:v>0.0412711514651259</c:v>
                </c:pt>
                <c:pt idx="2">
                  <c:v>0.0412711514651259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0.413086706937305</c:v>
                </c:pt>
                <c:pt idx="1">
                  <c:v>0.413086706937305</c:v>
                </c:pt>
                <c:pt idx="2">
                  <c:v>0.413086706937305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0.279818406933553</c:v>
                </c:pt>
                <c:pt idx="1">
                  <c:v>0.279818406933553</c:v>
                </c:pt>
                <c:pt idx="2">
                  <c:v>0.279818406933553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22015528"/>
        <c:axId val="-2051358536"/>
      </c:barChart>
      <c:catAx>
        <c:axId val="-2122015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1358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1358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0155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0.186328170490276</c:v>
                </c:pt>
                <c:pt idx="1">
                  <c:v>0.186328170490276</c:v>
                </c:pt>
                <c:pt idx="2">
                  <c:v>0.186328170490276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0.0698730639338535</c:v>
                </c:pt>
                <c:pt idx="1">
                  <c:v>0.0698730639338535</c:v>
                </c:pt>
                <c:pt idx="2">
                  <c:v>0.0678287719761339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0.0186328170490276</c:v>
                </c:pt>
                <c:pt idx="1">
                  <c:v>0.0186328170490276</c:v>
                </c:pt>
                <c:pt idx="2">
                  <c:v>0.0186328170490276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0.0151391638523349</c:v>
                </c:pt>
                <c:pt idx="1">
                  <c:v>0.0151391638523349</c:v>
                </c:pt>
                <c:pt idx="2">
                  <c:v>0.0151391638523349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0.0279492255735414</c:v>
                </c:pt>
                <c:pt idx="1">
                  <c:v>0.0279492255735414</c:v>
                </c:pt>
                <c:pt idx="2">
                  <c:v>0.0291758007481731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0.200885058809829</c:v>
                </c:pt>
                <c:pt idx="1">
                  <c:v>0.200885058809829</c:v>
                </c:pt>
                <c:pt idx="2">
                  <c:v>0.200885058809829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0.0291137766391056</c:v>
                </c:pt>
                <c:pt idx="1">
                  <c:v>0.0291137766391056</c:v>
                </c:pt>
                <c:pt idx="2">
                  <c:v>0.0303914591126804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0.223593804588331</c:v>
                </c:pt>
                <c:pt idx="1">
                  <c:v>0.223593804588331</c:v>
                </c:pt>
                <c:pt idx="2">
                  <c:v>0.223593804588331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0.0887387911959939</c:v>
                </c:pt>
                <c:pt idx="1">
                  <c:v>0.0887387911959939</c:v>
                </c:pt>
                <c:pt idx="2">
                  <c:v>0.0887387911959939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0.139746127867707</c:v>
                </c:pt>
                <c:pt idx="1">
                  <c:v>0.139746127867707</c:v>
                </c:pt>
                <c:pt idx="2">
                  <c:v>0.139746127867707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00670840"/>
        <c:axId val="-2082996344"/>
      </c:barChart>
      <c:catAx>
        <c:axId val="-2100670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2996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2996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06708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0.10407838243101</c:v>
                </c:pt>
                <c:pt idx="1">
                  <c:v>0.10407838243101</c:v>
                </c:pt>
                <c:pt idx="2">
                  <c:v>0.10407838243101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0.0372540071341424</c:v>
                </c:pt>
                <c:pt idx="1">
                  <c:v>0.0372540071341424</c:v>
                </c:pt>
                <c:pt idx="2">
                  <c:v>0.0370755952138282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0.0111762021402427</c:v>
                </c:pt>
                <c:pt idx="1">
                  <c:v>0.0111762021402427</c:v>
                </c:pt>
                <c:pt idx="2">
                  <c:v>0.0111762021402427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0.0167643032103641</c:v>
                </c:pt>
                <c:pt idx="1">
                  <c:v>0.0167643032103641</c:v>
                </c:pt>
                <c:pt idx="2">
                  <c:v>0.0170212163756164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0.0279405053506068</c:v>
                </c:pt>
                <c:pt idx="1">
                  <c:v>0.0279405053506068</c:v>
                </c:pt>
                <c:pt idx="2">
                  <c:v>0.0279405053506068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0.00201171638524369</c:v>
                </c:pt>
                <c:pt idx="1">
                  <c:v>0.00201171638524369</c:v>
                </c:pt>
                <c:pt idx="2">
                  <c:v>0.00204254596507397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0.352050367417645</c:v>
                </c:pt>
                <c:pt idx="1">
                  <c:v>0.352050367417645</c:v>
                </c:pt>
                <c:pt idx="2">
                  <c:v>0.352050367417645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0.291978280913841</c:v>
                </c:pt>
                <c:pt idx="1">
                  <c:v>0.291978280913841</c:v>
                </c:pt>
                <c:pt idx="2">
                  <c:v>0.291978280913841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0.0354844417952706</c:v>
                </c:pt>
                <c:pt idx="1">
                  <c:v>0.0354844417952706</c:v>
                </c:pt>
                <c:pt idx="2">
                  <c:v>0.0354844417952706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0.0793510351957232</c:v>
                </c:pt>
                <c:pt idx="1">
                  <c:v>0.0793510351957232</c:v>
                </c:pt>
                <c:pt idx="2">
                  <c:v>0.0793510351957232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0.0419107580259102</c:v>
                </c:pt>
                <c:pt idx="1">
                  <c:v>0.0419107580259102</c:v>
                </c:pt>
                <c:pt idx="2">
                  <c:v>0.0419107580259102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9248216"/>
        <c:axId val="-2082626808"/>
      </c:barChart>
      <c:catAx>
        <c:axId val="2089248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2626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2626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924821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0.0404022266115999</c:v>
                </c:pt>
                <c:pt idx="1">
                  <c:v>0.0404022266115999</c:v>
                </c:pt>
                <c:pt idx="2">
                  <c:v>0.0404022266115999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0.0269348177410666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0.0272939486442808</c:v>
                </c:pt>
                <c:pt idx="1">
                  <c:v>0.0272939486442808</c:v>
                </c:pt>
                <c:pt idx="2">
                  <c:v>0.0272939486442808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0.0337583049021368</c:v>
                </c:pt>
                <c:pt idx="1">
                  <c:v>0.0337583049021368</c:v>
                </c:pt>
                <c:pt idx="2">
                  <c:v>0.0337583049021368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0.172382833542826</c:v>
                </c:pt>
                <c:pt idx="1">
                  <c:v>0.172382833542826</c:v>
                </c:pt>
                <c:pt idx="2">
                  <c:v>0.172382833542826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0.726162686299156</c:v>
                </c:pt>
                <c:pt idx="1">
                  <c:v>0.726162686299156</c:v>
                </c:pt>
                <c:pt idx="2">
                  <c:v>0.726162686299156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  <c:pt idx="0">
                  <c:v>Remittances: no. times per year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2534952"/>
        <c:axId val="-2052845048"/>
      </c:barChart>
      <c:catAx>
        <c:axId val="-205253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845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8450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53495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ZAKHC - Affected Area</a:t>
            </a:r>
          </a:p>
        </c:rich>
      </c:tx>
      <c:layout>
        <c:manualLayout>
          <c:xMode val="edge"/>
          <c:yMode val="edge"/>
          <c:x val="0.382348197407966"/>
          <c:y val="0.0274263278065851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708.823993685872</c:v>
                </c:pt>
                <c:pt idx="1">
                  <c:v>1947.513812154696</c:v>
                </c:pt>
                <c:pt idx="2">
                  <c:v>1795.264404104183</c:v>
                </c:pt>
                <c:pt idx="3">
                  <c:v>1257.348066298342</c:v>
                </c:pt>
                <c:pt idx="4">
                  <c:v>708.823993685872</c:v>
                </c:pt>
                <c:pt idx="5">
                  <c:v>1963.407950952871</c:v>
                </c:pt>
                <c:pt idx="6">
                  <c:v>1427.413105495735</c:v>
                </c:pt>
                <c:pt idx="7">
                  <c:v>1134.411827739784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0.0</c:v>
                </c:pt>
                <c:pt idx="1">
                  <c:v>1660.0</c:v>
                </c:pt>
                <c:pt idx="2">
                  <c:v>25314.28571428571</c:v>
                </c:pt>
                <c:pt idx="3">
                  <c:v>10032.0</c:v>
                </c:pt>
                <c:pt idx="4">
                  <c:v>0.0</c:v>
                </c:pt>
                <c:pt idx="5">
                  <c:v>1646.300766083478</c:v>
                </c:pt>
                <c:pt idx="6">
                  <c:v>25560.04640485884</c:v>
                </c:pt>
                <c:pt idx="7">
                  <c:v>10093.79045256453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85.83267561168114</c:v>
                </c:pt>
                <c:pt idx="1">
                  <c:v>410.8067343458288</c:v>
                </c:pt>
                <c:pt idx="2">
                  <c:v>1192.852765586646</c:v>
                </c:pt>
                <c:pt idx="3">
                  <c:v>1463.517503313492</c:v>
                </c:pt>
                <c:pt idx="4">
                  <c:v>85.83267561168114</c:v>
                </c:pt>
                <c:pt idx="5">
                  <c:v>410.8067343458288</c:v>
                </c:pt>
                <c:pt idx="6">
                  <c:v>1192.852765586646</c:v>
                </c:pt>
                <c:pt idx="7">
                  <c:v>1463.517503313492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1285.714285714286</c:v>
                </c:pt>
                <c:pt idx="1">
                  <c:v>9749.999999999998</c:v>
                </c:pt>
                <c:pt idx="2">
                  <c:v>28457.14285714285</c:v>
                </c:pt>
                <c:pt idx="3">
                  <c:v>32750.0</c:v>
                </c:pt>
                <c:pt idx="4">
                  <c:v>1285.714285714286</c:v>
                </c:pt>
                <c:pt idx="5">
                  <c:v>9535.949470054334</c:v>
                </c:pt>
                <c:pt idx="6">
                  <c:v>28256.52188524642</c:v>
                </c:pt>
                <c:pt idx="7">
                  <c:v>32711.6874674079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1111.454355474631</c:v>
                </c:pt>
                <c:pt idx="5">
                  <c:v>100.5054996431614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7428.571428571428</c:v>
                </c:pt>
                <c:pt idx="1">
                  <c:v>496</c:v>
                </c:pt>
                <c:pt idx="2">
                  <c:v>0.0</c:v>
                </c:pt>
                <c:pt idx="3">
                  <c:v>0.0</c:v>
                </c:pt>
                <c:pt idx="4">
                  <c:v>7428.571428571428</c:v>
                </c:pt>
                <c:pt idx="5">
                  <c:v>496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21942.85714285714</c:v>
                </c:pt>
                <c:pt idx="3">
                  <c:v>75600.0</c:v>
                </c:pt>
                <c:pt idx="4">
                  <c:v>0.0</c:v>
                </c:pt>
                <c:pt idx="5">
                  <c:v>0.0</c:v>
                </c:pt>
                <c:pt idx="6">
                  <c:v>21942.85714285714</c:v>
                </c:pt>
                <c:pt idx="7">
                  <c:v>75600.0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0.0</c:v>
                </c:pt>
                <c:pt idx="1">
                  <c:v>14916.0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14916.0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62700.0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62700.0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1009.172612427673</c:v>
                </c:pt>
                <c:pt idx="1">
                  <c:v>1009.172612427673</c:v>
                </c:pt>
                <c:pt idx="2">
                  <c:v>1009.172612427673</c:v>
                </c:pt>
                <c:pt idx="3">
                  <c:v>0.0</c:v>
                </c:pt>
                <c:pt idx="4">
                  <c:v>1009.172612427673</c:v>
                </c:pt>
                <c:pt idx="5">
                  <c:v>1009.172612427673</c:v>
                </c:pt>
                <c:pt idx="6">
                  <c:v>1009.172612427673</c:v>
                </c:pt>
                <c:pt idx="7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23108.57142857143</c:v>
                </c:pt>
                <c:pt idx="1">
                  <c:v>22020.0</c:v>
                </c:pt>
                <c:pt idx="2">
                  <c:v>8708.57142857143</c:v>
                </c:pt>
                <c:pt idx="3">
                  <c:v>7620.0</c:v>
                </c:pt>
                <c:pt idx="4">
                  <c:v>23108.57142857143</c:v>
                </c:pt>
                <c:pt idx="5">
                  <c:v>22020.0</c:v>
                </c:pt>
                <c:pt idx="6">
                  <c:v>8708.57142857143</c:v>
                </c:pt>
                <c:pt idx="7">
                  <c:v>7620.0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13714.28571428571</c:v>
                </c:pt>
                <c:pt idx="3">
                  <c:v>26040.0</c:v>
                </c:pt>
                <c:pt idx="4">
                  <c:v>0.0</c:v>
                </c:pt>
                <c:pt idx="5">
                  <c:v>0.0</c:v>
                </c:pt>
                <c:pt idx="6">
                  <c:v>13714.28571428571</c:v>
                </c:pt>
                <c:pt idx="7">
                  <c:v>26040.0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Income!$B$87:$I$87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52309896"/>
        <c:axId val="2037400808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19286.70858741943</c:v>
                </c:pt>
                <c:pt idx="1">
                  <c:v>19286.70858741943</c:v>
                </c:pt>
                <c:pt idx="2">
                  <c:v>19286.70858741942</c:v>
                </c:pt>
                <c:pt idx="3">
                  <c:v>19286.70858741943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19286.70858741943</c:v>
                </c:pt>
                <c:pt idx="5" formatCode="#,##0">
                  <c:v>19286.70858741943</c:v>
                </c:pt>
                <c:pt idx="6" formatCode="#,##0">
                  <c:v>19286.70858741942</c:v>
                </c:pt>
                <c:pt idx="7" formatCode="#,##0">
                  <c:v>19286.70858741943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34865.3752540861</c:v>
                </c:pt>
                <c:pt idx="1">
                  <c:v>34865.3752540861</c:v>
                </c:pt>
                <c:pt idx="2">
                  <c:v>34865.3752540861</c:v>
                </c:pt>
                <c:pt idx="3">
                  <c:v>34865.3752540861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34865.3752540861</c:v>
                </c:pt>
                <c:pt idx="5" formatCode="#,##0">
                  <c:v>34865.3752540861</c:v>
                </c:pt>
                <c:pt idx="6" formatCode="#,##0">
                  <c:v>34865.3752540861</c:v>
                </c:pt>
                <c:pt idx="7" formatCode="#,##0">
                  <c:v>34865.3752540861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62609.3752540861</c:v>
                </c:pt>
                <c:pt idx="1">
                  <c:v>62609.3752540861</c:v>
                </c:pt>
                <c:pt idx="2">
                  <c:v>62609.3752540861</c:v>
                </c:pt>
                <c:pt idx="3">
                  <c:v>62609.3752540861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62609.3752540861</c:v>
                </c:pt>
                <c:pt idx="5" formatCode="#,##0">
                  <c:v>62609.3752540861</c:v>
                </c:pt>
                <c:pt idx="6" formatCode="#,##0">
                  <c:v>62609.3752540861</c:v>
                </c:pt>
                <c:pt idx="7" formatCode="#,##0">
                  <c:v>62609.3752540861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2309896"/>
        <c:axId val="2037400808"/>
      </c:lineChart>
      <c:catAx>
        <c:axId val="-2052309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37400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37400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5230989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ZAKHC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Income!$B$72:$E$72</c:f>
              <c:numCache>
                <c:formatCode>#,##0</c:formatCode>
                <c:ptCount val="4"/>
                <c:pt idx="0">
                  <c:v>708.823993685872</c:v>
                </c:pt>
                <c:pt idx="1">
                  <c:v>1947.513812154696</c:v>
                </c:pt>
                <c:pt idx="2">
                  <c:v>1795.264404104183</c:v>
                </c:pt>
                <c:pt idx="3">
                  <c:v>1257.348066298342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Income!$B$73:$E$73</c:f>
              <c:numCache>
                <c:formatCode>#,##0</c:formatCode>
                <c:ptCount val="4"/>
                <c:pt idx="0">
                  <c:v>0.0</c:v>
                </c:pt>
                <c:pt idx="1">
                  <c:v>1660.0</c:v>
                </c:pt>
                <c:pt idx="2">
                  <c:v>25314.28571428571</c:v>
                </c:pt>
                <c:pt idx="3">
                  <c:v>10032.0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85.83267561168114</c:v>
                </c:pt>
                <c:pt idx="1">
                  <c:v>410.8067343458288</c:v>
                </c:pt>
                <c:pt idx="2">
                  <c:v>1192.852765586646</c:v>
                </c:pt>
                <c:pt idx="3">
                  <c:v>1463.517503313492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1285.714285714286</c:v>
                </c:pt>
                <c:pt idx="1">
                  <c:v>9749.999999999998</c:v>
                </c:pt>
                <c:pt idx="2">
                  <c:v>28457.14285714285</c:v>
                </c:pt>
                <c:pt idx="3">
                  <c:v>32750.0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7428.571428571428</c:v>
                </c:pt>
                <c:pt idx="1">
                  <c:v>496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21942.85714285714</c:v>
                </c:pt>
                <c:pt idx="3">
                  <c:v>75600.0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0.0</c:v>
                </c:pt>
                <c:pt idx="1">
                  <c:v>14916.0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Income!$B$81:$E$81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62700.0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Income!$B$83:$E$83</c:f>
              <c:numCache>
                <c:formatCode>#,##0</c:formatCode>
                <c:ptCount val="4"/>
                <c:pt idx="0">
                  <c:v>1009.172612427673</c:v>
                </c:pt>
                <c:pt idx="1">
                  <c:v>1009.172612427673</c:v>
                </c:pt>
                <c:pt idx="2">
                  <c:v>1009.172612427673</c:v>
                </c:pt>
                <c:pt idx="3">
                  <c:v>0.0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Income!$B$84:$E$84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Income!$B$85:$E$85</c:f>
              <c:numCache>
                <c:formatCode>#,##0</c:formatCode>
                <c:ptCount val="4"/>
                <c:pt idx="0">
                  <c:v>23108.57142857143</c:v>
                </c:pt>
                <c:pt idx="1">
                  <c:v>22020.0</c:v>
                </c:pt>
                <c:pt idx="2">
                  <c:v>8708.57142857143</c:v>
                </c:pt>
                <c:pt idx="3">
                  <c:v>7620.0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13714.28571428571</c:v>
                </c:pt>
                <c:pt idx="3">
                  <c:v>26040.0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Income!$B$87:$E$87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8186856"/>
        <c:axId val="-2104137704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19286.70858741943</c:v>
                </c:pt>
                <c:pt idx="1">
                  <c:v>19286.70858741943</c:v>
                </c:pt>
                <c:pt idx="2">
                  <c:v>19286.70858741942</c:v>
                </c:pt>
                <c:pt idx="3">
                  <c:v>19286.70858741943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34865.3752540861</c:v>
                </c:pt>
                <c:pt idx="1">
                  <c:v>34865.3752540861</c:v>
                </c:pt>
                <c:pt idx="2">
                  <c:v>34865.3752540861</c:v>
                </c:pt>
                <c:pt idx="3">
                  <c:v>34865.3752540861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62609.3752540861</c:v>
                </c:pt>
                <c:pt idx="1">
                  <c:v>62609.3752540861</c:v>
                </c:pt>
                <c:pt idx="2">
                  <c:v>62609.3752540861</c:v>
                </c:pt>
                <c:pt idx="3">
                  <c:v>62609.3752540861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186856"/>
        <c:axId val="-2104137704"/>
      </c:lineChart>
      <c:catAx>
        <c:axId val="2038186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04137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4137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381868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708.823993685872</c:v>
                </c:pt>
                <c:pt idx="1">
                  <c:v>708.823993685872</c:v>
                </c:pt>
                <c:pt idx="2">
                  <c:v>708.823993685872</c:v>
                </c:pt>
                <c:pt idx="3">
                  <c:v>708.823993685872</c:v>
                </c:pt>
                <c:pt idx="4">
                  <c:v>708.823993685872</c:v>
                </c:pt>
                <c:pt idx="5">
                  <c:v>708.823993685872</c:v>
                </c:pt>
                <c:pt idx="6">
                  <c:v>708.823993685872</c:v>
                </c:pt>
                <c:pt idx="7">
                  <c:v>708.823993685872</c:v>
                </c:pt>
                <c:pt idx="8">
                  <c:v>708.823993685872</c:v>
                </c:pt>
                <c:pt idx="9">
                  <c:v>708.823993685872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85.83267561168114</c:v>
                </c:pt>
                <c:pt idx="1">
                  <c:v>85.83267561168114</c:v>
                </c:pt>
                <c:pt idx="2">
                  <c:v>85.83267561168114</c:v>
                </c:pt>
                <c:pt idx="3">
                  <c:v>85.83267561168114</c:v>
                </c:pt>
                <c:pt idx="4">
                  <c:v>85.83267561168114</c:v>
                </c:pt>
                <c:pt idx="5">
                  <c:v>85.83267561168114</c:v>
                </c:pt>
                <c:pt idx="6">
                  <c:v>85.83267561168114</c:v>
                </c:pt>
                <c:pt idx="7">
                  <c:v>85.83267561168114</c:v>
                </c:pt>
                <c:pt idx="8">
                  <c:v>85.83267561168114</c:v>
                </c:pt>
                <c:pt idx="9">
                  <c:v>85.83267561168114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1285.714285714286</c:v>
                </c:pt>
                <c:pt idx="1">
                  <c:v>1285.714285714286</c:v>
                </c:pt>
                <c:pt idx="2">
                  <c:v>1285.714285714286</c:v>
                </c:pt>
                <c:pt idx="3">
                  <c:v>1285.714285714286</c:v>
                </c:pt>
                <c:pt idx="4">
                  <c:v>1285.714285714286</c:v>
                </c:pt>
                <c:pt idx="5">
                  <c:v>1285.714285714286</c:v>
                </c:pt>
                <c:pt idx="6">
                  <c:v>1285.714285714286</c:v>
                </c:pt>
                <c:pt idx="7">
                  <c:v>1285.714285714286</c:v>
                </c:pt>
                <c:pt idx="8">
                  <c:v>1285.714285714286</c:v>
                </c:pt>
                <c:pt idx="9">
                  <c:v>1285.714285714286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7428.571428571428</c:v>
                </c:pt>
                <c:pt idx="1">
                  <c:v>7428.571428571428</c:v>
                </c:pt>
                <c:pt idx="2">
                  <c:v>7428.571428571428</c:v>
                </c:pt>
                <c:pt idx="3">
                  <c:v>7428.571428571428</c:v>
                </c:pt>
                <c:pt idx="4">
                  <c:v>7428.571428571428</c:v>
                </c:pt>
                <c:pt idx="5">
                  <c:v>7428.571428571428</c:v>
                </c:pt>
                <c:pt idx="6">
                  <c:v>7428.571428571428</c:v>
                </c:pt>
                <c:pt idx="7">
                  <c:v>7428.571428571428</c:v>
                </c:pt>
                <c:pt idx="8">
                  <c:v>7428.571428571428</c:v>
                </c:pt>
                <c:pt idx="9">
                  <c:v>7428.571428571428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1009.172612427673</c:v>
                </c:pt>
                <c:pt idx="1">
                  <c:v>1009.172612427673</c:v>
                </c:pt>
                <c:pt idx="2">
                  <c:v>1009.172612427673</c:v>
                </c:pt>
                <c:pt idx="3">
                  <c:v>1009.172612427673</c:v>
                </c:pt>
                <c:pt idx="4">
                  <c:v>1009.172612427673</c:v>
                </c:pt>
                <c:pt idx="5">
                  <c:v>1009.172612427673</c:v>
                </c:pt>
                <c:pt idx="6">
                  <c:v>1009.172612427673</c:v>
                </c:pt>
                <c:pt idx="7">
                  <c:v>1009.172612427673</c:v>
                </c:pt>
                <c:pt idx="8">
                  <c:v>1009.172612427673</c:v>
                </c:pt>
                <c:pt idx="9">
                  <c:v>1009.172612427673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8882440"/>
        <c:axId val="-2083013720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19286.70858741943</c:v>
                </c:pt>
                <c:pt idx="1">
                  <c:v>19286.70858741943</c:v>
                </c:pt>
                <c:pt idx="2">
                  <c:v>19286.70858741942</c:v>
                </c:pt>
                <c:pt idx="3">
                  <c:v>19286.70858741943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34865.3752540861</c:v>
                </c:pt>
                <c:pt idx="1">
                  <c:v>34865.3752540861</c:v>
                </c:pt>
                <c:pt idx="2">
                  <c:v>34865.3752540861</c:v>
                </c:pt>
                <c:pt idx="3">
                  <c:v>34865.3752540861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882440"/>
        <c:axId val="-2083013720"/>
      </c:lineChart>
      <c:catAx>
        <c:axId val="208888244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3013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3013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88824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0.280190564788116</c:v>
                </c:pt>
                <c:pt idx="1">
                  <c:v>0.280190564788116</c:v>
                </c:pt>
                <c:pt idx="2">
                  <c:v>0.280190564788116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0.292249778011231</c:v>
                </c:pt>
                <c:pt idx="1">
                  <c:v>0.292249778011231</c:v>
                </c:pt>
                <c:pt idx="2">
                  <c:v>0.292249778011231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0.520466739203842</c:v>
                </c:pt>
                <c:pt idx="1">
                  <c:v>0.3645086971748</c:v>
                </c:pt>
                <c:pt idx="2">
                  <c:v>0.363487403831736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0.0873447641916482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0.063050960025853</c:v>
                </c:pt>
                <c:pt idx="1">
                  <c:v>0.063050960025853</c:v>
                </c:pt>
                <c:pt idx="2">
                  <c:v>0.061004407256313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00387144"/>
        <c:axId val="2136920968"/>
      </c:barChart>
      <c:catAx>
        <c:axId val="-210038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36920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36920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0038714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0.152193530520215</c:v>
                </c:pt>
                <c:pt idx="1">
                  <c:v>0.152193530520215</c:v>
                </c:pt>
                <c:pt idx="2">
                  <c:v>0.152193530520215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0.025393003814709</c:v>
                </c:pt>
                <c:pt idx="1">
                  <c:v>0.025393003814709</c:v>
                </c:pt>
                <c:pt idx="2">
                  <c:v>0.0288616186250652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0.249213928030744</c:v>
                </c:pt>
                <c:pt idx="1">
                  <c:v>0.249213928030744</c:v>
                </c:pt>
                <c:pt idx="2">
                  <c:v>0.249213928030744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0.282706416676371</c:v>
                </c:pt>
                <c:pt idx="1">
                  <c:v>0.282706416676371</c:v>
                </c:pt>
                <c:pt idx="2">
                  <c:v>0.282706416676371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0.131749283374015</c:v>
                </c:pt>
                <c:pt idx="1">
                  <c:v>0.131749283374015</c:v>
                </c:pt>
                <c:pt idx="2">
                  <c:v>0.128740634254146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0.025393003814709</c:v>
                </c:pt>
                <c:pt idx="1">
                  <c:v>0.025393003814709</c:v>
                </c:pt>
                <c:pt idx="2">
                  <c:v>0.0288616186250652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2542520"/>
        <c:axId val="-2083357832"/>
      </c:barChart>
      <c:catAx>
        <c:axId val="-2052542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335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335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525425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0.0695524780741323</c:v>
                </c:pt>
                <c:pt idx="1">
                  <c:v>0.0695524780741323</c:v>
                </c:pt>
                <c:pt idx="2">
                  <c:v>0.0695524780741323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0.0124389277411707</c:v>
                </c:pt>
                <c:pt idx="1">
                  <c:v>0.0124389277411707</c:v>
                </c:pt>
                <c:pt idx="2">
                  <c:v>0.0128773193464751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0.0521556099877993</c:v>
                </c:pt>
                <c:pt idx="1">
                  <c:v>0.0521556099877993</c:v>
                </c:pt>
                <c:pt idx="2">
                  <c:v>0.0521556099877993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0.664110117563139</c:v>
                </c:pt>
                <c:pt idx="1">
                  <c:v>0.664110117563139</c:v>
                </c:pt>
                <c:pt idx="2">
                  <c:v>0.663781056782603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0.0124389277411707</c:v>
                </c:pt>
                <c:pt idx="1">
                  <c:v>0.0124389277411707</c:v>
                </c:pt>
                <c:pt idx="2">
                  <c:v>0.0128773193464751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2616536"/>
        <c:axId val="-2052850440"/>
      </c:barChart>
      <c:catAx>
        <c:axId val="-2082616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52850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8504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26165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0.469343094479113</c:v>
                </c:pt>
                <c:pt idx="1">
                  <c:v>0.469343094479113</c:v>
                </c:pt>
                <c:pt idx="2">
                  <c:v>0.469343094479113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0.489543305201413</c:v>
                </c:pt>
                <c:pt idx="1">
                  <c:v>0.489543305201412</c:v>
                </c:pt>
                <c:pt idx="2">
                  <c:v>0.489543305201413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0.871826180642844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0.146274016879152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0.129322839832578</c:v>
                </c:pt>
                <c:pt idx="1">
                  <c:v>0.129322839832578</c:v>
                </c:pt>
                <c:pt idx="2">
                  <c:v>0.11401289532655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-0.489543305201412</c:v>
                </c:pt>
                <c:pt idx="2">
                  <c:v>-0.0459644772660089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4425848"/>
        <c:axId val="-2083132264"/>
      </c:barChart>
      <c:catAx>
        <c:axId val="-2054425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31322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3132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544258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708.823993685872</c:v>
                </c:pt>
                <c:pt idx="1">
                  <c:v>708.823993685872</c:v>
                </c:pt>
                <c:pt idx="2">
                  <c:v>708.823993685872</c:v>
                </c:pt>
                <c:pt idx="3">
                  <c:v>708.823993685872</c:v>
                </c:pt>
                <c:pt idx="4">
                  <c:v>708.823993685872</c:v>
                </c:pt>
                <c:pt idx="5">
                  <c:v>708.823993685872</c:v>
                </c:pt>
                <c:pt idx="6">
                  <c:v>708.823993685872</c:v>
                </c:pt>
                <c:pt idx="7">
                  <c:v>708.823993685872</c:v>
                </c:pt>
                <c:pt idx="8">
                  <c:v>708.823993685872</c:v>
                </c:pt>
                <c:pt idx="9">
                  <c:v>708.823993685872</c:v>
                </c:pt>
                <c:pt idx="10">
                  <c:v>708.823993685872</c:v>
                </c:pt>
                <c:pt idx="11">
                  <c:v>708.823993685872</c:v>
                </c:pt>
                <c:pt idx="12">
                  <c:v>708.823993685872</c:v>
                </c:pt>
                <c:pt idx="13">
                  <c:v>708.823993685872</c:v>
                </c:pt>
                <c:pt idx="14">
                  <c:v>708.823993685872</c:v>
                </c:pt>
                <c:pt idx="15">
                  <c:v>708.823993685872</c:v>
                </c:pt>
                <c:pt idx="16">
                  <c:v>708.823993685872</c:v>
                </c:pt>
                <c:pt idx="17">
                  <c:v>708.823993685872</c:v>
                </c:pt>
                <c:pt idx="18">
                  <c:v>708.823993685872</c:v>
                </c:pt>
                <c:pt idx="19">
                  <c:v>708.823993685872</c:v>
                </c:pt>
                <c:pt idx="20">
                  <c:v>708.823993685872</c:v>
                </c:pt>
                <c:pt idx="21">
                  <c:v>708.823993685872</c:v>
                </c:pt>
                <c:pt idx="22">
                  <c:v>708.823993685872</c:v>
                </c:pt>
                <c:pt idx="23">
                  <c:v>708.823993685872</c:v>
                </c:pt>
                <c:pt idx="24">
                  <c:v>708.823993685872</c:v>
                </c:pt>
                <c:pt idx="25">
                  <c:v>708.823993685872</c:v>
                </c:pt>
                <c:pt idx="26">
                  <c:v>708.823993685872</c:v>
                </c:pt>
                <c:pt idx="27">
                  <c:v>708.823993685872</c:v>
                </c:pt>
                <c:pt idx="28">
                  <c:v>708.823993685872</c:v>
                </c:pt>
                <c:pt idx="29">
                  <c:v>708.823993685872</c:v>
                </c:pt>
                <c:pt idx="30">
                  <c:v>708.823993685872</c:v>
                </c:pt>
                <c:pt idx="31">
                  <c:v>708.823993685872</c:v>
                </c:pt>
                <c:pt idx="32">
                  <c:v>708.823993685872</c:v>
                </c:pt>
                <c:pt idx="33">
                  <c:v>708.823993685872</c:v>
                </c:pt>
                <c:pt idx="34">
                  <c:v>708.823993685872</c:v>
                </c:pt>
                <c:pt idx="35">
                  <c:v>708.823993685872</c:v>
                </c:pt>
                <c:pt idx="36">
                  <c:v>708.823993685872</c:v>
                </c:pt>
                <c:pt idx="37">
                  <c:v>708.823993685872</c:v>
                </c:pt>
                <c:pt idx="38">
                  <c:v>708.823993685872</c:v>
                </c:pt>
                <c:pt idx="39">
                  <c:v>708.823993685872</c:v>
                </c:pt>
                <c:pt idx="40">
                  <c:v>708.823993685872</c:v>
                </c:pt>
                <c:pt idx="41">
                  <c:v>708.823993685872</c:v>
                </c:pt>
                <c:pt idx="42">
                  <c:v>708.823993685872</c:v>
                </c:pt>
                <c:pt idx="43">
                  <c:v>708.823993685872</c:v>
                </c:pt>
                <c:pt idx="44">
                  <c:v>708.823993685872</c:v>
                </c:pt>
                <c:pt idx="45">
                  <c:v>708.823993685872</c:v>
                </c:pt>
                <c:pt idx="46">
                  <c:v>708.823993685872</c:v>
                </c:pt>
                <c:pt idx="47">
                  <c:v>708.823993685872</c:v>
                </c:pt>
                <c:pt idx="48">
                  <c:v>708.823993685872</c:v>
                </c:pt>
                <c:pt idx="49">
                  <c:v>708.823993685872</c:v>
                </c:pt>
                <c:pt idx="50">
                  <c:v>1947.513812154696</c:v>
                </c:pt>
                <c:pt idx="51">
                  <c:v>1947.513812154696</c:v>
                </c:pt>
                <c:pt idx="52">
                  <c:v>1947.513812154696</c:v>
                </c:pt>
                <c:pt idx="53">
                  <c:v>1947.513812154696</c:v>
                </c:pt>
                <c:pt idx="54">
                  <c:v>1947.513812154696</c:v>
                </c:pt>
                <c:pt idx="55">
                  <c:v>1947.513812154696</c:v>
                </c:pt>
                <c:pt idx="56">
                  <c:v>1947.513812154696</c:v>
                </c:pt>
                <c:pt idx="57">
                  <c:v>1947.513812154696</c:v>
                </c:pt>
                <c:pt idx="58">
                  <c:v>1947.513812154696</c:v>
                </c:pt>
                <c:pt idx="59">
                  <c:v>1947.513812154696</c:v>
                </c:pt>
                <c:pt idx="60">
                  <c:v>1947.513812154696</c:v>
                </c:pt>
                <c:pt idx="61">
                  <c:v>1947.513812154696</c:v>
                </c:pt>
                <c:pt idx="62">
                  <c:v>1947.513812154696</c:v>
                </c:pt>
                <c:pt idx="63">
                  <c:v>1947.513812154696</c:v>
                </c:pt>
                <c:pt idx="64">
                  <c:v>1947.513812154696</c:v>
                </c:pt>
                <c:pt idx="65">
                  <c:v>1947.513812154696</c:v>
                </c:pt>
                <c:pt idx="66">
                  <c:v>1947.513812154696</c:v>
                </c:pt>
                <c:pt idx="67">
                  <c:v>1947.513812154696</c:v>
                </c:pt>
                <c:pt idx="68">
                  <c:v>1947.513812154696</c:v>
                </c:pt>
                <c:pt idx="69">
                  <c:v>1947.513812154696</c:v>
                </c:pt>
                <c:pt idx="70">
                  <c:v>1947.513812154696</c:v>
                </c:pt>
                <c:pt idx="71">
                  <c:v>1947.513812154696</c:v>
                </c:pt>
                <c:pt idx="72">
                  <c:v>1947.513812154696</c:v>
                </c:pt>
                <c:pt idx="73">
                  <c:v>1947.513812154696</c:v>
                </c:pt>
                <c:pt idx="74">
                  <c:v>1947.513812154696</c:v>
                </c:pt>
                <c:pt idx="75">
                  <c:v>1795.264404104183</c:v>
                </c:pt>
                <c:pt idx="76">
                  <c:v>1795.264404104183</c:v>
                </c:pt>
                <c:pt idx="77">
                  <c:v>1795.264404104183</c:v>
                </c:pt>
                <c:pt idx="78">
                  <c:v>1795.264404104183</c:v>
                </c:pt>
                <c:pt idx="79">
                  <c:v>1795.264404104183</c:v>
                </c:pt>
                <c:pt idx="80">
                  <c:v>1795.264404104183</c:v>
                </c:pt>
                <c:pt idx="81">
                  <c:v>1795.264404104183</c:v>
                </c:pt>
                <c:pt idx="82">
                  <c:v>1795.264404104183</c:v>
                </c:pt>
                <c:pt idx="83">
                  <c:v>1795.264404104183</c:v>
                </c:pt>
                <c:pt idx="84">
                  <c:v>1795.264404104183</c:v>
                </c:pt>
                <c:pt idx="85">
                  <c:v>1795.264404104183</c:v>
                </c:pt>
                <c:pt idx="86">
                  <c:v>1795.264404104183</c:v>
                </c:pt>
                <c:pt idx="87">
                  <c:v>1795.264404104183</c:v>
                </c:pt>
                <c:pt idx="88">
                  <c:v>1795.264404104183</c:v>
                </c:pt>
                <c:pt idx="89">
                  <c:v>1795.264404104183</c:v>
                </c:pt>
                <c:pt idx="90">
                  <c:v>1257.348066298342</c:v>
                </c:pt>
                <c:pt idx="91">
                  <c:v>1257.348066298342</c:v>
                </c:pt>
                <c:pt idx="92">
                  <c:v>1257.348066298342</c:v>
                </c:pt>
                <c:pt idx="93">
                  <c:v>1257.348066298342</c:v>
                </c:pt>
                <c:pt idx="94">
                  <c:v>1257.348066298342</c:v>
                </c:pt>
                <c:pt idx="95">
                  <c:v>1257.348066298342</c:v>
                </c:pt>
                <c:pt idx="96">
                  <c:v>1257.348066298342</c:v>
                </c:pt>
                <c:pt idx="97">
                  <c:v>1257.348066298342</c:v>
                </c:pt>
                <c:pt idx="98">
                  <c:v>1257.348066298342</c:v>
                </c:pt>
                <c:pt idx="99">
                  <c:v>1257.348066298342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1660.0</c:v>
                </c:pt>
                <c:pt idx="51">
                  <c:v>1660.0</c:v>
                </c:pt>
                <c:pt idx="52">
                  <c:v>1660.0</c:v>
                </c:pt>
                <c:pt idx="53">
                  <c:v>1660.0</c:v>
                </c:pt>
                <c:pt idx="54">
                  <c:v>1660.0</c:v>
                </c:pt>
                <c:pt idx="55">
                  <c:v>1660.0</c:v>
                </c:pt>
                <c:pt idx="56">
                  <c:v>1660.0</c:v>
                </c:pt>
                <c:pt idx="57">
                  <c:v>1660.0</c:v>
                </c:pt>
                <c:pt idx="58">
                  <c:v>1660.0</c:v>
                </c:pt>
                <c:pt idx="59">
                  <c:v>1660.0</c:v>
                </c:pt>
                <c:pt idx="60">
                  <c:v>1660.0</c:v>
                </c:pt>
                <c:pt idx="61">
                  <c:v>1660.0</c:v>
                </c:pt>
                <c:pt idx="62">
                  <c:v>1660.0</c:v>
                </c:pt>
                <c:pt idx="63">
                  <c:v>1660.0</c:v>
                </c:pt>
                <c:pt idx="64">
                  <c:v>1660.0</c:v>
                </c:pt>
                <c:pt idx="65">
                  <c:v>1660.0</c:v>
                </c:pt>
                <c:pt idx="66">
                  <c:v>1660.0</c:v>
                </c:pt>
                <c:pt idx="67">
                  <c:v>1660.0</c:v>
                </c:pt>
                <c:pt idx="68">
                  <c:v>1660.0</c:v>
                </c:pt>
                <c:pt idx="69">
                  <c:v>1660.0</c:v>
                </c:pt>
                <c:pt idx="70">
                  <c:v>1660.0</c:v>
                </c:pt>
                <c:pt idx="71">
                  <c:v>1660.0</c:v>
                </c:pt>
                <c:pt idx="72">
                  <c:v>1660.0</c:v>
                </c:pt>
                <c:pt idx="73">
                  <c:v>1660.0</c:v>
                </c:pt>
                <c:pt idx="74">
                  <c:v>1660.0</c:v>
                </c:pt>
                <c:pt idx="75">
                  <c:v>25314.28571428571</c:v>
                </c:pt>
                <c:pt idx="76">
                  <c:v>25314.28571428571</c:v>
                </c:pt>
                <c:pt idx="77">
                  <c:v>25314.28571428571</c:v>
                </c:pt>
                <c:pt idx="78">
                  <c:v>25314.28571428571</c:v>
                </c:pt>
                <c:pt idx="79">
                  <c:v>25314.28571428571</c:v>
                </c:pt>
                <c:pt idx="80">
                  <c:v>25314.28571428571</c:v>
                </c:pt>
                <c:pt idx="81">
                  <c:v>25314.28571428571</c:v>
                </c:pt>
                <c:pt idx="82">
                  <c:v>25314.28571428571</c:v>
                </c:pt>
                <c:pt idx="83">
                  <c:v>25314.28571428571</c:v>
                </c:pt>
                <c:pt idx="84">
                  <c:v>25314.28571428571</c:v>
                </c:pt>
                <c:pt idx="85">
                  <c:v>25314.28571428571</c:v>
                </c:pt>
                <c:pt idx="86">
                  <c:v>25314.28571428571</c:v>
                </c:pt>
                <c:pt idx="87">
                  <c:v>25314.28571428571</c:v>
                </c:pt>
                <c:pt idx="88">
                  <c:v>25314.28571428571</c:v>
                </c:pt>
                <c:pt idx="89">
                  <c:v>25314.28571428571</c:v>
                </c:pt>
                <c:pt idx="90">
                  <c:v>10032.0</c:v>
                </c:pt>
                <c:pt idx="91">
                  <c:v>10032.0</c:v>
                </c:pt>
                <c:pt idx="92">
                  <c:v>10032.0</c:v>
                </c:pt>
                <c:pt idx="93">
                  <c:v>10032.0</c:v>
                </c:pt>
                <c:pt idx="94">
                  <c:v>10032.0</c:v>
                </c:pt>
                <c:pt idx="95">
                  <c:v>10032.0</c:v>
                </c:pt>
                <c:pt idx="96">
                  <c:v>10032.0</c:v>
                </c:pt>
                <c:pt idx="97">
                  <c:v>10032.0</c:v>
                </c:pt>
                <c:pt idx="98">
                  <c:v>10032.0</c:v>
                </c:pt>
                <c:pt idx="99">
                  <c:v>10032.0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85.83267561168114</c:v>
                </c:pt>
                <c:pt idx="1">
                  <c:v>85.83267561168114</c:v>
                </c:pt>
                <c:pt idx="2">
                  <c:v>85.83267561168114</c:v>
                </c:pt>
                <c:pt idx="3">
                  <c:v>85.83267561168114</c:v>
                </c:pt>
                <c:pt idx="4">
                  <c:v>85.83267561168114</c:v>
                </c:pt>
                <c:pt idx="5">
                  <c:v>85.83267561168114</c:v>
                </c:pt>
                <c:pt idx="6">
                  <c:v>85.83267561168114</c:v>
                </c:pt>
                <c:pt idx="7">
                  <c:v>85.83267561168114</c:v>
                </c:pt>
                <c:pt idx="8">
                  <c:v>85.83267561168114</c:v>
                </c:pt>
                <c:pt idx="9">
                  <c:v>85.83267561168114</c:v>
                </c:pt>
                <c:pt idx="10">
                  <c:v>85.83267561168114</c:v>
                </c:pt>
                <c:pt idx="11">
                  <c:v>85.83267561168114</c:v>
                </c:pt>
                <c:pt idx="12">
                  <c:v>85.83267561168114</c:v>
                </c:pt>
                <c:pt idx="13">
                  <c:v>85.83267561168114</c:v>
                </c:pt>
                <c:pt idx="14">
                  <c:v>85.83267561168114</c:v>
                </c:pt>
                <c:pt idx="15">
                  <c:v>85.83267561168114</c:v>
                </c:pt>
                <c:pt idx="16">
                  <c:v>85.83267561168114</c:v>
                </c:pt>
                <c:pt idx="17">
                  <c:v>85.83267561168114</c:v>
                </c:pt>
                <c:pt idx="18">
                  <c:v>85.83267561168114</c:v>
                </c:pt>
                <c:pt idx="19">
                  <c:v>85.83267561168114</c:v>
                </c:pt>
                <c:pt idx="20">
                  <c:v>85.83267561168114</c:v>
                </c:pt>
                <c:pt idx="21">
                  <c:v>85.83267561168114</c:v>
                </c:pt>
                <c:pt idx="22">
                  <c:v>85.83267561168114</c:v>
                </c:pt>
                <c:pt idx="23">
                  <c:v>85.83267561168114</c:v>
                </c:pt>
                <c:pt idx="24">
                  <c:v>85.83267561168114</c:v>
                </c:pt>
                <c:pt idx="25">
                  <c:v>85.83267561168114</c:v>
                </c:pt>
                <c:pt idx="26">
                  <c:v>85.83267561168114</c:v>
                </c:pt>
                <c:pt idx="27">
                  <c:v>85.83267561168114</c:v>
                </c:pt>
                <c:pt idx="28">
                  <c:v>85.83267561168114</c:v>
                </c:pt>
                <c:pt idx="29">
                  <c:v>85.83267561168114</c:v>
                </c:pt>
                <c:pt idx="30">
                  <c:v>85.83267561168114</c:v>
                </c:pt>
                <c:pt idx="31">
                  <c:v>85.83267561168114</c:v>
                </c:pt>
                <c:pt idx="32">
                  <c:v>85.83267561168114</c:v>
                </c:pt>
                <c:pt idx="33">
                  <c:v>85.83267561168114</c:v>
                </c:pt>
                <c:pt idx="34">
                  <c:v>85.83267561168114</c:v>
                </c:pt>
                <c:pt idx="35">
                  <c:v>85.83267561168114</c:v>
                </c:pt>
                <c:pt idx="36">
                  <c:v>85.83267561168114</c:v>
                </c:pt>
                <c:pt idx="37">
                  <c:v>85.83267561168114</c:v>
                </c:pt>
                <c:pt idx="38">
                  <c:v>85.83267561168114</c:v>
                </c:pt>
                <c:pt idx="39">
                  <c:v>85.83267561168114</c:v>
                </c:pt>
                <c:pt idx="40">
                  <c:v>85.83267561168114</c:v>
                </c:pt>
                <c:pt idx="41">
                  <c:v>85.83267561168114</c:v>
                </c:pt>
                <c:pt idx="42">
                  <c:v>85.83267561168114</c:v>
                </c:pt>
                <c:pt idx="43">
                  <c:v>85.83267561168114</c:v>
                </c:pt>
                <c:pt idx="44">
                  <c:v>85.83267561168114</c:v>
                </c:pt>
                <c:pt idx="45">
                  <c:v>85.83267561168114</c:v>
                </c:pt>
                <c:pt idx="46">
                  <c:v>85.83267561168114</c:v>
                </c:pt>
                <c:pt idx="47">
                  <c:v>85.83267561168114</c:v>
                </c:pt>
                <c:pt idx="48">
                  <c:v>85.83267561168114</c:v>
                </c:pt>
                <c:pt idx="49">
                  <c:v>85.83267561168114</c:v>
                </c:pt>
                <c:pt idx="50">
                  <c:v>410.8067343458288</c:v>
                </c:pt>
                <c:pt idx="51">
                  <c:v>410.8067343458288</c:v>
                </c:pt>
                <c:pt idx="52">
                  <c:v>410.8067343458288</c:v>
                </c:pt>
                <c:pt idx="53">
                  <c:v>410.8067343458288</c:v>
                </c:pt>
                <c:pt idx="54">
                  <c:v>410.8067343458288</c:v>
                </c:pt>
                <c:pt idx="55">
                  <c:v>410.8067343458288</c:v>
                </c:pt>
                <c:pt idx="56">
                  <c:v>410.8067343458288</c:v>
                </c:pt>
                <c:pt idx="57">
                  <c:v>410.8067343458288</c:v>
                </c:pt>
                <c:pt idx="58">
                  <c:v>410.8067343458288</c:v>
                </c:pt>
                <c:pt idx="59">
                  <c:v>410.8067343458288</c:v>
                </c:pt>
                <c:pt idx="60">
                  <c:v>410.8067343458288</c:v>
                </c:pt>
                <c:pt idx="61">
                  <c:v>410.8067343458288</c:v>
                </c:pt>
                <c:pt idx="62">
                  <c:v>410.8067343458288</c:v>
                </c:pt>
                <c:pt idx="63">
                  <c:v>410.8067343458288</c:v>
                </c:pt>
                <c:pt idx="64">
                  <c:v>410.8067343458288</c:v>
                </c:pt>
                <c:pt idx="65">
                  <c:v>410.8067343458288</c:v>
                </c:pt>
                <c:pt idx="66">
                  <c:v>410.8067343458288</c:v>
                </c:pt>
                <c:pt idx="67">
                  <c:v>410.8067343458288</c:v>
                </c:pt>
                <c:pt idx="68">
                  <c:v>410.8067343458288</c:v>
                </c:pt>
                <c:pt idx="69">
                  <c:v>410.8067343458288</c:v>
                </c:pt>
                <c:pt idx="70">
                  <c:v>410.8067343458288</c:v>
                </c:pt>
                <c:pt idx="71">
                  <c:v>410.8067343458288</c:v>
                </c:pt>
                <c:pt idx="72">
                  <c:v>410.8067343458288</c:v>
                </c:pt>
                <c:pt idx="73">
                  <c:v>410.8067343458288</c:v>
                </c:pt>
                <c:pt idx="74">
                  <c:v>410.8067343458288</c:v>
                </c:pt>
                <c:pt idx="75">
                  <c:v>1192.852765586646</c:v>
                </c:pt>
                <c:pt idx="76">
                  <c:v>1192.852765586646</c:v>
                </c:pt>
                <c:pt idx="77">
                  <c:v>1192.852765586646</c:v>
                </c:pt>
                <c:pt idx="78">
                  <c:v>1192.852765586646</c:v>
                </c:pt>
                <c:pt idx="79">
                  <c:v>1192.852765586646</c:v>
                </c:pt>
                <c:pt idx="80">
                  <c:v>1192.852765586646</c:v>
                </c:pt>
                <c:pt idx="81">
                  <c:v>1192.852765586646</c:v>
                </c:pt>
                <c:pt idx="82">
                  <c:v>1192.852765586646</c:v>
                </c:pt>
                <c:pt idx="83">
                  <c:v>1192.852765586646</c:v>
                </c:pt>
                <c:pt idx="84">
                  <c:v>1192.852765586646</c:v>
                </c:pt>
                <c:pt idx="85">
                  <c:v>1192.852765586646</c:v>
                </c:pt>
                <c:pt idx="86">
                  <c:v>1192.852765586646</c:v>
                </c:pt>
                <c:pt idx="87">
                  <c:v>1192.852765586646</c:v>
                </c:pt>
                <c:pt idx="88">
                  <c:v>1192.852765586646</c:v>
                </c:pt>
                <c:pt idx="89">
                  <c:v>1192.852765586646</c:v>
                </c:pt>
                <c:pt idx="90">
                  <c:v>1463.517503313492</c:v>
                </c:pt>
                <c:pt idx="91">
                  <c:v>1463.517503313492</c:v>
                </c:pt>
                <c:pt idx="92">
                  <c:v>1463.517503313492</c:v>
                </c:pt>
                <c:pt idx="93">
                  <c:v>1463.517503313492</c:v>
                </c:pt>
                <c:pt idx="94">
                  <c:v>1463.517503313492</c:v>
                </c:pt>
                <c:pt idx="95">
                  <c:v>1463.517503313492</c:v>
                </c:pt>
                <c:pt idx="96">
                  <c:v>1463.517503313492</c:v>
                </c:pt>
                <c:pt idx="97">
                  <c:v>1463.517503313492</c:v>
                </c:pt>
                <c:pt idx="98">
                  <c:v>1463.517503313492</c:v>
                </c:pt>
                <c:pt idx="99">
                  <c:v>1463.517503313492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1285.714285714286</c:v>
                </c:pt>
                <c:pt idx="1">
                  <c:v>1285.714285714286</c:v>
                </c:pt>
                <c:pt idx="2">
                  <c:v>1285.714285714286</c:v>
                </c:pt>
                <c:pt idx="3">
                  <c:v>1285.714285714286</c:v>
                </c:pt>
                <c:pt idx="4">
                  <c:v>1285.714285714286</c:v>
                </c:pt>
                <c:pt idx="5">
                  <c:v>1285.714285714286</c:v>
                </c:pt>
                <c:pt idx="6">
                  <c:v>1285.714285714286</c:v>
                </c:pt>
                <c:pt idx="7">
                  <c:v>1285.714285714286</c:v>
                </c:pt>
                <c:pt idx="8">
                  <c:v>1285.714285714286</c:v>
                </c:pt>
                <c:pt idx="9">
                  <c:v>1285.714285714286</c:v>
                </c:pt>
                <c:pt idx="10">
                  <c:v>1285.714285714286</c:v>
                </c:pt>
                <c:pt idx="11">
                  <c:v>1285.714285714286</c:v>
                </c:pt>
                <c:pt idx="12">
                  <c:v>1285.714285714286</c:v>
                </c:pt>
                <c:pt idx="13">
                  <c:v>1285.714285714286</c:v>
                </c:pt>
                <c:pt idx="14">
                  <c:v>1285.714285714286</c:v>
                </c:pt>
                <c:pt idx="15">
                  <c:v>1285.714285714286</c:v>
                </c:pt>
                <c:pt idx="16">
                  <c:v>1285.714285714286</c:v>
                </c:pt>
                <c:pt idx="17">
                  <c:v>1285.714285714286</c:v>
                </c:pt>
                <c:pt idx="18">
                  <c:v>1285.714285714286</c:v>
                </c:pt>
                <c:pt idx="19">
                  <c:v>1285.714285714286</c:v>
                </c:pt>
                <c:pt idx="20">
                  <c:v>1285.714285714286</c:v>
                </c:pt>
                <c:pt idx="21">
                  <c:v>1285.714285714286</c:v>
                </c:pt>
                <c:pt idx="22">
                  <c:v>1285.714285714286</c:v>
                </c:pt>
                <c:pt idx="23">
                  <c:v>1285.714285714286</c:v>
                </c:pt>
                <c:pt idx="24">
                  <c:v>1285.714285714286</c:v>
                </c:pt>
                <c:pt idx="25">
                  <c:v>1285.714285714286</c:v>
                </c:pt>
                <c:pt idx="26">
                  <c:v>1285.714285714286</c:v>
                </c:pt>
                <c:pt idx="27">
                  <c:v>1285.714285714286</c:v>
                </c:pt>
                <c:pt idx="28">
                  <c:v>1285.714285714286</c:v>
                </c:pt>
                <c:pt idx="29">
                  <c:v>1285.714285714286</c:v>
                </c:pt>
                <c:pt idx="30">
                  <c:v>1285.714285714286</c:v>
                </c:pt>
                <c:pt idx="31">
                  <c:v>1285.714285714286</c:v>
                </c:pt>
                <c:pt idx="32">
                  <c:v>1285.714285714286</c:v>
                </c:pt>
                <c:pt idx="33">
                  <c:v>1285.714285714286</c:v>
                </c:pt>
                <c:pt idx="34">
                  <c:v>1285.714285714286</c:v>
                </c:pt>
                <c:pt idx="35">
                  <c:v>1285.714285714286</c:v>
                </c:pt>
                <c:pt idx="36">
                  <c:v>1285.714285714286</c:v>
                </c:pt>
                <c:pt idx="37">
                  <c:v>1285.714285714286</c:v>
                </c:pt>
                <c:pt idx="38">
                  <c:v>1285.714285714286</c:v>
                </c:pt>
                <c:pt idx="39">
                  <c:v>1285.714285714286</c:v>
                </c:pt>
                <c:pt idx="40">
                  <c:v>1285.714285714286</c:v>
                </c:pt>
                <c:pt idx="41">
                  <c:v>1285.714285714286</c:v>
                </c:pt>
                <c:pt idx="42">
                  <c:v>1285.714285714286</c:v>
                </c:pt>
                <c:pt idx="43">
                  <c:v>1285.714285714286</c:v>
                </c:pt>
                <c:pt idx="44">
                  <c:v>1285.714285714286</c:v>
                </c:pt>
                <c:pt idx="45">
                  <c:v>1285.714285714286</c:v>
                </c:pt>
                <c:pt idx="46">
                  <c:v>1285.714285714286</c:v>
                </c:pt>
                <c:pt idx="47">
                  <c:v>1285.714285714286</c:v>
                </c:pt>
                <c:pt idx="48">
                  <c:v>1285.714285714286</c:v>
                </c:pt>
                <c:pt idx="49">
                  <c:v>1285.714285714286</c:v>
                </c:pt>
                <c:pt idx="50">
                  <c:v>9749.999999999998</c:v>
                </c:pt>
                <c:pt idx="51">
                  <c:v>9749.999999999998</c:v>
                </c:pt>
                <c:pt idx="52">
                  <c:v>9749.999999999998</c:v>
                </c:pt>
                <c:pt idx="53">
                  <c:v>9749.999999999998</c:v>
                </c:pt>
                <c:pt idx="54">
                  <c:v>9749.999999999998</c:v>
                </c:pt>
                <c:pt idx="55">
                  <c:v>9749.999999999998</c:v>
                </c:pt>
                <c:pt idx="56">
                  <c:v>9749.999999999998</c:v>
                </c:pt>
                <c:pt idx="57">
                  <c:v>9749.999999999998</c:v>
                </c:pt>
                <c:pt idx="58">
                  <c:v>9749.999999999998</c:v>
                </c:pt>
                <c:pt idx="59">
                  <c:v>9749.999999999998</c:v>
                </c:pt>
                <c:pt idx="60">
                  <c:v>9749.999999999998</c:v>
                </c:pt>
                <c:pt idx="61">
                  <c:v>9749.999999999998</c:v>
                </c:pt>
                <c:pt idx="62">
                  <c:v>9749.999999999998</c:v>
                </c:pt>
                <c:pt idx="63">
                  <c:v>9749.999999999998</c:v>
                </c:pt>
                <c:pt idx="64">
                  <c:v>9749.999999999998</c:v>
                </c:pt>
                <c:pt idx="65">
                  <c:v>9749.999999999998</c:v>
                </c:pt>
                <c:pt idx="66">
                  <c:v>9749.999999999998</c:v>
                </c:pt>
                <c:pt idx="67">
                  <c:v>9749.999999999998</c:v>
                </c:pt>
                <c:pt idx="68">
                  <c:v>9749.999999999998</c:v>
                </c:pt>
                <c:pt idx="69">
                  <c:v>9749.999999999998</c:v>
                </c:pt>
                <c:pt idx="70">
                  <c:v>9749.999999999998</c:v>
                </c:pt>
                <c:pt idx="71">
                  <c:v>9749.999999999998</c:v>
                </c:pt>
                <c:pt idx="72">
                  <c:v>9749.999999999998</c:v>
                </c:pt>
                <c:pt idx="73">
                  <c:v>9749.999999999998</c:v>
                </c:pt>
                <c:pt idx="74">
                  <c:v>9749.999999999998</c:v>
                </c:pt>
                <c:pt idx="75">
                  <c:v>28457.14285714285</c:v>
                </c:pt>
                <c:pt idx="76">
                  <c:v>28457.14285714285</c:v>
                </c:pt>
                <c:pt idx="77">
                  <c:v>28457.14285714285</c:v>
                </c:pt>
                <c:pt idx="78">
                  <c:v>28457.14285714285</c:v>
                </c:pt>
                <c:pt idx="79">
                  <c:v>28457.14285714285</c:v>
                </c:pt>
                <c:pt idx="80">
                  <c:v>28457.14285714285</c:v>
                </c:pt>
                <c:pt idx="81">
                  <c:v>28457.14285714285</c:v>
                </c:pt>
                <c:pt idx="82">
                  <c:v>28457.14285714285</c:v>
                </c:pt>
                <c:pt idx="83">
                  <c:v>28457.14285714285</c:v>
                </c:pt>
                <c:pt idx="84">
                  <c:v>28457.14285714285</c:v>
                </c:pt>
                <c:pt idx="85">
                  <c:v>28457.14285714285</c:v>
                </c:pt>
                <c:pt idx="86">
                  <c:v>28457.14285714285</c:v>
                </c:pt>
                <c:pt idx="87">
                  <c:v>28457.14285714285</c:v>
                </c:pt>
                <c:pt idx="88">
                  <c:v>28457.14285714285</c:v>
                </c:pt>
                <c:pt idx="89">
                  <c:v>28457.14285714285</c:v>
                </c:pt>
                <c:pt idx="90">
                  <c:v>32750.0</c:v>
                </c:pt>
                <c:pt idx="91">
                  <c:v>32750.0</c:v>
                </c:pt>
                <c:pt idx="92">
                  <c:v>32750.0</c:v>
                </c:pt>
                <c:pt idx="93">
                  <c:v>32750.0</c:v>
                </c:pt>
                <c:pt idx="94">
                  <c:v>32750.0</c:v>
                </c:pt>
                <c:pt idx="95">
                  <c:v>32750.0</c:v>
                </c:pt>
                <c:pt idx="96">
                  <c:v>32750.0</c:v>
                </c:pt>
                <c:pt idx="97">
                  <c:v>32750.0</c:v>
                </c:pt>
                <c:pt idx="98">
                  <c:v>32750.0</c:v>
                </c:pt>
                <c:pt idx="99">
                  <c:v>32750.0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7428.571428571428</c:v>
                </c:pt>
                <c:pt idx="1">
                  <c:v>7428.571428571428</c:v>
                </c:pt>
                <c:pt idx="2">
                  <c:v>7428.571428571428</c:v>
                </c:pt>
                <c:pt idx="3">
                  <c:v>7428.571428571428</c:v>
                </c:pt>
                <c:pt idx="4">
                  <c:v>7428.571428571428</c:v>
                </c:pt>
                <c:pt idx="5">
                  <c:v>7428.571428571428</c:v>
                </c:pt>
                <c:pt idx="6">
                  <c:v>7428.571428571428</c:v>
                </c:pt>
                <c:pt idx="7">
                  <c:v>7428.571428571428</c:v>
                </c:pt>
                <c:pt idx="8">
                  <c:v>7428.571428571428</c:v>
                </c:pt>
                <c:pt idx="9">
                  <c:v>7428.571428571428</c:v>
                </c:pt>
                <c:pt idx="10">
                  <c:v>7428.571428571428</c:v>
                </c:pt>
                <c:pt idx="11">
                  <c:v>7428.571428571428</c:v>
                </c:pt>
                <c:pt idx="12">
                  <c:v>7428.571428571428</c:v>
                </c:pt>
                <c:pt idx="13">
                  <c:v>7428.571428571428</c:v>
                </c:pt>
                <c:pt idx="14">
                  <c:v>7428.571428571428</c:v>
                </c:pt>
                <c:pt idx="15">
                  <c:v>7428.571428571428</c:v>
                </c:pt>
                <c:pt idx="16">
                  <c:v>7428.571428571428</c:v>
                </c:pt>
                <c:pt idx="17">
                  <c:v>7428.571428571428</c:v>
                </c:pt>
                <c:pt idx="18">
                  <c:v>7428.571428571428</c:v>
                </c:pt>
                <c:pt idx="19">
                  <c:v>7428.571428571428</c:v>
                </c:pt>
                <c:pt idx="20">
                  <c:v>7428.571428571428</c:v>
                </c:pt>
                <c:pt idx="21">
                  <c:v>7428.571428571428</c:v>
                </c:pt>
                <c:pt idx="22">
                  <c:v>7428.571428571428</c:v>
                </c:pt>
                <c:pt idx="23">
                  <c:v>7428.571428571428</c:v>
                </c:pt>
                <c:pt idx="24">
                  <c:v>7428.571428571428</c:v>
                </c:pt>
                <c:pt idx="25">
                  <c:v>7428.571428571428</c:v>
                </c:pt>
                <c:pt idx="26">
                  <c:v>7428.571428571428</c:v>
                </c:pt>
                <c:pt idx="27">
                  <c:v>7428.571428571428</c:v>
                </c:pt>
                <c:pt idx="28">
                  <c:v>7428.571428571428</c:v>
                </c:pt>
                <c:pt idx="29">
                  <c:v>7428.571428571428</c:v>
                </c:pt>
                <c:pt idx="30">
                  <c:v>7428.571428571428</c:v>
                </c:pt>
                <c:pt idx="31">
                  <c:v>7428.571428571428</c:v>
                </c:pt>
                <c:pt idx="32">
                  <c:v>7428.571428571428</c:v>
                </c:pt>
                <c:pt idx="33">
                  <c:v>7428.571428571428</c:v>
                </c:pt>
                <c:pt idx="34">
                  <c:v>7428.571428571428</c:v>
                </c:pt>
                <c:pt idx="35">
                  <c:v>7428.571428571428</c:v>
                </c:pt>
                <c:pt idx="36">
                  <c:v>7428.571428571428</c:v>
                </c:pt>
                <c:pt idx="37">
                  <c:v>7428.571428571428</c:v>
                </c:pt>
                <c:pt idx="38">
                  <c:v>7428.571428571428</c:v>
                </c:pt>
                <c:pt idx="39">
                  <c:v>7428.571428571428</c:v>
                </c:pt>
                <c:pt idx="40">
                  <c:v>7428.571428571428</c:v>
                </c:pt>
                <c:pt idx="41">
                  <c:v>7428.571428571428</c:v>
                </c:pt>
                <c:pt idx="42">
                  <c:v>7428.571428571428</c:v>
                </c:pt>
                <c:pt idx="43">
                  <c:v>7428.571428571428</c:v>
                </c:pt>
                <c:pt idx="44">
                  <c:v>7428.571428571428</c:v>
                </c:pt>
                <c:pt idx="45">
                  <c:v>7428.571428571428</c:v>
                </c:pt>
                <c:pt idx="46">
                  <c:v>7428.571428571428</c:v>
                </c:pt>
                <c:pt idx="47">
                  <c:v>7428.571428571428</c:v>
                </c:pt>
                <c:pt idx="48">
                  <c:v>7428.571428571428</c:v>
                </c:pt>
                <c:pt idx="49">
                  <c:v>7428.571428571428</c:v>
                </c:pt>
                <c:pt idx="50">
                  <c:v>496</c:v>
                </c:pt>
                <c:pt idx="51">
                  <c:v>496</c:v>
                </c:pt>
                <c:pt idx="52">
                  <c:v>496</c:v>
                </c:pt>
                <c:pt idx="53">
                  <c:v>496</c:v>
                </c:pt>
                <c:pt idx="54">
                  <c:v>496</c:v>
                </c:pt>
                <c:pt idx="55">
                  <c:v>496</c:v>
                </c:pt>
                <c:pt idx="56">
                  <c:v>496</c:v>
                </c:pt>
                <c:pt idx="57">
                  <c:v>496</c:v>
                </c:pt>
                <c:pt idx="58">
                  <c:v>496</c:v>
                </c:pt>
                <c:pt idx="59">
                  <c:v>496</c:v>
                </c:pt>
                <c:pt idx="60">
                  <c:v>496</c:v>
                </c:pt>
                <c:pt idx="61">
                  <c:v>496</c:v>
                </c:pt>
                <c:pt idx="62">
                  <c:v>496</c:v>
                </c:pt>
                <c:pt idx="63">
                  <c:v>496</c:v>
                </c:pt>
                <c:pt idx="64">
                  <c:v>496</c:v>
                </c:pt>
                <c:pt idx="65">
                  <c:v>496</c:v>
                </c:pt>
                <c:pt idx="66">
                  <c:v>496</c:v>
                </c:pt>
                <c:pt idx="67">
                  <c:v>496</c:v>
                </c:pt>
                <c:pt idx="68">
                  <c:v>496</c:v>
                </c:pt>
                <c:pt idx="69">
                  <c:v>496</c:v>
                </c:pt>
                <c:pt idx="70">
                  <c:v>496</c:v>
                </c:pt>
                <c:pt idx="71">
                  <c:v>496</c:v>
                </c:pt>
                <c:pt idx="72">
                  <c:v>496</c:v>
                </c:pt>
                <c:pt idx="73">
                  <c:v>496</c:v>
                </c:pt>
                <c:pt idx="74">
                  <c:v>496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21942.85714285714</c:v>
                </c:pt>
                <c:pt idx="76">
                  <c:v>21942.85714285714</c:v>
                </c:pt>
                <c:pt idx="77">
                  <c:v>21942.85714285714</c:v>
                </c:pt>
                <c:pt idx="78">
                  <c:v>21942.85714285714</c:v>
                </c:pt>
                <c:pt idx="79">
                  <c:v>21942.85714285714</c:v>
                </c:pt>
                <c:pt idx="80">
                  <c:v>21942.85714285714</c:v>
                </c:pt>
                <c:pt idx="81">
                  <c:v>21942.85714285714</c:v>
                </c:pt>
                <c:pt idx="82">
                  <c:v>21942.85714285714</c:v>
                </c:pt>
                <c:pt idx="83">
                  <c:v>21942.85714285714</c:v>
                </c:pt>
                <c:pt idx="84">
                  <c:v>21942.85714285714</c:v>
                </c:pt>
                <c:pt idx="85">
                  <c:v>21942.85714285714</c:v>
                </c:pt>
                <c:pt idx="86">
                  <c:v>21942.85714285714</c:v>
                </c:pt>
                <c:pt idx="87">
                  <c:v>21942.85714285714</c:v>
                </c:pt>
                <c:pt idx="88">
                  <c:v>21942.85714285714</c:v>
                </c:pt>
                <c:pt idx="89">
                  <c:v>21942.85714285714</c:v>
                </c:pt>
                <c:pt idx="90">
                  <c:v>75600.0</c:v>
                </c:pt>
                <c:pt idx="91">
                  <c:v>75600.0</c:v>
                </c:pt>
                <c:pt idx="92">
                  <c:v>75600.0</c:v>
                </c:pt>
                <c:pt idx="93">
                  <c:v>75600.0</c:v>
                </c:pt>
                <c:pt idx="94">
                  <c:v>75600.0</c:v>
                </c:pt>
                <c:pt idx="95">
                  <c:v>75600.0</c:v>
                </c:pt>
                <c:pt idx="96">
                  <c:v>75600.0</c:v>
                </c:pt>
                <c:pt idx="97">
                  <c:v>75600.0</c:v>
                </c:pt>
                <c:pt idx="98">
                  <c:v>75600.0</c:v>
                </c:pt>
                <c:pt idx="99">
                  <c:v>75600.0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62700.0</c:v>
                </c:pt>
                <c:pt idx="91">
                  <c:v>62700.0</c:v>
                </c:pt>
                <c:pt idx="92">
                  <c:v>62700.0</c:v>
                </c:pt>
                <c:pt idx="93">
                  <c:v>62700.0</c:v>
                </c:pt>
                <c:pt idx="94">
                  <c:v>62700.0</c:v>
                </c:pt>
                <c:pt idx="95">
                  <c:v>62700.0</c:v>
                </c:pt>
                <c:pt idx="96">
                  <c:v>62700.0</c:v>
                </c:pt>
                <c:pt idx="97">
                  <c:v>62700.0</c:v>
                </c:pt>
                <c:pt idx="98">
                  <c:v>62700.0</c:v>
                </c:pt>
                <c:pt idx="99">
                  <c:v>62700.0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1009.172612427673</c:v>
                </c:pt>
                <c:pt idx="1">
                  <c:v>1009.172612427673</c:v>
                </c:pt>
                <c:pt idx="2">
                  <c:v>1009.172612427673</c:v>
                </c:pt>
                <c:pt idx="3">
                  <c:v>1009.172612427673</c:v>
                </c:pt>
                <c:pt idx="4">
                  <c:v>1009.172612427673</c:v>
                </c:pt>
                <c:pt idx="5">
                  <c:v>1009.172612427673</c:v>
                </c:pt>
                <c:pt idx="6">
                  <c:v>1009.172612427673</c:v>
                </c:pt>
                <c:pt idx="7">
                  <c:v>1009.172612427673</c:v>
                </c:pt>
                <c:pt idx="8">
                  <c:v>1009.172612427673</c:v>
                </c:pt>
                <c:pt idx="9">
                  <c:v>1009.172612427673</c:v>
                </c:pt>
                <c:pt idx="10">
                  <c:v>1009.172612427673</c:v>
                </c:pt>
                <c:pt idx="11">
                  <c:v>1009.172612427673</c:v>
                </c:pt>
                <c:pt idx="12">
                  <c:v>1009.172612427673</c:v>
                </c:pt>
                <c:pt idx="13">
                  <c:v>1009.172612427673</c:v>
                </c:pt>
                <c:pt idx="14">
                  <c:v>1009.172612427673</c:v>
                </c:pt>
                <c:pt idx="15">
                  <c:v>1009.172612427673</c:v>
                </c:pt>
                <c:pt idx="16">
                  <c:v>1009.172612427673</c:v>
                </c:pt>
                <c:pt idx="17">
                  <c:v>1009.172612427673</c:v>
                </c:pt>
                <c:pt idx="18">
                  <c:v>1009.172612427673</c:v>
                </c:pt>
                <c:pt idx="19">
                  <c:v>1009.172612427673</c:v>
                </c:pt>
                <c:pt idx="20">
                  <c:v>1009.172612427673</c:v>
                </c:pt>
                <c:pt idx="21">
                  <c:v>1009.172612427673</c:v>
                </c:pt>
                <c:pt idx="22">
                  <c:v>1009.172612427673</c:v>
                </c:pt>
                <c:pt idx="23">
                  <c:v>1009.172612427673</c:v>
                </c:pt>
                <c:pt idx="24">
                  <c:v>1009.172612427673</c:v>
                </c:pt>
                <c:pt idx="25">
                  <c:v>1009.172612427673</c:v>
                </c:pt>
                <c:pt idx="26">
                  <c:v>1009.172612427673</c:v>
                </c:pt>
                <c:pt idx="27">
                  <c:v>1009.172612427673</c:v>
                </c:pt>
                <c:pt idx="28">
                  <c:v>1009.172612427673</c:v>
                </c:pt>
                <c:pt idx="29">
                  <c:v>1009.172612427673</c:v>
                </c:pt>
                <c:pt idx="30">
                  <c:v>1009.172612427673</c:v>
                </c:pt>
                <c:pt idx="31">
                  <c:v>1009.172612427673</c:v>
                </c:pt>
                <c:pt idx="32">
                  <c:v>1009.172612427673</c:v>
                </c:pt>
                <c:pt idx="33">
                  <c:v>1009.172612427673</c:v>
                </c:pt>
                <c:pt idx="34">
                  <c:v>1009.172612427673</c:v>
                </c:pt>
                <c:pt idx="35">
                  <c:v>1009.172612427673</c:v>
                </c:pt>
                <c:pt idx="36">
                  <c:v>1009.172612427673</c:v>
                </c:pt>
                <c:pt idx="37">
                  <c:v>1009.172612427673</c:v>
                </c:pt>
                <c:pt idx="38">
                  <c:v>1009.172612427673</c:v>
                </c:pt>
                <c:pt idx="39">
                  <c:v>1009.172612427673</c:v>
                </c:pt>
                <c:pt idx="40">
                  <c:v>1009.172612427673</c:v>
                </c:pt>
                <c:pt idx="41">
                  <c:v>1009.172612427673</c:v>
                </c:pt>
                <c:pt idx="42">
                  <c:v>1009.172612427673</c:v>
                </c:pt>
                <c:pt idx="43">
                  <c:v>1009.172612427673</c:v>
                </c:pt>
                <c:pt idx="44">
                  <c:v>1009.172612427673</c:v>
                </c:pt>
                <c:pt idx="45">
                  <c:v>1009.172612427673</c:v>
                </c:pt>
                <c:pt idx="46">
                  <c:v>1009.172612427673</c:v>
                </c:pt>
                <c:pt idx="47">
                  <c:v>1009.172612427673</c:v>
                </c:pt>
                <c:pt idx="48">
                  <c:v>1009.172612427673</c:v>
                </c:pt>
                <c:pt idx="49">
                  <c:v>1009.172612427673</c:v>
                </c:pt>
                <c:pt idx="50">
                  <c:v>1009.172612427673</c:v>
                </c:pt>
                <c:pt idx="51">
                  <c:v>1009.172612427673</c:v>
                </c:pt>
                <c:pt idx="52">
                  <c:v>1009.172612427673</c:v>
                </c:pt>
                <c:pt idx="53">
                  <c:v>1009.172612427673</c:v>
                </c:pt>
                <c:pt idx="54">
                  <c:v>1009.172612427673</c:v>
                </c:pt>
                <c:pt idx="55">
                  <c:v>1009.172612427673</c:v>
                </c:pt>
                <c:pt idx="56">
                  <c:v>1009.172612427673</c:v>
                </c:pt>
                <c:pt idx="57">
                  <c:v>1009.172612427673</c:v>
                </c:pt>
                <c:pt idx="58">
                  <c:v>1009.172612427673</c:v>
                </c:pt>
                <c:pt idx="59">
                  <c:v>1009.172612427673</c:v>
                </c:pt>
                <c:pt idx="60">
                  <c:v>1009.172612427673</c:v>
                </c:pt>
                <c:pt idx="61">
                  <c:v>1009.172612427673</c:v>
                </c:pt>
                <c:pt idx="62">
                  <c:v>1009.172612427673</c:v>
                </c:pt>
                <c:pt idx="63">
                  <c:v>1009.172612427673</c:v>
                </c:pt>
                <c:pt idx="64">
                  <c:v>1009.172612427673</c:v>
                </c:pt>
                <c:pt idx="65">
                  <c:v>1009.172612427673</c:v>
                </c:pt>
                <c:pt idx="66">
                  <c:v>1009.172612427673</c:v>
                </c:pt>
                <c:pt idx="67">
                  <c:v>1009.172612427673</c:v>
                </c:pt>
                <c:pt idx="68">
                  <c:v>1009.172612427673</c:v>
                </c:pt>
                <c:pt idx="69">
                  <c:v>1009.172612427673</c:v>
                </c:pt>
                <c:pt idx="70">
                  <c:v>1009.172612427673</c:v>
                </c:pt>
                <c:pt idx="71">
                  <c:v>1009.172612427673</c:v>
                </c:pt>
                <c:pt idx="72">
                  <c:v>1009.172612427673</c:v>
                </c:pt>
                <c:pt idx="73">
                  <c:v>1009.172612427673</c:v>
                </c:pt>
                <c:pt idx="74">
                  <c:v>1009.172612427673</c:v>
                </c:pt>
                <c:pt idx="75">
                  <c:v>1009.172612427673</c:v>
                </c:pt>
                <c:pt idx="76">
                  <c:v>1009.172612427673</c:v>
                </c:pt>
                <c:pt idx="77">
                  <c:v>1009.172612427673</c:v>
                </c:pt>
                <c:pt idx="78">
                  <c:v>1009.172612427673</c:v>
                </c:pt>
                <c:pt idx="79">
                  <c:v>1009.172612427673</c:v>
                </c:pt>
                <c:pt idx="80">
                  <c:v>1009.172612427673</c:v>
                </c:pt>
                <c:pt idx="81">
                  <c:v>1009.172612427673</c:v>
                </c:pt>
                <c:pt idx="82">
                  <c:v>1009.172612427673</c:v>
                </c:pt>
                <c:pt idx="83">
                  <c:v>1009.172612427673</c:v>
                </c:pt>
                <c:pt idx="84">
                  <c:v>1009.172612427673</c:v>
                </c:pt>
                <c:pt idx="85">
                  <c:v>1009.172612427673</c:v>
                </c:pt>
                <c:pt idx="86">
                  <c:v>1009.172612427673</c:v>
                </c:pt>
                <c:pt idx="87">
                  <c:v>1009.172612427673</c:v>
                </c:pt>
                <c:pt idx="88">
                  <c:v>1009.172612427673</c:v>
                </c:pt>
                <c:pt idx="89">
                  <c:v>1009.172612427673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23108.57142857143</c:v>
                </c:pt>
                <c:pt idx="1">
                  <c:v>23108.57142857143</c:v>
                </c:pt>
                <c:pt idx="2">
                  <c:v>23108.57142857143</c:v>
                </c:pt>
                <c:pt idx="3">
                  <c:v>23108.57142857143</c:v>
                </c:pt>
                <c:pt idx="4">
                  <c:v>23108.57142857143</c:v>
                </c:pt>
                <c:pt idx="5">
                  <c:v>23108.57142857143</c:v>
                </c:pt>
                <c:pt idx="6">
                  <c:v>23108.57142857143</c:v>
                </c:pt>
                <c:pt idx="7">
                  <c:v>23108.57142857143</c:v>
                </c:pt>
                <c:pt idx="8">
                  <c:v>23108.57142857143</c:v>
                </c:pt>
                <c:pt idx="9">
                  <c:v>23108.57142857143</c:v>
                </c:pt>
                <c:pt idx="10">
                  <c:v>23108.57142857143</c:v>
                </c:pt>
                <c:pt idx="11">
                  <c:v>23108.57142857143</c:v>
                </c:pt>
                <c:pt idx="12">
                  <c:v>23108.57142857143</c:v>
                </c:pt>
                <c:pt idx="13">
                  <c:v>23108.57142857143</c:v>
                </c:pt>
                <c:pt idx="14">
                  <c:v>23108.57142857143</c:v>
                </c:pt>
                <c:pt idx="15">
                  <c:v>23108.57142857143</c:v>
                </c:pt>
                <c:pt idx="16">
                  <c:v>23108.57142857143</c:v>
                </c:pt>
                <c:pt idx="17">
                  <c:v>23108.57142857143</c:v>
                </c:pt>
                <c:pt idx="18">
                  <c:v>23108.57142857143</c:v>
                </c:pt>
                <c:pt idx="19">
                  <c:v>23108.57142857143</c:v>
                </c:pt>
                <c:pt idx="20">
                  <c:v>23108.57142857143</c:v>
                </c:pt>
                <c:pt idx="21">
                  <c:v>23108.57142857143</c:v>
                </c:pt>
                <c:pt idx="22">
                  <c:v>23108.57142857143</c:v>
                </c:pt>
                <c:pt idx="23">
                  <c:v>23108.57142857143</c:v>
                </c:pt>
                <c:pt idx="24">
                  <c:v>23108.57142857143</c:v>
                </c:pt>
                <c:pt idx="25">
                  <c:v>23108.57142857143</c:v>
                </c:pt>
                <c:pt idx="26">
                  <c:v>23108.57142857143</c:v>
                </c:pt>
                <c:pt idx="27">
                  <c:v>23108.57142857143</c:v>
                </c:pt>
                <c:pt idx="28">
                  <c:v>23108.57142857143</c:v>
                </c:pt>
                <c:pt idx="29">
                  <c:v>23108.57142857143</c:v>
                </c:pt>
                <c:pt idx="30">
                  <c:v>23108.57142857143</c:v>
                </c:pt>
                <c:pt idx="31">
                  <c:v>23108.57142857143</c:v>
                </c:pt>
                <c:pt idx="32">
                  <c:v>23108.57142857143</c:v>
                </c:pt>
                <c:pt idx="33">
                  <c:v>23108.57142857143</c:v>
                </c:pt>
                <c:pt idx="34">
                  <c:v>23108.57142857143</c:v>
                </c:pt>
                <c:pt idx="35">
                  <c:v>23108.57142857143</c:v>
                </c:pt>
                <c:pt idx="36">
                  <c:v>23108.57142857143</c:v>
                </c:pt>
                <c:pt idx="37">
                  <c:v>23108.57142857143</c:v>
                </c:pt>
                <c:pt idx="38">
                  <c:v>23108.57142857143</c:v>
                </c:pt>
                <c:pt idx="39">
                  <c:v>23108.57142857143</c:v>
                </c:pt>
                <c:pt idx="40">
                  <c:v>23108.57142857143</c:v>
                </c:pt>
                <c:pt idx="41">
                  <c:v>23108.57142857143</c:v>
                </c:pt>
                <c:pt idx="42">
                  <c:v>23108.57142857143</c:v>
                </c:pt>
                <c:pt idx="43">
                  <c:v>23108.57142857143</c:v>
                </c:pt>
                <c:pt idx="44">
                  <c:v>23108.57142857143</c:v>
                </c:pt>
                <c:pt idx="45">
                  <c:v>23108.57142857143</c:v>
                </c:pt>
                <c:pt idx="46">
                  <c:v>23108.57142857143</c:v>
                </c:pt>
                <c:pt idx="47">
                  <c:v>23108.57142857143</c:v>
                </c:pt>
                <c:pt idx="48">
                  <c:v>23108.57142857143</c:v>
                </c:pt>
                <c:pt idx="49">
                  <c:v>23108.57142857143</c:v>
                </c:pt>
                <c:pt idx="50">
                  <c:v>22020.0</c:v>
                </c:pt>
                <c:pt idx="51">
                  <c:v>22020.0</c:v>
                </c:pt>
                <c:pt idx="52">
                  <c:v>22020.0</c:v>
                </c:pt>
                <c:pt idx="53">
                  <c:v>22020.0</c:v>
                </c:pt>
                <c:pt idx="54">
                  <c:v>22020.0</c:v>
                </c:pt>
                <c:pt idx="55">
                  <c:v>22020.0</c:v>
                </c:pt>
                <c:pt idx="56">
                  <c:v>22020.0</c:v>
                </c:pt>
                <c:pt idx="57">
                  <c:v>22020.0</c:v>
                </c:pt>
                <c:pt idx="58">
                  <c:v>22020.0</c:v>
                </c:pt>
                <c:pt idx="59">
                  <c:v>22020.0</c:v>
                </c:pt>
                <c:pt idx="60">
                  <c:v>22020.0</c:v>
                </c:pt>
                <c:pt idx="61">
                  <c:v>22020.0</c:v>
                </c:pt>
                <c:pt idx="62">
                  <c:v>22020.0</c:v>
                </c:pt>
                <c:pt idx="63">
                  <c:v>22020.0</c:v>
                </c:pt>
                <c:pt idx="64">
                  <c:v>22020.0</c:v>
                </c:pt>
                <c:pt idx="65">
                  <c:v>22020.0</c:v>
                </c:pt>
                <c:pt idx="66">
                  <c:v>22020.0</c:v>
                </c:pt>
                <c:pt idx="67">
                  <c:v>22020.0</c:v>
                </c:pt>
                <c:pt idx="68">
                  <c:v>22020.0</c:v>
                </c:pt>
                <c:pt idx="69">
                  <c:v>22020.0</c:v>
                </c:pt>
                <c:pt idx="70">
                  <c:v>22020.0</c:v>
                </c:pt>
                <c:pt idx="71">
                  <c:v>22020.0</c:v>
                </c:pt>
                <c:pt idx="72">
                  <c:v>22020.0</c:v>
                </c:pt>
                <c:pt idx="73">
                  <c:v>22020.0</c:v>
                </c:pt>
                <c:pt idx="74">
                  <c:v>22020.0</c:v>
                </c:pt>
                <c:pt idx="75">
                  <c:v>8708.57142857143</c:v>
                </c:pt>
                <c:pt idx="76">
                  <c:v>8708.57142857143</c:v>
                </c:pt>
                <c:pt idx="77">
                  <c:v>8708.57142857143</c:v>
                </c:pt>
                <c:pt idx="78">
                  <c:v>8708.57142857143</c:v>
                </c:pt>
                <c:pt idx="79">
                  <c:v>8708.57142857143</c:v>
                </c:pt>
                <c:pt idx="80">
                  <c:v>8708.57142857143</c:v>
                </c:pt>
                <c:pt idx="81">
                  <c:v>8708.57142857143</c:v>
                </c:pt>
                <c:pt idx="82">
                  <c:v>8708.57142857143</c:v>
                </c:pt>
                <c:pt idx="83">
                  <c:v>8708.57142857143</c:v>
                </c:pt>
                <c:pt idx="84">
                  <c:v>8708.57142857143</c:v>
                </c:pt>
                <c:pt idx="85">
                  <c:v>8708.57142857143</c:v>
                </c:pt>
                <c:pt idx="86">
                  <c:v>8708.57142857143</c:v>
                </c:pt>
                <c:pt idx="87">
                  <c:v>8708.57142857143</c:v>
                </c:pt>
                <c:pt idx="88">
                  <c:v>8708.57142857143</c:v>
                </c:pt>
                <c:pt idx="89">
                  <c:v>8708.57142857143</c:v>
                </c:pt>
                <c:pt idx="90">
                  <c:v>7620.0</c:v>
                </c:pt>
                <c:pt idx="91">
                  <c:v>7620.0</c:v>
                </c:pt>
                <c:pt idx="92">
                  <c:v>7620.0</c:v>
                </c:pt>
                <c:pt idx="93">
                  <c:v>7620.0</c:v>
                </c:pt>
                <c:pt idx="94">
                  <c:v>7620.0</c:v>
                </c:pt>
                <c:pt idx="95">
                  <c:v>7620.0</c:v>
                </c:pt>
                <c:pt idx="96">
                  <c:v>7620.0</c:v>
                </c:pt>
                <c:pt idx="97">
                  <c:v>7620.0</c:v>
                </c:pt>
                <c:pt idx="98">
                  <c:v>7620.0</c:v>
                </c:pt>
                <c:pt idx="99">
                  <c:v>7620.0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13714.28571428571</c:v>
                </c:pt>
                <c:pt idx="76">
                  <c:v>13714.28571428571</c:v>
                </c:pt>
                <c:pt idx="77">
                  <c:v>13714.28571428571</c:v>
                </c:pt>
                <c:pt idx="78">
                  <c:v>13714.28571428571</c:v>
                </c:pt>
                <c:pt idx="79">
                  <c:v>13714.28571428571</c:v>
                </c:pt>
                <c:pt idx="80">
                  <c:v>13714.28571428571</c:v>
                </c:pt>
                <c:pt idx="81">
                  <c:v>13714.28571428571</c:v>
                </c:pt>
                <c:pt idx="82">
                  <c:v>13714.28571428571</c:v>
                </c:pt>
                <c:pt idx="83">
                  <c:v>13714.28571428571</c:v>
                </c:pt>
                <c:pt idx="84">
                  <c:v>13714.28571428571</c:v>
                </c:pt>
                <c:pt idx="85">
                  <c:v>13714.28571428571</c:v>
                </c:pt>
                <c:pt idx="86">
                  <c:v>13714.28571428571</c:v>
                </c:pt>
                <c:pt idx="87">
                  <c:v>13714.28571428571</c:v>
                </c:pt>
                <c:pt idx="88">
                  <c:v>13714.28571428571</c:v>
                </c:pt>
                <c:pt idx="89">
                  <c:v>13714.28571428571</c:v>
                </c:pt>
                <c:pt idx="90">
                  <c:v>26040.0</c:v>
                </c:pt>
                <c:pt idx="91">
                  <c:v>26040.0</c:v>
                </c:pt>
                <c:pt idx="92">
                  <c:v>26040.0</c:v>
                </c:pt>
                <c:pt idx="93">
                  <c:v>26040.0</c:v>
                </c:pt>
                <c:pt idx="94">
                  <c:v>26040.0</c:v>
                </c:pt>
                <c:pt idx="95">
                  <c:v>26040.0</c:v>
                </c:pt>
                <c:pt idx="96">
                  <c:v>26040.0</c:v>
                </c:pt>
                <c:pt idx="97">
                  <c:v>26040.0</c:v>
                </c:pt>
                <c:pt idx="98">
                  <c:v>26040.0</c:v>
                </c:pt>
                <c:pt idx="99">
                  <c:v>26040.0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6059400"/>
        <c:axId val="-2082797656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19286.70858741943</c:v>
                </c:pt>
                <c:pt idx="1">
                  <c:v>19286.70858741943</c:v>
                </c:pt>
                <c:pt idx="2">
                  <c:v>19286.70858741943</c:v>
                </c:pt>
                <c:pt idx="3">
                  <c:v>19286.70858741943</c:v>
                </c:pt>
                <c:pt idx="4">
                  <c:v>19286.70858741943</c:v>
                </c:pt>
                <c:pt idx="5">
                  <c:v>19286.70858741943</c:v>
                </c:pt>
                <c:pt idx="6">
                  <c:v>19286.70858741943</c:v>
                </c:pt>
                <c:pt idx="7">
                  <c:v>19286.70858741943</c:v>
                </c:pt>
                <c:pt idx="8">
                  <c:v>19286.70858741943</c:v>
                </c:pt>
                <c:pt idx="9">
                  <c:v>19286.70858741943</c:v>
                </c:pt>
                <c:pt idx="10">
                  <c:v>19286.70858741943</c:v>
                </c:pt>
                <c:pt idx="11">
                  <c:v>19286.70858741943</c:v>
                </c:pt>
                <c:pt idx="12">
                  <c:v>19286.70858741943</c:v>
                </c:pt>
                <c:pt idx="13">
                  <c:v>19286.70858741943</c:v>
                </c:pt>
                <c:pt idx="14">
                  <c:v>19286.70858741943</c:v>
                </c:pt>
                <c:pt idx="15">
                  <c:v>19286.70858741943</c:v>
                </c:pt>
                <c:pt idx="16">
                  <c:v>19286.70858741943</c:v>
                </c:pt>
                <c:pt idx="17">
                  <c:v>19286.70858741943</c:v>
                </c:pt>
                <c:pt idx="18">
                  <c:v>19286.70858741943</c:v>
                </c:pt>
                <c:pt idx="19">
                  <c:v>19286.70858741943</c:v>
                </c:pt>
                <c:pt idx="20">
                  <c:v>19286.70858741943</c:v>
                </c:pt>
                <c:pt idx="21">
                  <c:v>19286.70858741943</c:v>
                </c:pt>
                <c:pt idx="22">
                  <c:v>19286.70858741943</c:v>
                </c:pt>
                <c:pt idx="23">
                  <c:v>19286.70858741943</c:v>
                </c:pt>
                <c:pt idx="24">
                  <c:v>19286.70858741943</c:v>
                </c:pt>
                <c:pt idx="25">
                  <c:v>19286.70858741943</c:v>
                </c:pt>
                <c:pt idx="26">
                  <c:v>19286.70858741943</c:v>
                </c:pt>
                <c:pt idx="27">
                  <c:v>19286.70858741943</c:v>
                </c:pt>
                <c:pt idx="28">
                  <c:v>19286.70858741943</c:v>
                </c:pt>
                <c:pt idx="29">
                  <c:v>19286.70858741943</c:v>
                </c:pt>
                <c:pt idx="30">
                  <c:v>19286.70858741943</c:v>
                </c:pt>
                <c:pt idx="31">
                  <c:v>19286.70858741943</c:v>
                </c:pt>
                <c:pt idx="32">
                  <c:v>19286.70858741943</c:v>
                </c:pt>
                <c:pt idx="33">
                  <c:v>19286.70858741943</c:v>
                </c:pt>
                <c:pt idx="34">
                  <c:v>19286.70858741943</c:v>
                </c:pt>
                <c:pt idx="35">
                  <c:v>19286.70858741943</c:v>
                </c:pt>
                <c:pt idx="36">
                  <c:v>19286.70858741943</c:v>
                </c:pt>
                <c:pt idx="37">
                  <c:v>19286.70858741943</c:v>
                </c:pt>
                <c:pt idx="38">
                  <c:v>19286.70858741943</c:v>
                </c:pt>
                <c:pt idx="39">
                  <c:v>19286.70858741943</c:v>
                </c:pt>
                <c:pt idx="40">
                  <c:v>19286.70858741943</c:v>
                </c:pt>
                <c:pt idx="41">
                  <c:v>19286.70858741943</c:v>
                </c:pt>
                <c:pt idx="42">
                  <c:v>19286.70858741943</c:v>
                </c:pt>
                <c:pt idx="43">
                  <c:v>19286.70858741943</c:v>
                </c:pt>
                <c:pt idx="44">
                  <c:v>19286.70858741943</c:v>
                </c:pt>
                <c:pt idx="45">
                  <c:v>19286.70858741943</c:v>
                </c:pt>
                <c:pt idx="46">
                  <c:v>19286.70858741943</c:v>
                </c:pt>
                <c:pt idx="47">
                  <c:v>19286.70858741943</c:v>
                </c:pt>
                <c:pt idx="48">
                  <c:v>19286.70858741943</c:v>
                </c:pt>
                <c:pt idx="49">
                  <c:v>19286.70858741943</c:v>
                </c:pt>
                <c:pt idx="50">
                  <c:v>19286.70858741943</c:v>
                </c:pt>
                <c:pt idx="51">
                  <c:v>19286.70858741943</c:v>
                </c:pt>
                <c:pt idx="52">
                  <c:v>19286.70858741943</c:v>
                </c:pt>
                <c:pt idx="53">
                  <c:v>19286.70858741943</c:v>
                </c:pt>
                <c:pt idx="54">
                  <c:v>19286.70858741943</c:v>
                </c:pt>
                <c:pt idx="55">
                  <c:v>19286.70858741943</c:v>
                </c:pt>
                <c:pt idx="56">
                  <c:v>19286.70858741943</c:v>
                </c:pt>
                <c:pt idx="57">
                  <c:v>19286.70858741943</c:v>
                </c:pt>
                <c:pt idx="58">
                  <c:v>19286.70858741943</c:v>
                </c:pt>
                <c:pt idx="59">
                  <c:v>19286.70858741943</c:v>
                </c:pt>
                <c:pt idx="60">
                  <c:v>19286.70858741943</c:v>
                </c:pt>
                <c:pt idx="61">
                  <c:v>19286.70858741943</c:v>
                </c:pt>
                <c:pt idx="62">
                  <c:v>19286.70858741943</c:v>
                </c:pt>
                <c:pt idx="63">
                  <c:v>19286.70858741943</c:v>
                </c:pt>
                <c:pt idx="64">
                  <c:v>19286.70858741943</c:v>
                </c:pt>
                <c:pt idx="65">
                  <c:v>19286.70858741943</c:v>
                </c:pt>
                <c:pt idx="66">
                  <c:v>19286.70858741943</c:v>
                </c:pt>
                <c:pt idx="67">
                  <c:v>19286.70858741943</c:v>
                </c:pt>
                <c:pt idx="68">
                  <c:v>19286.70858741943</c:v>
                </c:pt>
                <c:pt idx="69">
                  <c:v>19286.70858741943</c:v>
                </c:pt>
                <c:pt idx="70">
                  <c:v>19286.70858741943</c:v>
                </c:pt>
                <c:pt idx="71">
                  <c:v>19286.70858741943</c:v>
                </c:pt>
                <c:pt idx="72">
                  <c:v>19286.70858741943</c:v>
                </c:pt>
                <c:pt idx="73">
                  <c:v>19286.70858741943</c:v>
                </c:pt>
                <c:pt idx="74">
                  <c:v>19286.70858741943</c:v>
                </c:pt>
                <c:pt idx="75">
                  <c:v>19286.70858741942</c:v>
                </c:pt>
                <c:pt idx="76">
                  <c:v>19286.70858741942</c:v>
                </c:pt>
                <c:pt idx="77">
                  <c:v>19286.70858741942</c:v>
                </c:pt>
                <c:pt idx="78">
                  <c:v>19286.70858741942</c:v>
                </c:pt>
                <c:pt idx="79">
                  <c:v>19286.70858741942</c:v>
                </c:pt>
                <c:pt idx="80">
                  <c:v>19286.70858741942</c:v>
                </c:pt>
                <c:pt idx="81">
                  <c:v>19286.70858741942</c:v>
                </c:pt>
                <c:pt idx="82">
                  <c:v>19286.70858741942</c:v>
                </c:pt>
                <c:pt idx="83">
                  <c:v>19286.70858741942</c:v>
                </c:pt>
                <c:pt idx="84">
                  <c:v>19286.70858741942</c:v>
                </c:pt>
                <c:pt idx="85">
                  <c:v>19286.70858741942</c:v>
                </c:pt>
                <c:pt idx="86">
                  <c:v>19286.70858741942</c:v>
                </c:pt>
                <c:pt idx="87">
                  <c:v>19286.70858741942</c:v>
                </c:pt>
                <c:pt idx="88">
                  <c:v>19286.70858741942</c:v>
                </c:pt>
                <c:pt idx="89">
                  <c:v>19286.70858741942</c:v>
                </c:pt>
                <c:pt idx="90">
                  <c:v>19286.70858741943</c:v>
                </c:pt>
                <c:pt idx="91">
                  <c:v>19286.70858741943</c:v>
                </c:pt>
                <c:pt idx="92">
                  <c:v>19286.70858741943</c:v>
                </c:pt>
                <c:pt idx="93">
                  <c:v>19286.70858741943</c:v>
                </c:pt>
                <c:pt idx="94">
                  <c:v>19286.70858741943</c:v>
                </c:pt>
                <c:pt idx="95">
                  <c:v>19286.70858741943</c:v>
                </c:pt>
                <c:pt idx="96">
                  <c:v>19286.70858741943</c:v>
                </c:pt>
                <c:pt idx="97">
                  <c:v>19286.70858741943</c:v>
                </c:pt>
                <c:pt idx="98">
                  <c:v>19286.70858741943</c:v>
                </c:pt>
                <c:pt idx="99">
                  <c:v>19286.70858741943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059400"/>
        <c:axId val="-2082797656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33626.68642458237</c:v>
                </c:pt>
                <c:pt idx="13">
                  <c:v>34241.26793749825</c:v>
                </c:pt>
                <c:pt idx="14">
                  <c:v>34855.84945041414</c:v>
                </c:pt>
                <c:pt idx="15">
                  <c:v>35470.43096333004</c:v>
                </c:pt>
                <c:pt idx="16">
                  <c:v>36085.01247624592</c:v>
                </c:pt>
                <c:pt idx="17">
                  <c:v>36699.59398916181</c:v>
                </c:pt>
                <c:pt idx="18">
                  <c:v>37314.1755020777</c:v>
                </c:pt>
                <c:pt idx="19">
                  <c:v>37928.7570149936</c:v>
                </c:pt>
                <c:pt idx="20">
                  <c:v>38543.33852790948</c:v>
                </c:pt>
                <c:pt idx="21">
                  <c:v>39157.92004082537</c:v>
                </c:pt>
                <c:pt idx="22">
                  <c:v>39772.50155374125</c:v>
                </c:pt>
                <c:pt idx="23">
                  <c:v>40387.08306665714</c:v>
                </c:pt>
                <c:pt idx="24">
                  <c:v>41001.66457957304</c:v>
                </c:pt>
                <c:pt idx="25">
                  <c:v>41616.24609248892</c:v>
                </c:pt>
                <c:pt idx="26">
                  <c:v>42230.82760540481</c:v>
                </c:pt>
                <c:pt idx="27">
                  <c:v>42845.4091183207</c:v>
                </c:pt>
                <c:pt idx="28">
                  <c:v>43459.9906312366</c:v>
                </c:pt>
                <c:pt idx="29">
                  <c:v>44074.57214415248</c:v>
                </c:pt>
                <c:pt idx="30">
                  <c:v>44689.15365706837</c:v>
                </c:pt>
                <c:pt idx="31">
                  <c:v>45303.73516998425</c:v>
                </c:pt>
                <c:pt idx="32">
                  <c:v>45918.31668290014</c:v>
                </c:pt>
                <c:pt idx="33">
                  <c:v>46532.89819581603</c:v>
                </c:pt>
                <c:pt idx="34">
                  <c:v>47147.47970873192</c:v>
                </c:pt>
                <c:pt idx="35">
                  <c:v>47762.06122164781</c:v>
                </c:pt>
                <c:pt idx="36">
                  <c:v>48376.6427345637</c:v>
                </c:pt>
                <c:pt idx="37">
                  <c:v>48991.2242474796</c:v>
                </c:pt>
                <c:pt idx="38">
                  <c:v>49605.80576039548</c:v>
                </c:pt>
                <c:pt idx="39">
                  <c:v>50220.38727331137</c:v>
                </c:pt>
                <c:pt idx="40">
                  <c:v>50834.96878622725</c:v>
                </c:pt>
                <c:pt idx="41">
                  <c:v>51449.55029914314</c:v>
                </c:pt>
                <c:pt idx="42">
                  <c:v>52064.13181205903</c:v>
                </c:pt>
                <c:pt idx="43">
                  <c:v>52678.71332497492</c:v>
                </c:pt>
                <c:pt idx="44">
                  <c:v>53293.29483789081</c:v>
                </c:pt>
                <c:pt idx="45">
                  <c:v>53907.8763508067</c:v>
                </c:pt>
                <c:pt idx="46">
                  <c:v>54522.4578637226</c:v>
                </c:pt>
                <c:pt idx="47">
                  <c:v>55137.03937663848</c:v>
                </c:pt>
                <c:pt idx="48">
                  <c:v>55751.62088955437</c:v>
                </c:pt>
                <c:pt idx="49">
                  <c:v>56366.20240247026</c:v>
                </c:pt>
                <c:pt idx="50">
                  <c:v>57810.01664593652</c:v>
                </c:pt>
                <c:pt idx="51">
                  <c:v>60083.06361995319</c:v>
                </c:pt>
                <c:pt idx="52">
                  <c:v>62356.11059396985</c:v>
                </c:pt>
                <c:pt idx="53">
                  <c:v>64629.1575679865</c:v>
                </c:pt>
                <c:pt idx="54">
                  <c:v>66902.20454200316</c:v>
                </c:pt>
                <c:pt idx="55">
                  <c:v>69175.25151601982</c:v>
                </c:pt>
                <c:pt idx="56">
                  <c:v>71448.29849003648</c:v>
                </c:pt>
                <c:pt idx="57">
                  <c:v>73721.34546405312</c:v>
                </c:pt>
                <c:pt idx="58">
                  <c:v>75994.3924380698</c:v>
                </c:pt>
                <c:pt idx="59">
                  <c:v>78267.43941208644</c:v>
                </c:pt>
                <c:pt idx="60">
                  <c:v>80540.4863861031</c:v>
                </c:pt>
                <c:pt idx="61">
                  <c:v>82813.53336011976</c:v>
                </c:pt>
                <c:pt idx="62">
                  <c:v>85086.58033413642</c:v>
                </c:pt>
                <c:pt idx="63">
                  <c:v>87359.62730815308</c:v>
                </c:pt>
                <c:pt idx="64">
                  <c:v>89632.67428216974</c:v>
                </c:pt>
                <c:pt idx="65">
                  <c:v>91905.7212561864</c:v>
                </c:pt>
                <c:pt idx="66">
                  <c:v>94178.76823020306</c:v>
                </c:pt>
                <c:pt idx="67">
                  <c:v>96451.81520421972</c:v>
                </c:pt>
                <c:pt idx="68">
                  <c:v>98724.86217823637</c:v>
                </c:pt>
                <c:pt idx="69">
                  <c:v>100997.909152253</c:v>
                </c:pt>
                <c:pt idx="70">
                  <c:v>106747.5699564754</c:v>
                </c:pt>
                <c:pt idx="71">
                  <c:v>115973.8445909034</c:v>
                </c:pt>
                <c:pt idx="72">
                  <c:v>125200.1192253315</c:v>
                </c:pt>
                <c:pt idx="73">
                  <c:v>134426.3938597595</c:v>
                </c:pt>
                <c:pt idx="74">
                  <c:v>143652.6684941875</c:v>
                </c:pt>
                <c:pt idx="75">
                  <c:v>152878.9431286156</c:v>
                </c:pt>
                <c:pt idx="76">
                  <c:v>162105.2177630436</c:v>
                </c:pt>
                <c:pt idx="77">
                  <c:v>171331.4923974717</c:v>
                </c:pt>
                <c:pt idx="78">
                  <c:v>180557.7670318997</c:v>
                </c:pt>
                <c:pt idx="79">
                  <c:v>189784.0416663277</c:v>
                </c:pt>
                <c:pt idx="80">
                  <c:v>199010.3163007558</c:v>
                </c:pt>
                <c:pt idx="81">
                  <c:v>208236.5909351838</c:v>
                </c:pt>
                <c:pt idx="8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059400"/>
        <c:axId val="-2082797656"/>
      </c:scatterChart>
      <c:catAx>
        <c:axId val="213605940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279765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8279765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36059400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32439678284182"/>
          <c:y val="0.158208720178634"/>
          <c:w val="0.991957104557641"/>
          <c:h val="0.8089542836996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708.823993685872</c:v>
                </c:pt>
                <c:pt idx="1">
                  <c:v>708.823993685872</c:v>
                </c:pt>
                <c:pt idx="2">
                  <c:v>708.823993685872</c:v>
                </c:pt>
                <c:pt idx="3">
                  <c:v>708.823993685872</c:v>
                </c:pt>
                <c:pt idx="4">
                  <c:v>708.823993685872</c:v>
                </c:pt>
                <c:pt idx="5">
                  <c:v>708.823993685872</c:v>
                </c:pt>
                <c:pt idx="6">
                  <c:v>708.823993685872</c:v>
                </c:pt>
                <c:pt idx="7">
                  <c:v>708.823993685872</c:v>
                </c:pt>
                <c:pt idx="8">
                  <c:v>708.823993685872</c:v>
                </c:pt>
                <c:pt idx="9">
                  <c:v>708.823993685872</c:v>
                </c:pt>
                <c:pt idx="10">
                  <c:v>708.823993685872</c:v>
                </c:pt>
                <c:pt idx="11">
                  <c:v>708.823993685872</c:v>
                </c:pt>
                <c:pt idx="12">
                  <c:v>708.823993685872</c:v>
                </c:pt>
                <c:pt idx="13">
                  <c:v>708.823993685872</c:v>
                </c:pt>
                <c:pt idx="14">
                  <c:v>708.823993685872</c:v>
                </c:pt>
                <c:pt idx="15">
                  <c:v>708.823993685872</c:v>
                </c:pt>
                <c:pt idx="16">
                  <c:v>708.823993685872</c:v>
                </c:pt>
                <c:pt idx="17">
                  <c:v>708.823993685872</c:v>
                </c:pt>
                <c:pt idx="18">
                  <c:v>708.823993685872</c:v>
                </c:pt>
                <c:pt idx="19">
                  <c:v>708.823993685872</c:v>
                </c:pt>
                <c:pt idx="20">
                  <c:v>708.823993685872</c:v>
                </c:pt>
                <c:pt idx="21">
                  <c:v>708.823993685872</c:v>
                </c:pt>
                <c:pt idx="22">
                  <c:v>708.823993685872</c:v>
                </c:pt>
                <c:pt idx="23">
                  <c:v>708.823993685872</c:v>
                </c:pt>
                <c:pt idx="24">
                  <c:v>708.823993685872</c:v>
                </c:pt>
                <c:pt idx="25">
                  <c:v>708.823993685872</c:v>
                </c:pt>
                <c:pt idx="26">
                  <c:v>741.855722178374</c:v>
                </c:pt>
                <c:pt idx="27">
                  <c:v>774.887450670876</c:v>
                </c:pt>
                <c:pt idx="28">
                  <c:v>807.9191791633778</c:v>
                </c:pt>
                <c:pt idx="29">
                  <c:v>840.9509076558799</c:v>
                </c:pt>
                <c:pt idx="30">
                  <c:v>873.9826361483818</c:v>
                </c:pt>
                <c:pt idx="31">
                  <c:v>907.0143646408838</c:v>
                </c:pt>
                <c:pt idx="32">
                  <c:v>940.0460931333859</c:v>
                </c:pt>
                <c:pt idx="33">
                  <c:v>973.0778216258877</c:v>
                </c:pt>
                <c:pt idx="34">
                  <c:v>1006.10955011839</c:v>
                </c:pt>
                <c:pt idx="35">
                  <c:v>1039.141278610892</c:v>
                </c:pt>
                <c:pt idx="36">
                  <c:v>1072.173007103394</c:v>
                </c:pt>
                <c:pt idx="37">
                  <c:v>1105.204735595896</c:v>
                </c:pt>
                <c:pt idx="38">
                  <c:v>1138.236464088398</c:v>
                </c:pt>
                <c:pt idx="39">
                  <c:v>1171.2681925809</c:v>
                </c:pt>
                <c:pt idx="40">
                  <c:v>1204.299921073401</c:v>
                </c:pt>
                <c:pt idx="41">
                  <c:v>1237.331649565904</c:v>
                </c:pt>
                <c:pt idx="42">
                  <c:v>1270.363378058405</c:v>
                </c:pt>
                <c:pt idx="43">
                  <c:v>1303.395106550907</c:v>
                </c:pt>
                <c:pt idx="44">
                  <c:v>1336.426835043409</c:v>
                </c:pt>
                <c:pt idx="45">
                  <c:v>1369.458563535911</c:v>
                </c:pt>
                <c:pt idx="46">
                  <c:v>1402.490292028413</c:v>
                </c:pt>
                <c:pt idx="47">
                  <c:v>1435.522020520915</c:v>
                </c:pt>
                <c:pt idx="48">
                  <c:v>1468.553749013417</c:v>
                </c:pt>
                <c:pt idx="49">
                  <c:v>1501.585477505919</c:v>
                </c:pt>
                <c:pt idx="50">
                  <c:v>1534.617205998421</c:v>
                </c:pt>
                <c:pt idx="51">
                  <c:v>1567.648934490923</c:v>
                </c:pt>
                <c:pt idx="52">
                  <c:v>1600.680662983425</c:v>
                </c:pt>
                <c:pt idx="53">
                  <c:v>1633.712391475927</c:v>
                </c:pt>
                <c:pt idx="54">
                  <c:v>1666.744119968429</c:v>
                </c:pt>
                <c:pt idx="55">
                  <c:v>1699.775848460931</c:v>
                </c:pt>
                <c:pt idx="56">
                  <c:v>1732.807576953433</c:v>
                </c:pt>
                <c:pt idx="57">
                  <c:v>1765.839305445935</c:v>
                </c:pt>
                <c:pt idx="58">
                  <c:v>1798.871033938437</c:v>
                </c:pt>
                <c:pt idx="59">
                  <c:v>1831.90276243094</c:v>
                </c:pt>
                <c:pt idx="60">
                  <c:v>1864.934490923441</c:v>
                </c:pt>
                <c:pt idx="61">
                  <c:v>1897.966219415943</c:v>
                </c:pt>
                <c:pt idx="62">
                  <c:v>1930.997947908445</c:v>
                </c:pt>
                <c:pt idx="63">
                  <c:v>1943.707576953433</c:v>
                </c:pt>
                <c:pt idx="64">
                  <c:v>1936.095106550908</c:v>
                </c:pt>
                <c:pt idx="65">
                  <c:v>1928.482636148382</c:v>
                </c:pt>
                <c:pt idx="66">
                  <c:v>1920.870165745856</c:v>
                </c:pt>
                <c:pt idx="67">
                  <c:v>1913.257695343331</c:v>
                </c:pt>
                <c:pt idx="68">
                  <c:v>1905.645224940805</c:v>
                </c:pt>
                <c:pt idx="69">
                  <c:v>1898.032754538279</c:v>
                </c:pt>
                <c:pt idx="70">
                  <c:v>1890.420284135754</c:v>
                </c:pt>
                <c:pt idx="71">
                  <c:v>1882.807813733228</c:v>
                </c:pt>
                <c:pt idx="72">
                  <c:v>1875.195343330702</c:v>
                </c:pt>
                <c:pt idx="73">
                  <c:v>1867.582872928177</c:v>
                </c:pt>
                <c:pt idx="74">
                  <c:v>1859.970402525651</c:v>
                </c:pt>
                <c:pt idx="75">
                  <c:v>1852.357932123125</c:v>
                </c:pt>
                <c:pt idx="76">
                  <c:v>1844.7454617206</c:v>
                </c:pt>
                <c:pt idx="77">
                  <c:v>1837.132991318074</c:v>
                </c:pt>
                <c:pt idx="78">
                  <c:v>1829.520520915548</c:v>
                </c:pt>
                <c:pt idx="79">
                  <c:v>1821.908050513023</c:v>
                </c:pt>
                <c:pt idx="80">
                  <c:v>1814.295580110497</c:v>
                </c:pt>
                <c:pt idx="81">
                  <c:v>1806.683109707971</c:v>
                </c:pt>
                <c:pt idx="82">
                  <c:v>1799.070639305446</c:v>
                </c:pt>
                <c:pt idx="83">
                  <c:v>1773.74775059195</c:v>
                </c:pt>
                <c:pt idx="84">
                  <c:v>1730.714443567482</c:v>
                </c:pt>
                <c:pt idx="85">
                  <c:v>1687.681136543015</c:v>
                </c:pt>
                <c:pt idx="86">
                  <c:v>1644.647829518547</c:v>
                </c:pt>
                <c:pt idx="87">
                  <c:v>1601.61452249408</c:v>
                </c:pt>
                <c:pt idx="88">
                  <c:v>1558.581215469613</c:v>
                </c:pt>
                <c:pt idx="89">
                  <c:v>1515.547908445146</c:v>
                </c:pt>
                <c:pt idx="90">
                  <c:v>1472.514601420679</c:v>
                </c:pt>
                <c:pt idx="91">
                  <c:v>1429.481294396212</c:v>
                </c:pt>
                <c:pt idx="92">
                  <c:v>1386.447987371744</c:v>
                </c:pt>
                <c:pt idx="93">
                  <c:v>1343.414680347277</c:v>
                </c:pt>
                <c:pt idx="94">
                  <c:v>1300.38137332281</c:v>
                </c:pt>
                <c:pt idx="95">
                  <c:v>1257.348066298342</c:v>
                </c:pt>
                <c:pt idx="96">
                  <c:v>1257.348066298342</c:v>
                </c:pt>
                <c:pt idx="97">
                  <c:v>1257.348066298342</c:v>
                </c:pt>
                <c:pt idx="98">
                  <c:v>1257.348066298342</c:v>
                </c:pt>
                <c:pt idx="99">
                  <c:v>1257.348066298342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44.26666666666667</c:v>
                </c:pt>
                <c:pt idx="27">
                  <c:v>88.53333333333335</c:v>
                </c:pt>
                <c:pt idx="28">
                  <c:v>132.8</c:v>
                </c:pt>
                <c:pt idx="29">
                  <c:v>177.0666666666667</c:v>
                </c:pt>
                <c:pt idx="30">
                  <c:v>221.3333333333334</c:v>
                </c:pt>
                <c:pt idx="31">
                  <c:v>265.6</c:v>
                </c:pt>
                <c:pt idx="32">
                  <c:v>309.8666666666667</c:v>
                </c:pt>
                <c:pt idx="33">
                  <c:v>354.1333333333334</c:v>
                </c:pt>
                <c:pt idx="34">
                  <c:v>398.4</c:v>
                </c:pt>
                <c:pt idx="35">
                  <c:v>442.6666666666667</c:v>
                </c:pt>
                <c:pt idx="36">
                  <c:v>486.9333333333335</c:v>
                </c:pt>
                <c:pt idx="37">
                  <c:v>531.2</c:v>
                </c:pt>
                <c:pt idx="38">
                  <c:v>575.4666666666668</c:v>
                </c:pt>
                <c:pt idx="39">
                  <c:v>619.7333333333334</c:v>
                </c:pt>
                <c:pt idx="40">
                  <c:v>664.0000000000001</c:v>
                </c:pt>
                <c:pt idx="41">
                  <c:v>708.2666666666667</c:v>
                </c:pt>
                <c:pt idx="42">
                  <c:v>752.5333333333334</c:v>
                </c:pt>
                <c:pt idx="43">
                  <c:v>796.8000000000001</c:v>
                </c:pt>
                <c:pt idx="44">
                  <c:v>841.0666666666667</c:v>
                </c:pt>
                <c:pt idx="45">
                  <c:v>885.3333333333334</c:v>
                </c:pt>
                <c:pt idx="46">
                  <c:v>929.6000000000002</c:v>
                </c:pt>
                <c:pt idx="47">
                  <c:v>973.866666666667</c:v>
                </c:pt>
                <c:pt idx="48">
                  <c:v>1018.133333333334</c:v>
                </c:pt>
                <c:pt idx="49">
                  <c:v>1062.4</c:v>
                </c:pt>
                <c:pt idx="50">
                  <c:v>1106.666666666667</c:v>
                </c:pt>
                <c:pt idx="51">
                  <c:v>1150.933333333334</c:v>
                </c:pt>
                <c:pt idx="52">
                  <c:v>1195.2</c:v>
                </c:pt>
                <c:pt idx="53">
                  <c:v>1239.466666666667</c:v>
                </c:pt>
                <c:pt idx="54">
                  <c:v>1283.733333333334</c:v>
                </c:pt>
                <c:pt idx="55">
                  <c:v>1328.0</c:v>
                </c:pt>
                <c:pt idx="56">
                  <c:v>1372.266666666667</c:v>
                </c:pt>
                <c:pt idx="57">
                  <c:v>1416.533333333334</c:v>
                </c:pt>
                <c:pt idx="58">
                  <c:v>1460.8</c:v>
                </c:pt>
                <c:pt idx="59">
                  <c:v>1505.066666666667</c:v>
                </c:pt>
                <c:pt idx="60">
                  <c:v>1549.333333333333</c:v>
                </c:pt>
                <c:pt idx="61">
                  <c:v>1593.6</c:v>
                </c:pt>
                <c:pt idx="62">
                  <c:v>1637.866666666667</c:v>
                </c:pt>
                <c:pt idx="63">
                  <c:v>2251.357142857143</c:v>
                </c:pt>
                <c:pt idx="64">
                  <c:v>3434.071428571428</c:v>
                </c:pt>
                <c:pt idx="65">
                  <c:v>4616.785714285714</c:v>
                </c:pt>
                <c:pt idx="66">
                  <c:v>5799.5</c:v>
                </c:pt>
                <c:pt idx="67">
                  <c:v>6982.214285714284</c:v>
                </c:pt>
                <c:pt idx="68">
                  <c:v>8164.92857142857</c:v>
                </c:pt>
                <c:pt idx="69">
                  <c:v>9347.642857142855</c:v>
                </c:pt>
                <c:pt idx="70">
                  <c:v>10530.35714285714</c:v>
                </c:pt>
                <c:pt idx="71">
                  <c:v>11713.07142857143</c:v>
                </c:pt>
                <c:pt idx="72">
                  <c:v>12895.78571428571</c:v>
                </c:pt>
                <c:pt idx="73">
                  <c:v>14078.5</c:v>
                </c:pt>
                <c:pt idx="74">
                  <c:v>15261.21428571428</c:v>
                </c:pt>
                <c:pt idx="75">
                  <c:v>16443.92857142857</c:v>
                </c:pt>
                <c:pt idx="76">
                  <c:v>17626.64285714286</c:v>
                </c:pt>
                <c:pt idx="77">
                  <c:v>18809.35714285714</c:v>
                </c:pt>
                <c:pt idx="78">
                  <c:v>19992.07142857143</c:v>
                </c:pt>
                <c:pt idx="79">
                  <c:v>21174.78571428571</c:v>
                </c:pt>
                <c:pt idx="80">
                  <c:v>22357.5</c:v>
                </c:pt>
                <c:pt idx="81">
                  <c:v>23540.21428571428</c:v>
                </c:pt>
                <c:pt idx="82">
                  <c:v>24722.92857142857</c:v>
                </c:pt>
                <c:pt idx="83">
                  <c:v>24702.99428571428</c:v>
                </c:pt>
                <c:pt idx="84">
                  <c:v>23480.41142857142</c:v>
                </c:pt>
                <c:pt idx="85">
                  <c:v>22257.82857142857</c:v>
                </c:pt>
                <c:pt idx="86">
                  <c:v>21035.24571428571</c:v>
                </c:pt>
                <c:pt idx="87">
                  <c:v>19812.66285714286</c:v>
                </c:pt>
                <c:pt idx="88">
                  <c:v>18590.08</c:v>
                </c:pt>
                <c:pt idx="89">
                  <c:v>17367.49714285714</c:v>
                </c:pt>
                <c:pt idx="90">
                  <c:v>16144.91428571428</c:v>
                </c:pt>
                <c:pt idx="91">
                  <c:v>14922.33142857143</c:v>
                </c:pt>
                <c:pt idx="92">
                  <c:v>13699.74857142857</c:v>
                </c:pt>
                <c:pt idx="93">
                  <c:v>12477.16571428571</c:v>
                </c:pt>
                <c:pt idx="94">
                  <c:v>11254.58285714286</c:v>
                </c:pt>
                <c:pt idx="95">
                  <c:v>10032.0</c:v>
                </c:pt>
                <c:pt idx="96">
                  <c:v>10032.0</c:v>
                </c:pt>
                <c:pt idx="97">
                  <c:v>10032.0</c:v>
                </c:pt>
                <c:pt idx="98">
                  <c:v>10032.0</c:v>
                </c:pt>
                <c:pt idx="99">
                  <c:v>10032.0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85.83267561168114</c:v>
                </c:pt>
                <c:pt idx="1">
                  <c:v>85.83267561168114</c:v>
                </c:pt>
                <c:pt idx="2">
                  <c:v>85.83267561168114</c:v>
                </c:pt>
                <c:pt idx="3">
                  <c:v>85.83267561168114</c:v>
                </c:pt>
                <c:pt idx="4">
                  <c:v>85.83267561168114</c:v>
                </c:pt>
                <c:pt idx="5">
                  <c:v>85.83267561168114</c:v>
                </c:pt>
                <c:pt idx="6">
                  <c:v>85.83267561168114</c:v>
                </c:pt>
                <c:pt idx="7">
                  <c:v>85.83267561168114</c:v>
                </c:pt>
                <c:pt idx="8">
                  <c:v>85.83267561168114</c:v>
                </c:pt>
                <c:pt idx="9">
                  <c:v>85.83267561168114</c:v>
                </c:pt>
                <c:pt idx="10">
                  <c:v>85.83267561168114</c:v>
                </c:pt>
                <c:pt idx="11">
                  <c:v>85.83267561168114</c:v>
                </c:pt>
                <c:pt idx="12">
                  <c:v>85.83267561168114</c:v>
                </c:pt>
                <c:pt idx="13">
                  <c:v>85.83267561168114</c:v>
                </c:pt>
                <c:pt idx="14">
                  <c:v>85.83267561168114</c:v>
                </c:pt>
                <c:pt idx="15">
                  <c:v>85.83267561168114</c:v>
                </c:pt>
                <c:pt idx="16">
                  <c:v>85.83267561168114</c:v>
                </c:pt>
                <c:pt idx="17">
                  <c:v>85.83267561168114</c:v>
                </c:pt>
                <c:pt idx="18">
                  <c:v>85.83267561168114</c:v>
                </c:pt>
                <c:pt idx="19">
                  <c:v>85.83267561168114</c:v>
                </c:pt>
                <c:pt idx="20">
                  <c:v>85.83267561168114</c:v>
                </c:pt>
                <c:pt idx="21">
                  <c:v>85.83267561168114</c:v>
                </c:pt>
                <c:pt idx="22">
                  <c:v>85.83267561168114</c:v>
                </c:pt>
                <c:pt idx="23">
                  <c:v>85.83267561168114</c:v>
                </c:pt>
                <c:pt idx="24">
                  <c:v>85.83267561168114</c:v>
                </c:pt>
                <c:pt idx="25">
                  <c:v>85.83267561168114</c:v>
                </c:pt>
                <c:pt idx="26">
                  <c:v>94.4986505112584</c:v>
                </c:pt>
                <c:pt idx="27">
                  <c:v>103.1646254108357</c:v>
                </c:pt>
                <c:pt idx="28">
                  <c:v>111.8306003104129</c:v>
                </c:pt>
                <c:pt idx="29">
                  <c:v>120.4965752099902</c:v>
                </c:pt>
                <c:pt idx="30">
                  <c:v>129.1625501095675</c:v>
                </c:pt>
                <c:pt idx="31">
                  <c:v>137.8285250091448</c:v>
                </c:pt>
                <c:pt idx="32">
                  <c:v>146.494499908722</c:v>
                </c:pt>
                <c:pt idx="33">
                  <c:v>155.1604748082993</c:v>
                </c:pt>
                <c:pt idx="34">
                  <c:v>163.8264497078766</c:v>
                </c:pt>
                <c:pt idx="35">
                  <c:v>172.4924246074538</c:v>
                </c:pt>
                <c:pt idx="36">
                  <c:v>181.1583995070311</c:v>
                </c:pt>
                <c:pt idx="37">
                  <c:v>189.8243744066084</c:v>
                </c:pt>
                <c:pt idx="38">
                  <c:v>198.4903493061857</c:v>
                </c:pt>
                <c:pt idx="39">
                  <c:v>207.1563242057629</c:v>
                </c:pt>
                <c:pt idx="40">
                  <c:v>215.8222991053402</c:v>
                </c:pt>
                <c:pt idx="41">
                  <c:v>224.4882740049175</c:v>
                </c:pt>
                <c:pt idx="42">
                  <c:v>233.1542489044947</c:v>
                </c:pt>
                <c:pt idx="43">
                  <c:v>241.820223804072</c:v>
                </c:pt>
                <c:pt idx="44">
                  <c:v>250.4861987036493</c:v>
                </c:pt>
                <c:pt idx="45">
                  <c:v>259.1521736032265</c:v>
                </c:pt>
                <c:pt idx="46">
                  <c:v>267.8181485028039</c:v>
                </c:pt>
                <c:pt idx="47">
                  <c:v>276.4841234023811</c:v>
                </c:pt>
                <c:pt idx="48">
                  <c:v>285.1500983019583</c:v>
                </c:pt>
                <c:pt idx="49">
                  <c:v>293.8160732015356</c:v>
                </c:pt>
                <c:pt idx="50">
                  <c:v>302.4820481011129</c:v>
                </c:pt>
                <c:pt idx="51">
                  <c:v>311.1480230006902</c:v>
                </c:pt>
                <c:pt idx="52">
                  <c:v>319.8139979002675</c:v>
                </c:pt>
                <c:pt idx="53">
                  <c:v>328.4799727998447</c:v>
                </c:pt>
                <c:pt idx="54">
                  <c:v>337.145947699422</c:v>
                </c:pt>
                <c:pt idx="55">
                  <c:v>345.8119225989993</c:v>
                </c:pt>
                <c:pt idx="56">
                  <c:v>354.4778974985766</c:v>
                </c:pt>
                <c:pt idx="57">
                  <c:v>363.1438723981538</c:v>
                </c:pt>
                <c:pt idx="58">
                  <c:v>371.809847297731</c:v>
                </c:pt>
                <c:pt idx="59">
                  <c:v>380.4758221973084</c:v>
                </c:pt>
                <c:pt idx="60">
                  <c:v>389.1417970968856</c:v>
                </c:pt>
                <c:pt idx="61">
                  <c:v>397.8077719964629</c:v>
                </c:pt>
                <c:pt idx="62">
                  <c:v>406.4737468960401</c:v>
                </c:pt>
                <c:pt idx="63">
                  <c:v>430.3578851268491</c:v>
                </c:pt>
                <c:pt idx="64">
                  <c:v>469.4601866888901</c:v>
                </c:pt>
                <c:pt idx="65">
                  <c:v>508.5624882509309</c:v>
                </c:pt>
                <c:pt idx="66">
                  <c:v>547.6647898129718</c:v>
                </c:pt>
                <c:pt idx="67">
                  <c:v>586.7670913750126</c:v>
                </c:pt>
                <c:pt idx="68">
                  <c:v>625.8693929370534</c:v>
                </c:pt>
                <c:pt idx="69">
                  <c:v>664.9716944990943</c:v>
                </c:pt>
                <c:pt idx="70">
                  <c:v>704.073996061135</c:v>
                </c:pt>
                <c:pt idx="71">
                  <c:v>743.176297623176</c:v>
                </c:pt>
                <c:pt idx="72">
                  <c:v>782.2785991852169</c:v>
                </c:pt>
                <c:pt idx="73">
                  <c:v>821.3809007472576</c:v>
                </c:pt>
                <c:pt idx="74">
                  <c:v>860.4832023092986</c:v>
                </c:pt>
                <c:pt idx="75">
                  <c:v>899.5855038713393</c:v>
                </c:pt>
                <c:pt idx="76">
                  <c:v>938.6878054333802</c:v>
                </c:pt>
                <c:pt idx="77">
                  <c:v>977.7901069954212</c:v>
                </c:pt>
                <c:pt idx="78">
                  <c:v>1016.892408557462</c:v>
                </c:pt>
                <c:pt idx="79">
                  <c:v>1055.994710119503</c:v>
                </c:pt>
                <c:pt idx="80">
                  <c:v>1095.097011681544</c:v>
                </c:pt>
                <c:pt idx="81">
                  <c:v>1134.199313243585</c:v>
                </c:pt>
                <c:pt idx="82">
                  <c:v>1173.301614805625</c:v>
                </c:pt>
                <c:pt idx="83">
                  <c:v>1203.67935509572</c:v>
                </c:pt>
                <c:pt idx="84">
                  <c:v>1225.332534113867</c:v>
                </c:pt>
                <c:pt idx="85">
                  <c:v>1246.985713132015</c:v>
                </c:pt>
                <c:pt idx="86">
                  <c:v>1268.638892150163</c:v>
                </c:pt>
                <c:pt idx="87">
                  <c:v>1290.29207116831</c:v>
                </c:pt>
                <c:pt idx="88">
                  <c:v>1311.945250186458</c:v>
                </c:pt>
                <c:pt idx="89">
                  <c:v>1333.598429204606</c:v>
                </c:pt>
                <c:pt idx="90">
                  <c:v>1355.251608222753</c:v>
                </c:pt>
                <c:pt idx="91">
                  <c:v>1376.904787240901</c:v>
                </c:pt>
                <c:pt idx="92">
                  <c:v>1398.557966259049</c:v>
                </c:pt>
                <c:pt idx="93">
                  <c:v>1420.211145277196</c:v>
                </c:pt>
                <c:pt idx="94">
                  <c:v>1441.864324295344</c:v>
                </c:pt>
                <c:pt idx="95">
                  <c:v>1463.517503313492</c:v>
                </c:pt>
                <c:pt idx="96">
                  <c:v>1463.517503313492</c:v>
                </c:pt>
                <c:pt idx="97">
                  <c:v>1463.517503313492</c:v>
                </c:pt>
                <c:pt idx="98">
                  <c:v>1463.517503313492</c:v>
                </c:pt>
                <c:pt idx="99">
                  <c:v>1463.517503313492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1285.714285714286</c:v>
                </c:pt>
                <c:pt idx="1">
                  <c:v>1285.714285714286</c:v>
                </c:pt>
                <c:pt idx="2">
                  <c:v>1285.714285714286</c:v>
                </c:pt>
                <c:pt idx="3">
                  <c:v>1285.714285714286</c:v>
                </c:pt>
                <c:pt idx="4">
                  <c:v>1285.714285714286</c:v>
                </c:pt>
                <c:pt idx="5">
                  <c:v>1285.714285714286</c:v>
                </c:pt>
                <c:pt idx="6">
                  <c:v>1285.714285714286</c:v>
                </c:pt>
                <c:pt idx="7">
                  <c:v>1285.714285714286</c:v>
                </c:pt>
                <c:pt idx="8">
                  <c:v>1285.714285714286</c:v>
                </c:pt>
                <c:pt idx="9">
                  <c:v>1285.714285714286</c:v>
                </c:pt>
                <c:pt idx="10">
                  <c:v>1285.714285714286</c:v>
                </c:pt>
                <c:pt idx="11">
                  <c:v>1285.714285714286</c:v>
                </c:pt>
                <c:pt idx="12">
                  <c:v>1285.714285714286</c:v>
                </c:pt>
                <c:pt idx="13">
                  <c:v>1285.714285714286</c:v>
                </c:pt>
                <c:pt idx="14">
                  <c:v>1285.714285714286</c:v>
                </c:pt>
                <c:pt idx="15">
                  <c:v>1285.714285714286</c:v>
                </c:pt>
                <c:pt idx="16">
                  <c:v>1285.714285714286</c:v>
                </c:pt>
                <c:pt idx="17">
                  <c:v>1285.714285714286</c:v>
                </c:pt>
                <c:pt idx="18">
                  <c:v>1285.714285714286</c:v>
                </c:pt>
                <c:pt idx="19">
                  <c:v>1285.714285714286</c:v>
                </c:pt>
                <c:pt idx="20">
                  <c:v>1285.714285714286</c:v>
                </c:pt>
                <c:pt idx="21">
                  <c:v>1285.714285714286</c:v>
                </c:pt>
                <c:pt idx="22">
                  <c:v>1285.714285714286</c:v>
                </c:pt>
                <c:pt idx="23">
                  <c:v>1285.714285714286</c:v>
                </c:pt>
                <c:pt idx="24">
                  <c:v>1285.714285714286</c:v>
                </c:pt>
                <c:pt idx="25">
                  <c:v>1285.714285714286</c:v>
                </c:pt>
                <c:pt idx="26">
                  <c:v>1511.428571428572</c:v>
                </c:pt>
                <c:pt idx="27">
                  <c:v>1737.142857142857</c:v>
                </c:pt>
                <c:pt idx="28">
                  <c:v>1962.857142857143</c:v>
                </c:pt>
                <c:pt idx="29">
                  <c:v>2188.571428571428</c:v>
                </c:pt>
                <c:pt idx="30">
                  <c:v>2414.285714285714</c:v>
                </c:pt>
                <c:pt idx="31">
                  <c:v>2640.0</c:v>
                </c:pt>
                <c:pt idx="32">
                  <c:v>2865.714285714285</c:v>
                </c:pt>
                <c:pt idx="33">
                  <c:v>3091.428571428571</c:v>
                </c:pt>
                <c:pt idx="34">
                  <c:v>3317.142857142857</c:v>
                </c:pt>
                <c:pt idx="35">
                  <c:v>3542.857142857142</c:v>
                </c:pt>
                <c:pt idx="36">
                  <c:v>3768.571428571428</c:v>
                </c:pt>
                <c:pt idx="37">
                  <c:v>3994.285714285714</c:v>
                </c:pt>
                <c:pt idx="38">
                  <c:v>4220.0</c:v>
                </c:pt>
                <c:pt idx="39">
                  <c:v>4445.714285714284</c:v>
                </c:pt>
                <c:pt idx="40">
                  <c:v>4671.42857142857</c:v>
                </c:pt>
                <c:pt idx="41">
                  <c:v>4897.142857142857</c:v>
                </c:pt>
                <c:pt idx="42">
                  <c:v>5122.857142857141</c:v>
                </c:pt>
                <c:pt idx="43">
                  <c:v>5348.571428571427</c:v>
                </c:pt>
                <c:pt idx="44">
                  <c:v>5574.285714285714</c:v>
                </c:pt>
                <c:pt idx="45">
                  <c:v>5799.999999999998</c:v>
                </c:pt>
                <c:pt idx="46">
                  <c:v>6025.714285714284</c:v>
                </c:pt>
                <c:pt idx="47">
                  <c:v>6251.42857142857</c:v>
                </c:pt>
                <c:pt idx="48">
                  <c:v>6477.142857142855</c:v>
                </c:pt>
                <c:pt idx="49">
                  <c:v>6702.857142857141</c:v>
                </c:pt>
                <c:pt idx="50">
                  <c:v>6928.571428571427</c:v>
                </c:pt>
                <c:pt idx="51">
                  <c:v>7154.285714285714</c:v>
                </c:pt>
                <c:pt idx="52">
                  <c:v>7379.999999999998</c:v>
                </c:pt>
                <c:pt idx="53">
                  <c:v>7605.714285714284</c:v>
                </c:pt>
                <c:pt idx="54">
                  <c:v>7831.42857142857</c:v>
                </c:pt>
                <c:pt idx="55">
                  <c:v>8057.142857142855</c:v>
                </c:pt>
                <c:pt idx="56">
                  <c:v>8282.857142857139</c:v>
                </c:pt>
                <c:pt idx="57">
                  <c:v>8508.571428571427</c:v>
                </c:pt>
                <c:pt idx="58">
                  <c:v>8734.285714285714</c:v>
                </c:pt>
                <c:pt idx="59">
                  <c:v>8959.999999999998</c:v>
                </c:pt>
                <c:pt idx="60">
                  <c:v>9185.714285714284</c:v>
                </c:pt>
                <c:pt idx="61">
                  <c:v>9411.428571428569</c:v>
                </c:pt>
                <c:pt idx="62">
                  <c:v>9637.142857142855</c:v>
                </c:pt>
                <c:pt idx="63">
                  <c:v>10217.67857142857</c:v>
                </c:pt>
                <c:pt idx="64">
                  <c:v>11153.03571428571</c:v>
                </c:pt>
                <c:pt idx="65">
                  <c:v>12088.39285714286</c:v>
                </c:pt>
                <c:pt idx="66">
                  <c:v>13023.75</c:v>
                </c:pt>
                <c:pt idx="67">
                  <c:v>13959.10714285714</c:v>
                </c:pt>
                <c:pt idx="68">
                  <c:v>14894.46428571428</c:v>
                </c:pt>
                <c:pt idx="69">
                  <c:v>15829.82142857143</c:v>
                </c:pt>
                <c:pt idx="70">
                  <c:v>16765.17857142857</c:v>
                </c:pt>
                <c:pt idx="71">
                  <c:v>17700.53571428571</c:v>
                </c:pt>
                <c:pt idx="72">
                  <c:v>18635.89285714286</c:v>
                </c:pt>
                <c:pt idx="73">
                  <c:v>19571.25</c:v>
                </c:pt>
                <c:pt idx="74">
                  <c:v>20506.60714285714</c:v>
                </c:pt>
                <c:pt idx="75">
                  <c:v>21441.96428571428</c:v>
                </c:pt>
                <c:pt idx="76">
                  <c:v>22377.32142857143</c:v>
                </c:pt>
                <c:pt idx="77">
                  <c:v>23312.67857142857</c:v>
                </c:pt>
                <c:pt idx="78">
                  <c:v>24248.03571428571</c:v>
                </c:pt>
                <c:pt idx="79">
                  <c:v>25183.39285714286</c:v>
                </c:pt>
                <c:pt idx="80">
                  <c:v>26118.74999999999</c:v>
                </c:pt>
                <c:pt idx="81">
                  <c:v>27054.10714285714</c:v>
                </c:pt>
                <c:pt idx="82">
                  <c:v>27989.46428571428</c:v>
                </c:pt>
                <c:pt idx="83">
                  <c:v>28628.85714285714</c:v>
                </c:pt>
                <c:pt idx="84">
                  <c:v>28972.28571428571</c:v>
                </c:pt>
                <c:pt idx="85">
                  <c:v>29315.71428571428</c:v>
                </c:pt>
                <c:pt idx="86">
                  <c:v>29659.14285714285</c:v>
                </c:pt>
                <c:pt idx="87">
                  <c:v>30002.57142857142</c:v>
                </c:pt>
                <c:pt idx="88">
                  <c:v>30346</c:v>
                </c:pt>
                <c:pt idx="89">
                  <c:v>30689.42857142857</c:v>
                </c:pt>
                <c:pt idx="90">
                  <c:v>31032.85714285714</c:v>
                </c:pt>
                <c:pt idx="91">
                  <c:v>31376.28571428571</c:v>
                </c:pt>
                <c:pt idx="92">
                  <c:v>31719.71428571428</c:v>
                </c:pt>
                <c:pt idx="93">
                  <c:v>32063.14285714286</c:v>
                </c:pt>
                <c:pt idx="94">
                  <c:v>32406.57142857143</c:v>
                </c:pt>
                <c:pt idx="95">
                  <c:v>32750.0</c:v>
                </c:pt>
                <c:pt idx="96">
                  <c:v>32750.0</c:v>
                </c:pt>
                <c:pt idx="97">
                  <c:v>32750.0</c:v>
                </c:pt>
                <c:pt idx="98">
                  <c:v>32750.0</c:v>
                </c:pt>
                <c:pt idx="99">
                  <c:v>32750.0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7428.571428571428</c:v>
                </c:pt>
                <c:pt idx="1">
                  <c:v>7428.571428571428</c:v>
                </c:pt>
                <c:pt idx="2">
                  <c:v>7428.571428571428</c:v>
                </c:pt>
                <c:pt idx="3">
                  <c:v>7428.571428571428</c:v>
                </c:pt>
                <c:pt idx="4">
                  <c:v>7428.571428571428</c:v>
                </c:pt>
                <c:pt idx="5">
                  <c:v>7428.571428571428</c:v>
                </c:pt>
                <c:pt idx="6">
                  <c:v>7428.571428571428</c:v>
                </c:pt>
                <c:pt idx="7">
                  <c:v>7428.571428571428</c:v>
                </c:pt>
                <c:pt idx="8">
                  <c:v>7428.571428571428</c:v>
                </c:pt>
                <c:pt idx="9">
                  <c:v>7428.571428571428</c:v>
                </c:pt>
                <c:pt idx="10">
                  <c:v>7428.571428571428</c:v>
                </c:pt>
                <c:pt idx="11">
                  <c:v>7428.571428571428</c:v>
                </c:pt>
                <c:pt idx="12">
                  <c:v>7428.571428571428</c:v>
                </c:pt>
                <c:pt idx="13">
                  <c:v>7428.571428571428</c:v>
                </c:pt>
                <c:pt idx="14">
                  <c:v>7428.571428571428</c:v>
                </c:pt>
                <c:pt idx="15">
                  <c:v>7428.571428571428</c:v>
                </c:pt>
                <c:pt idx="16">
                  <c:v>7428.571428571428</c:v>
                </c:pt>
                <c:pt idx="17">
                  <c:v>7428.571428571428</c:v>
                </c:pt>
                <c:pt idx="18">
                  <c:v>7428.571428571428</c:v>
                </c:pt>
                <c:pt idx="19">
                  <c:v>7428.571428571428</c:v>
                </c:pt>
                <c:pt idx="20">
                  <c:v>7428.571428571428</c:v>
                </c:pt>
                <c:pt idx="21">
                  <c:v>7428.571428571428</c:v>
                </c:pt>
                <c:pt idx="22">
                  <c:v>7428.571428571428</c:v>
                </c:pt>
                <c:pt idx="23">
                  <c:v>7428.571428571428</c:v>
                </c:pt>
                <c:pt idx="24">
                  <c:v>7428.571428571428</c:v>
                </c:pt>
                <c:pt idx="25">
                  <c:v>7428.571428571428</c:v>
                </c:pt>
                <c:pt idx="26">
                  <c:v>7362.742857142857</c:v>
                </c:pt>
                <c:pt idx="27">
                  <c:v>7296.914285714285</c:v>
                </c:pt>
                <c:pt idx="28">
                  <c:v>7231.085714285714</c:v>
                </c:pt>
                <c:pt idx="29">
                  <c:v>7165.257142857143</c:v>
                </c:pt>
                <c:pt idx="30">
                  <c:v>7099.428571428571</c:v>
                </c:pt>
                <c:pt idx="31">
                  <c:v>7033.6</c:v>
                </c:pt>
                <c:pt idx="32">
                  <c:v>6967.771428571428</c:v>
                </c:pt>
                <c:pt idx="33">
                  <c:v>6901.942857142857</c:v>
                </c:pt>
                <c:pt idx="34">
                  <c:v>6836.114285714286</c:v>
                </c:pt>
                <c:pt idx="35">
                  <c:v>6770.285714285714</c:v>
                </c:pt>
                <c:pt idx="36">
                  <c:v>6704.457142857143</c:v>
                </c:pt>
                <c:pt idx="37">
                  <c:v>6638.62857142857</c:v>
                </c:pt>
                <c:pt idx="38">
                  <c:v>6572.8</c:v>
                </c:pt>
                <c:pt idx="39">
                  <c:v>6506.971428571428</c:v>
                </c:pt>
                <c:pt idx="40">
                  <c:v>6441.142857142857</c:v>
                </c:pt>
                <c:pt idx="41">
                  <c:v>6375.314285714285</c:v>
                </c:pt>
                <c:pt idx="42">
                  <c:v>6309.485714285714</c:v>
                </c:pt>
                <c:pt idx="43">
                  <c:v>6243.657142857142</c:v>
                </c:pt>
                <c:pt idx="44">
                  <c:v>6177.82857142857</c:v>
                </c:pt>
                <c:pt idx="45">
                  <c:v>6112.0</c:v>
                </c:pt>
                <c:pt idx="46">
                  <c:v>6046.171428571427</c:v>
                </c:pt>
                <c:pt idx="47">
                  <c:v>5980.342857142857</c:v>
                </c:pt>
                <c:pt idx="48">
                  <c:v>5914.514285714286</c:v>
                </c:pt>
                <c:pt idx="49">
                  <c:v>5848.685714285713</c:v>
                </c:pt>
                <c:pt idx="50">
                  <c:v>5782.857142857142</c:v>
                </c:pt>
                <c:pt idx="51">
                  <c:v>5717.02857142857</c:v>
                </c:pt>
                <c:pt idx="52">
                  <c:v>5651.199999999998</c:v>
                </c:pt>
                <c:pt idx="53">
                  <c:v>5585.371428571427</c:v>
                </c:pt>
                <c:pt idx="54">
                  <c:v>5519.542857142857</c:v>
                </c:pt>
                <c:pt idx="55">
                  <c:v>5453.714285714284</c:v>
                </c:pt>
                <c:pt idx="56">
                  <c:v>5387.885714285714</c:v>
                </c:pt>
                <c:pt idx="57">
                  <c:v>5322.057142857142</c:v>
                </c:pt>
                <c:pt idx="58">
                  <c:v>5256.22857142857</c:v>
                </c:pt>
                <c:pt idx="59">
                  <c:v>5190.4</c:v>
                </c:pt>
                <c:pt idx="60">
                  <c:v>5124.571428571427</c:v>
                </c:pt>
                <c:pt idx="61">
                  <c:v>5058.742857142856</c:v>
                </c:pt>
                <c:pt idx="62">
                  <c:v>4992.914285714285</c:v>
                </c:pt>
                <c:pt idx="63">
                  <c:v>4836</c:v>
                </c:pt>
                <c:pt idx="64">
                  <c:v>4588</c:v>
                </c:pt>
                <c:pt idx="65">
                  <c:v>434</c:v>
                </c:pt>
                <c:pt idx="66">
                  <c:v>4092</c:v>
                </c:pt>
                <c:pt idx="67">
                  <c:v>3844</c:v>
                </c:pt>
                <c:pt idx="68">
                  <c:v>3596</c:v>
                </c:pt>
                <c:pt idx="69">
                  <c:v>3348</c:v>
                </c:pt>
                <c:pt idx="70">
                  <c:v>31</c:v>
                </c:pt>
                <c:pt idx="71">
                  <c:v>2852</c:v>
                </c:pt>
                <c:pt idx="72">
                  <c:v>2604</c:v>
                </c:pt>
                <c:pt idx="73">
                  <c:v>2356</c:v>
                </c:pt>
                <c:pt idx="74">
                  <c:v>2108</c:v>
                </c:pt>
                <c:pt idx="75">
                  <c:v>1860.0</c:v>
                </c:pt>
                <c:pt idx="76">
                  <c:v>1612.0</c:v>
                </c:pt>
                <c:pt idx="77">
                  <c:v>1364.0</c:v>
                </c:pt>
                <c:pt idx="78">
                  <c:v>1116.0</c:v>
                </c:pt>
                <c:pt idx="79">
                  <c:v>868.0</c:v>
                </c:pt>
                <c:pt idx="80">
                  <c:v>620.0</c:v>
                </c:pt>
                <c:pt idx="81">
                  <c:v>372.0</c:v>
                </c:pt>
                <c:pt idx="82">
                  <c:v>124.0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548.5714285714286</c:v>
                </c:pt>
                <c:pt idx="64">
                  <c:v>1645.714285714286</c:v>
                </c:pt>
                <c:pt idx="65">
                  <c:v>2742.857142857142</c:v>
                </c:pt>
                <c:pt idx="66">
                  <c:v>3840.0</c:v>
                </c:pt>
                <c:pt idx="67">
                  <c:v>4937.142857142857</c:v>
                </c:pt>
                <c:pt idx="68">
                  <c:v>6034.285714285714</c:v>
                </c:pt>
                <c:pt idx="69">
                  <c:v>7131.42857142857</c:v>
                </c:pt>
                <c:pt idx="70">
                  <c:v>8228.571428571427</c:v>
                </c:pt>
                <c:pt idx="71">
                  <c:v>9325.714285714286</c:v>
                </c:pt>
                <c:pt idx="72">
                  <c:v>10422.85714285714</c:v>
                </c:pt>
                <c:pt idx="73">
                  <c:v>1152</c:v>
                </c:pt>
                <c:pt idx="74">
                  <c:v>12617.14285714286</c:v>
                </c:pt>
                <c:pt idx="75">
                  <c:v>13714.28571428571</c:v>
                </c:pt>
                <c:pt idx="76">
                  <c:v>14811.42857142857</c:v>
                </c:pt>
                <c:pt idx="77">
                  <c:v>15908.57142857143</c:v>
                </c:pt>
                <c:pt idx="78">
                  <c:v>17005.71428571428</c:v>
                </c:pt>
                <c:pt idx="79">
                  <c:v>18102.85714285714</c:v>
                </c:pt>
                <c:pt idx="80">
                  <c:v>19200.0</c:v>
                </c:pt>
                <c:pt idx="81">
                  <c:v>20297.14285714286</c:v>
                </c:pt>
                <c:pt idx="82">
                  <c:v>21394.28571428571</c:v>
                </c:pt>
                <c:pt idx="83">
                  <c:v>24089.14285714286</c:v>
                </c:pt>
                <c:pt idx="84">
                  <c:v>28381.71428571428</c:v>
                </c:pt>
                <c:pt idx="85">
                  <c:v>32674.28571428571</c:v>
                </c:pt>
                <c:pt idx="86">
                  <c:v>36966.85714285714</c:v>
                </c:pt>
                <c:pt idx="87">
                  <c:v>41259.42857142856</c:v>
                </c:pt>
                <c:pt idx="88">
                  <c:v>45552.0</c:v>
                </c:pt>
                <c:pt idx="89">
                  <c:v>49844.57142857143</c:v>
                </c:pt>
                <c:pt idx="90">
                  <c:v>54137.14285714285</c:v>
                </c:pt>
                <c:pt idx="91">
                  <c:v>58429.71428571428</c:v>
                </c:pt>
                <c:pt idx="92">
                  <c:v>62722.28571428571</c:v>
                </c:pt>
                <c:pt idx="93">
                  <c:v>67014.85714285714</c:v>
                </c:pt>
                <c:pt idx="94">
                  <c:v>71307.42857142857</c:v>
                </c:pt>
                <c:pt idx="95">
                  <c:v>75600.0</c:v>
                </c:pt>
                <c:pt idx="96">
                  <c:v>75600.0</c:v>
                </c:pt>
                <c:pt idx="97">
                  <c:v>75600.0</c:v>
                </c:pt>
                <c:pt idx="98">
                  <c:v>75600.0</c:v>
                </c:pt>
                <c:pt idx="99">
                  <c:v>75600.0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2508.0</c:v>
                </c:pt>
                <c:pt idx="84">
                  <c:v>7524.0</c:v>
                </c:pt>
                <c:pt idx="85">
                  <c:v>12540.0</c:v>
                </c:pt>
                <c:pt idx="86">
                  <c:v>17556.0</c:v>
                </c:pt>
                <c:pt idx="87">
                  <c:v>22572.0</c:v>
                </c:pt>
                <c:pt idx="88">
                  <c:v>27588.0</c:v>
                </c:pt>
                <c:pt idx="89">
                  <c:v>32604.0</c:v>
                </c:pt>
                <c:pt idx="90">
                  <c:v>37620.0</c:v>
                </c:pt>
                <c:pt idx="91">
                  <c:v>42636.0</c:v>
                </c:pt>
                <c:pt idx="92">
                  <c:v>47652.0</c:v>
                </c:pt>
                <c:pt idx="93">
                  <c:v>52668.0</c:v>
                </c:pt>
                <c:pt idx="94">
                  <c:v>57684.0</c:v>
                </c:pt>
                <c:pt idx="95">
                  <c:v>62700.0</c:v>
                </c:pt>
                <c:pt idx="96">
                  <c:v>62700.0</c:v>
                </c:pt>
                <c:pt idx="97">
                  <c:v>62700.0</c:v>
                </c:pt>
                <c:pt idx="98">
                  <c:v>62700.0</c:v>
                </c:pt>
                <c:pt idx="99">
                  <c:v>62700.0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1009.172612427673</c:v>
                </c:pt>
                <c:pt idx="1">
                  <c:v>1009.172612427673</c:v>
                </c:pt>
                <c:pt idx="2">
                  <c:v>1009.172612427673</c:v>
                </c:pt>
                <c:pt idx="3">
                  <c:v>1009.172612427673</c:v>
                </c:pt>
                <c:pt idx="4">
                  <c:v>1009.172612427673</c:v>
                </c:pt>
                <c:pt idx="5">
                  <c:v>1009.172612427673</c:v>
                </c:pt>
                <c:pt idx="6">
                  <c:v>1009.172612427673</c:v>
                </c:pt>
                <c:pt idx="7">
                  <c:v>1009.172612427673</c:v>
                </c:pt>
                <c:pt idx="8">
                  <c:v>1009.172612427673</c:v>
                </c:pt>
                <c:pt idx="9">
                  <c:v>1009.172612427673</c:v>
                </c:pt>
                <c:pt idx="10">
                  <c:v>1009.172612427673</c:v>
                </c:pt>
                <c:pt idx="11">
                  <c:v>1009.172612427673</c:v>
                </c:pt>
                <c:pt idx="12">
                  <c:v>1009.172612427673</c:v>
                </c:pt>
                <c:pt idx="13">
                  <c:v>1009.172612427673</c:v>
                </c:pt>
                <c:pt idx="14">
                  <c:v>1009.172612427673</c:v>
                </c:pt>
                <c:pt idx="15">
                  <c:v>1009.172612427673</c:v>
                </c:pt>
                <c:pt idx="16">
                  <c:v>1009.172612427673</c:v>
                </c:pt>
                <c:pt idx="17">
                  <c:v>1009.172612427673</c:v>
                </c:pt>
                <c:pt idx="18">
                  <c:v>1009.172612427673</c:v>
                </c:pt>
                <c:pt idx="19">
                  <c:v>1009.172612427673</c:v>
                </c:pt>
                <c:pt idx="20">
                  <c:v>1009.172612427673</c:v>
                </c:pt>
                <c:pt idx="21">
                  <c:v>1009.172612427673</c:v>
                </c:pt>
                <c:pt idx="22">
                  <c:v>1009.172612427673</c:v>
                </c:pt>
                <c:pt idx="23">
                  <c:v>1009.172612427673</c:v>
                </c:pt>
                <c:pt idx="24">
                  <c:v>1009.172612427673</c:v>
                </c:pt>
                <c:pt idx="25">
                  <c:v>1009.172612427673</c:v>
                </c:pt>
                <c:pt idx="26">
                  <c:v>1009.172612427673</c:v>
                </c:pt>
                <c:pt idx="27">
                  <c:v>1009.172612427673</c:v>
                </c:pt>
                <c:pt idx="28">
                  <c:v>1009.172612427673</c:v>
                </c:pt>
                <c:pt idx="29">
                  <c:v>1009.172612427673</c:v>
                </c:pt>
                <c:pt idx="30">
                  <c:v>1009.172612427673</c:v>
                </c:pt>
                <c:pt idx="31">
                  <c:v>1009.172612427673</c:v>
                </c:pt>
                <c:pt idx="32">
                  <c:v>1009.172612427673</c:v>
                </c:pt>
                <c:pt idx="33">
                  <c:v>1009.172612427673</c:v>
                </c:pt>
                <c:pt idx="34">
                  <c:v>1009.172612427673</c:v>
                </c:pt>
                <c:pt idx="35">
                  <c:v>1009.172612427673</c:v>
                </c:pt>
                <c:pt idx="36">
                  <c:v>1009.172612427673</c:v>
                </c:pt>
                <c:pt idx="37">
                  <c:v>1009.172612427673</c:v>
                </c:pt>
                <c:pt idx="38">
                  <c:v>1009.172612427673</c:v>
                </c:pt>
                <c:pt idx="39">
                  <c:v>1009.172612427673</c:v>
                </c:pt>
                <c:pt idx="40">
                  <c:v>1009.172612427673</c:v>
                </c:pt>
                <c:pt idx="41">
                  <c:v>1009.172612427673</c:v>
                </c:pt>
                <c:pt idx="42">
                  <c:v>1009.172612427673</c:v>
                </c:pt>
                <c:pt idx="43">
                  <c:v>1009.172612427673</c:v>
                </c:pt>
                <c:pt idx="44">
                  <c:v>1009.172612427673</c:v>
                </c:pt>
                <c:pt idx="45">
                  <c:v>1009.172612427673</c:v>
                </c:pt>
                <c:pt idx="46">
                  <c:v>1009.172612427673</c:v>
                </c:pt>
                <c:pt idx="47">
                  <c:v>1009.172612427673</c:v>
                </c:pt>
                <c:pt idx="48">
                  <c:v>1009.172612427673</c:v>
                </c:pt>
                <c:pt idx="49">
                  <c:v>1009.172612427673</c:v>
                </c:pt>
                <c:pt idx="50">
                  <c:v>1009.172612427673</c:v>
                </c:pt>
                <c:pt idx="51">
                  <c:v>1009.172612427673</c:v>
                </c:pt>
                <c:pt idx="52">
                  <c:v>1009.172612427673</c:v>
                </c:pt>
                <c:pt idx="53">
                  <c:v>1009.172612427673</c:v>
                </c:pt>
                <c:pt idx="54">
                  <c:v>1009.172612427673</c:v>
                </c:pt>
                <c:pt idx="55">
                  <c:v>1009.172612427673</c:v>
                </c:pt>
                <c:pt idx="56">
                  <c:v>1009.172612427673</c:v>
                </c:pt>
                <c:pt idx="57">
                  <c:v>1009.172612427673</c:v>
                </c:pt>
                <c:pt idx="58">
                  <c:v>1009.172612427673</c:v>
                </c:pt>
                <c:pt idx="59">
                  <c:v>1009.172612427673</c:v>
                </c:pt>
                <c:pt idx="60">
                  <c:v>1009.172612427673</c:v>
                </c:pt>
                <c:pt idx="61">
                  <c:v>1009.172612427673</c:v>
                </c:pt>
                <c:pt idx="62">
                  <c:v>1009.172612427673</c:v>
                </c:pt>
                <c:pt idx="63">
                  <c:v>1009.172612427673</c:v>
                </c:pt>
                <c:pt idx="64">
                  <c:v>1009.172612427673</c:v>
                </c:pt>
                <c:pt idx="65">
                  <c:v>1009.172612427673</c:v>
                </c:pt>
                <c:pt idx="66">
                  <c:v>1009.172612427673</c:v>
                </c:pt>
                <c:pt idx="67">
                  <c:v>1009.172612427673</c:v>
                </c:pt>
                <c:pt idx="68">
                  <c:v>1009.172612427673</c:v>
                </c:pt>
                <c:pt idx="69">
                  <c:v>1009.172612427673</c:v>
                </c:pt>
                <c:pt idx="70">
                  <c:v>1009.172612427673</c:v>
                </c:pt>
                <c:pt idx="71">
                  <c:v>1009.172612427673</c:v>
                </c:pt>
                <c:pt idx="72">
                  <c:v>1009.172612427673</c:v>
                </c:pt>
                <c:pt idx="73">
                  <c:v>1009.172612427673</c:v>
                </c:pt>
                <c:pt idx="74">
                  <c:v>1009.172612427673</c:v>
                </c:pt>
                <c:pt idx="75">
                  <c:v>1009.172612427673</c:v>
                </c:pt>
                <c:pt idx="76">
                  <c:v>1009.172612427673</c:v>
                </c:pt>
                <c:pt idx="77">
                  <c:v>1009.172612427673</c:v>
                </c:pt>
                <c:pt idx="78">
                  <c:v>1009.172612427673</c:v>
                </c:pt>
                <c:pt idx="79">
                  <c:v>1009.172612427673</c:v>
                </c:pt>
                <c:pt idx="80">
                  <c:v>1009.172612427673</c:v>
                </c:pt>
                <c:pt idx="81">
                  <c:v>1009.172612427673</c:v>
                </c:pt>
                <c:pt idx="82">
                  <c:v>1009.172612427673</c:v>
                </c:pt>
                <c:pt idx="83">
                  <c:v>968.8057079305658</c:v>
                </c:pt>
                <c:pt idx="84">
                  <c:v>888.071898936352</c:v>
                </c:pt>
                <c:pt idx="85">
                  <c:v>807.3380899421382</c:v>
                </c:pt>
                <c:pt idx="86">
                  <c:v>726.6042809479243</c:v>
                </c:pt>
                <c:pt idx="87">
                  <c:v>645.8704719537106</c:v>
                </c:pt>
                <c:pt idx="88">
                  <c:v>565.1366629594968</c:v>
                </c:pt>
                <c:pt idx="89">
                  <c:v>484.4028539652829</c:v>
                </c:pt>
                <c:pt idx="90">
                  <c:v>403.6690449710691</c:v>
                </c:pt>
                <c:pt idx="91">
                  <c:v>322.9352359768552</c:v>
                </c:pt>
                <c:pt idx="92">
                  <c:v>242.2014269826415</c:v>
                </c:pt>
                <c:pt idx="93">
                  <c:v>161.4676179884276</c:v>
                </c:pt>
                <c:pt idx="94">
                  <c:v>80.73380899421385</c:v>
                </c:pt>
                <c:pt idx="95">
                  <c:v>1.13686837721616E-13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23108.57142857143</c:v>
                </c:pt>
                <c:pt idx="1">
                  <c:v>23108.57142857143</c:v>
                </c:pt>
                <c:pt idx="2">
                  <c:v>23108.57142857143</c:v>
                </c:pt>
                <c:pt idx="3">
                  <c:v>23108.57142857143</c:v>
                </c:pt>
                <c:pt idx="4">
                  <c:v>23108.57142857143</c:v>
                </c:pt>
                <c:pt idx="5">
                  <c:v>23108.57142857143</c:v>
                </c:pt>
                <c:pt idx="6">
                  <c:v>23108.57142857143</c:v>
                </c:pt>
                <c:pt idx="7">
                  <c:v>23108.57142857143</c:v>
                </c:pt>
                <c:pt idx="8">
                  <c:v>23108.57142857143</c:v>
                </c:pt>
                <c:pt idx="9">
                  <c:v>23108.57142857143</c:v>
                </c:pt>
                <c:pt idx="10">
                  <c:v>23108.57142857143</c:v>
                </c:pt>
                <c:pt idx="11">
                  <c:v>23108.57142857143</c:v>
                </c:pt>
                <c:pt idx="12">
                  <c:v>23108.57142857143</c:v>
                </c:pt>
                <c:pt idx="13">
                  <c:v>23108.57142857143</c:v>
                </c:pt>
                <c:pt idx="14">
                  <c:v>23108.57142857143</c:v>
                </c:pt>
                <c:pt idx="15">
                  <c:v>23108.57142857143</c:v>
                </c:pt>
                <c:pt idx="16">
                  <c:v>23108.57142857143</c:v>
                </c:pt>
                <c:pt idx="17">
                  <c:v>23108.57142857143</c:v>
                </c:pt>
                <c:pt idx="18">
                  <c:v>23108.57142857143</c:v>
                </c:pt>
                <c:pt idx="19">
                  <c:v>23108.57142857143</c:v>
                </c:pt>
                <c:pt idx="20">
                  <c:v>23108.57142857143</c:v>
                </c:pt>
                <c:pt idx="21">
                  <c:v>23108.57142857143</c:v>
                </c:pt>
                <c:pt idx="22">
                  <c:v>23108.57142857143</c:v>
                </c:pt>
                <c:pt idx="23">
                  <c:v>23108.57142857143</c:v>
                </c:pt>
                <c:pt idx="24">
                  <c:v>23108.57142857143</c:v>
                </c:pt>
                <c:pt idx="25">
                  <c:v>23108.57142857143</c:v>
                </c:pt>
                <c:pt idx="26">
                  <c:v>23079.54285714286</c:v>
                </c:pt>
                <c:pt idx="27">
                  <c:v>23050.51428571428</c:v>
                </c:pt>
                <c:pt idx="28">
                  <c:v>23021.48571428571</c:v>
                </c:pt>
                <c:pt idx="29">
                  <c:v>22992.45714285714</c:v>
                </c:pt>
                <c:pt idx="30">
                  <c:v>22963.42857142857</c:v>
                </c:pt>
                <c:pt idx="31">
                  <c:v>22934.4</c:v>
                </c:pt>
                <c:pt idx="32">
                  <c:v>22905.37142857143</c:v>
                </c:pt>
                <c:pt idx="33">
                  <c:v>22876.34285714286</c:v>
                </c:pt>
                <c:pt idx="34">
                  <c:v>22847.31428571428</c:v>
                </c:pt>
                <c:pt idx="35">
                  <c:v>22818.28571428571</c:v>
                </c:pt>
                <c:pt idx="36">
                  <c:v>22789.25714285714</c:v>
                </c:pt>
                <c:pt idx="37">
                  <c:v>22760.22857142857</c:v>
                </c:pt>
                <c:pt idx="38">
                  <c:v>22731.2</c:v>
                </c:pt>
                <c:pt idx="39">
                  <c:v>22702.17142857143</c:v>
                </c:pt>
                <c:pt idx="40">
                  <c:v>22673.14285714286</c:v>
                </c:pt>
                <c:pt idx="41">
                  <c:v>22644.11428571428</c:v>
                </c:pt>
                <c:pt idx="42">
                  <c:v>22615.08571428571</c:v>
                </c:pt>
                <c:pt idx="43">
                  <c:v>22586.05714285714</c:v>
                </c:pt>
                <c:pt idx="44">
                  <c:v>22557.02857142857</c:v>
                </c:pt>
                <c:pt idx="45">
                  <c:v>22528.0</c:v>
                </c:pt>
                <c:pt idx="46">
                  <c:v>22498.97142857143</c:v>
                </c:pt>
                <c:pt idx="47">
                  <c:v>22469.94285714286</c:v>
                </c:pt>
                <c:pt idx="48">
                  <c:v>22440.91428571428</c:v>
                </c:pt>
                <c:pt idx="49">
                  <c:v>22411.88571428571</c:v>
                </c:pt>
                <c:pt idx="50">
                  <c:v>22382.85714285714</c:v>
                </c:pt>
                <c:pt idx="51">
                  <c:v>22353.82857142857</c:v>
                </c:pt>
                <c:pt idx="52">
                  <c:v>22324.8</c:v>
                </c:pt>
                <c:pt idx="53">
                  <c:v>22295.77142857143</c:v>
                </c:pt>
                <c:pt idx="54">
                  <c:v>22266.74285714286</c:v>
                </c:pt>
                <c:pt idx="55">
                  <c:v>22237.71428571428</c:v>
                </c:pt>
                <c:pt idx="56">
                  <c:v>22208.68571428572</c:v>
                </c:pt>
                <c:pt idx="57">
                  <c:v>22179.65714285714</c:v>
                </c:pt>
                <c:pt idx="58">
                  <c:v>22150.62857142857</c:v>
                </c:pt>
                <c:pt idx="59">
                  <c:v>22121.6</c:v>
                </c:pt>
                <c:pt idx="60">
                  <c:v>22092.57142857143</c:v>
                </c:pt>
                <c:pt idx="61">
                  <c:v>22063.54285714286</c:v>
                </c:pt>
                <c:pt idx="62">
                  <c:v>22034.51428571428</c:v>
                </c:pt>
                <c:pt idx="63">
                  <c:v>21687.21428571428</c:v>
                </c:pt>
                <c:pt idx="64">
                  <c:v>21021.64285714286</c:v>
                </c:pt>
                <c:pt idx="65">
                  <c:v>20356.07142857143</c:v>
                </c:pt>
                <c:pt idx="66">
                  <c:v>19690.5</c:v>
                </c:pt>
                <c:pt idx="67">
                  <c:v>19024.92857142857</c:v>
                </c:pt>
                <c:pt idx="68">
                  <c:v>18359.35714285714</c:v>
                </c:pt>
                <c:pt idx="69">
                  <c:v>17693.78571428571</c:v>
                </c:pt>
                <c:pt idx="70">
                  <c:v>17028.21428571428</c:v>
                </c:pt>
                <c:pt idx="71">
                  <c:v>16362.64285714286</c:v>
                </c:pt>
                <c:pt idx="72">
                  <c:v>15697.07142857143</c:v>
                </c:pt>
                <c:pt idx="73">
                  <c:v>15031.5</c:v>
                </c:pt>
                <c:pt idx="74">
                  <c:v>14365.92857142857</c:v>
                </c:pt>
                <c:pt idx="75">
                  <c:v>13700.35714285714</c:v>
                </c:pt>
                <c:pt idx="76">
                  <c:v>13034.78571428571</c:v>
                </c:pt>
                <c:pt idx="77">
                  <c:v>12369.21428571429</c:v>
                </c:pt>
                <c:pt idx="78">
                  <c:v>11703.64285714286</c:v>
                </c:pt>
                <c:pt idx="79">
                  <c:v>11038.07142857143</c:v>
                </c:pt>
                <c:pt idx="80">
                  <c:v>10372.5</c:v>
                </c:pt>
                <c:pt idx="81">
                  <c:v>9706.928571428572</c:v>
                </c:pt>
                <c:pt idx="82">
                  <c:v>9041.357142857143</c:v>
                </c:pt>
                <c:pt idx="83">
                  <c:v>8665.028571428573</c:v>
                </c:pt>
                <c:pt idx="84">
                  <c:v>8577.942857142857</c:v>
                </c:pt>
                <c:pt idx="85">
                  <c:v>8490.857142857143</c:v>
                </c:pt>
                <c:pt idx="86">
                  <c:v>8403.771428571428</c:v>
                </c:pt>
                <c:pt idx="87">
                  <c:v>8316.685714285715</c:v>
                </c:pt>
                <c:pt idx="88">
                  <c:v>8229.6</c:v>
                </c:pt>
                <c:pt idx="89">
                  <c:v>8142.514285714286</c:v>
                </c:pt>
                <c:pt idx="90">
                  <c:v>8055.428571428571</c:v>
                </c:pt>
                <c:pt idx="91">
                  <c:v>7968.342857142858</c:v>
                </c:pt>
                <c:pt idx="92">
                  <c:v>7881.257142857143</c:v>
                </c:pt>
                <c:pt idx="93">
                  <c:v>7794.171428571428</c:v>
                </c:pt>
                <c:pt idx="94">
                  <c:v>7707.085714285714</c:v>
                </c:pt>
                <c:pt idx="95">
                  <c:v>7620.0</c:v>
                </c:pt>
                <c:pt idx="96">
                  <c:v>7620.0</c:v>
                </c:pt>
                <c:pt idx="97">
                  <c:v>7620.0</c:v>
                </c:pt>
                <c:pt idx="98">
                  <c:v>7620.0</c:v>
                </c:pt>
                <c:pt idx="99">
                  <c:v>7620.0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342.8571428571428</c:v>
                </c:pt>
                <c:pt idx="64">
                  <c:v>1028.571428571429</c:v>
                </c:pt>
                <c:pt idx="65">
                  <c:v>1714.285714285714</c:v>
                </c:pt>
                <c:pt idx="66">
                  <c:v>2400.0</c:v>
                </c:pt>
                <c:pt idx="67">
                  <c:v>3085.714285714285</c:v>
                </c:pt>
                <c:pt idx="68">
                  <c:v>3771.428571428571</c:v>
                </c:pt>
                <c:pt idx="69">
                  <c:v>4457.142857142857</c:v>
                </c:pt>
                <c:pt idx="70">
                  <c:v>5142.857142857143</c:v>
                </c:pt>
                <c:pt idx="71">
                  <c:v>5828.571428571428</c:v>
                </c:pt>
                <c:pt idx="72">
                  <c:v>6514.285714285714</c:v>
                </c:pt>
                <c:pt idx="73">
                  <c:v>7200.0</c:v>
                </c:pt>
                <c:pt idx="74">
                  <c:v>7885.714285714285</c:v>
                </c:pt>
                <c:pt idx="75">
                  <c:v>8571.428571428571</c:v>
                </c:pt>
                <c:pt idx="76">
                  <c:v>9257.142857142856</c:v>
                </c:pt>
                <c:pt idx="77">
                  <c:v>9942.857142857141</c:v>
                </c:pt>
                <c:pt idx="78">
                  <c:v>10628.57142857143</c:v>
                </c:pt>
                <c:pt idx="79">
                  <c:v>11314.28571428571</c:v>
                </c:pt>
                <c:pt idx="80">
                  <c:v>12000.0</c:v>
                </c:pt>
                <c:pt idx="81">
                  <c:v>12685.71428571429</c:v>
                </c:pt>
                <c:pt idx="82">
                  <c:v>13371.42857142857</c:v>
                </c:pt>
                <c:pt idx="83">
                  <c:v>14207.31428571428</c:v>
                </c:pt>
                <c:pt idx="84">
                  <c:v>15193.37142857143</c:v>
                </c:pt>
                <c:pt idx="85">
                  <c:v>16179.42857142857</c:v>
                </c:pt>
                <c:pt idx="86">
                  <c:v>17165.48571428571</c:v>
                </c:pt>
                <c:pt idx="87">
                  <c:v>18151.54285714286</c:v>
                </c:pt>
                <c:pt idx="88">
                  <c:v>19137.6</c:v>
                </c:pt>
                <c:pt idx="89">
                  <c:v>20123.65714285714</c:v>
                </c:pt>
                <c:pt idx="90">
                  <c:v>21109.71428571428</c:v>
                </c:pt>
                <c:pt idx="91">
                  <c:v>22095.77142857143</c:v>
                </c:pt>
                <c:pt idx="92">
                  <c:v>23081.82857142857</c:v>
                </c:pt>
                <c:pt idx="93">
                  <c:v>24067.88571428572</c:v>
                </c:pt>
                <c:pt idx="94">
                  <c:v>25053.94285714286</c:v>
                </c:pt>
                <c:pt idx="95">
                  <c:v>26040.0</c:v>
                </c:pt>
                <c:pt idx="96">
                  <c:v>26040.0</c:v>
                </c:pt>
                <c:pt idx="97">
                  <c:v>26040.0</c:v>
                </c:pt>
                <c:pt idx="98">
                  <c:v>26040.0</c:v>
                </c:pt>
                <c:pt idx="99">
                  <c:v>26040.0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1438664"/>
        <c:axId val="-2078180040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19286.70858741943</c:v>
                </c:pt>
                <c:pt idx="1">
                  <c:v>19286.70858741943</c:v>
                </c:pt>
                <c:pt idx="2">
                  <c:v>19286.70858741943</c:v>
                </c:pt>
                <c:pt idx="3">
                  <c:v>19286.70858741943</c:v>
                </c:pt>
                <c:pt idx="4">
                  <c:v>19286.70858741943</c:v>
                </c:pt>
                <c:pt idx="5">
                  <c:v>19286.70858741943</c:v>
                </c:pt>
                <c:pt idx="6">
                  <c:v>19286.70858741943</c:v>
                </c:pt>
                <c:pt idx="7">
                  <c:v>19286.70858741943</c:v>
                </c:pt>
                <c:pt idx="8">
                  <c:v>19286.70858741943</c:v>
                </c:pt>
                <c:pt idx="9">
                  <c:v>19286.70858741943</c:v>
                </c:pt>
                <c:pt idx="10">
                  <c:v>19286.70858741943</c:v>
                </c:pt>
                <c:pt idx="11">
                  <c:v>19286.70858741943</c:v>
                </c:pt>
                <c:pt idx="12">
                  <c:v>19286.70858741943</c:v>
                </c:pt>
                <c:pt idx="13">
                  <c:v>19286.70858741943</c:v>
                </c:pt>
                <c:pt idx="14">
                  <c:v>19286.70858741943</c:v>
                </c:pt>
                <c:pt idx="15">
                  <c:v>19286.70858741943</c:v>
                </c:pt>
                <c:pt idx="16">
                  <c:v>19286.70858741943</c:v>
                </c:pt>
                <c:pt idx="17">
                  <c:v>19286.70858741943</c:v>
                </c:pt>
                <c:pt idx="18">
                  <c:v>19286.70858741943</c:v>
                </c:pt>
                <c:pt idx="19">
                  <c:v>19286.70858741943</c:v>
                </c:pt>
                <c:pt idx="20">
                  <c:v>19286.70858741943</c:v>
                </c:pt>
                <c:pt idx="21">
                  <c:v>19286.70858741943</c:v>
                </c:pt>
                <c:pt idx="22">
                  <c:v>19286.70858741943</c:v>
                </c:pt>
                <c:pt idx="23">
                  <c:v>19286.70858741943</c:v>
                </c:pt>
                <c:pt idx="24">
                  <c:v>19286.70858741943</c:v>
                </c:pt>
                <c:pt idx="25">
                  <c:v>19286.70858741943</c:v>
                </c:pt>
                <c:pt idx="26">
                  <c:v>19286.70858741943</c:v>
                </c:pt>
                <c:pt idx="27">
                  <c:v>19286.70858741943</c:v>
                </c:pt>
                <c:pt idx="28">
                  <c:v>19286.70858741943</c:v>
                </c:pt>
                <c:pt idx="29">
                  <c:v>19286.70858741943</c:v>
                </c:pt>
                <c:pt idx="30">
                  <c:v>19286.70858741943</c:v>
                </c:pt>
                <c:pt idx="31">
                  <c:v>19286.70858741943</c:v>
                </c:pt>
                <c:pt idx="32">
                  <c:v>19286.70858741943</c:v>
                </c:pt>
                <c:pt idx="33">
                  <c:v>19286.70858741943</c:v>
                </c:pt>
                <c:pt idx="34">
                  <c:v>19286.70858741943</c:v>
                </c:pt>
                <c:pt idx="35">
                  <c:v>19286.70858741943</c:v>
                </c:pt>
                <c:pt idx="36">
                  <c:v>19286.70858741943</c:v>
                </c:pt>
                <c:pt idx="37">
                  <c:v>19286.70858741943</c:v>
                </c:pt>
                <c:pt idx="38">
                  <c:v>19286.70858741943</c:v>
                </c:pt>
                <c:pt idx="39">
                  <c:v>19286.70858741943</c:v>
                </c:pt>
                <c:pt idx="40">
                  <c:v>19286.70858741943</c:v>
                </c:pt>
                <c:pt idx="41">
                  <c:v>19286.70858741943</c:v>
                </c:pt>
                <c:pt idx="42">
                  <c:v>19286.70858741943</c:v>
                </c:pt>
                <c:pt idx="43">
                  <c:v>19286.70858741943</c:v>
                </c:pt>
                <c:pt idx="44">
                  <c:v>19286.70858741943</c:v>
                </c:pt>
                <c:pt idx="45">
                  <c:v>19286.70858741943</c:v>
                </c:pt>
                <c:pt idx="46">
                  <c:v>19286.70858741943</c:v>
                </c:pt>
                <c:pt idx="47">
                  <c:v>19286.70858741943</c:v>
                </c:pt>
                <c:pt idx="48">
                  <c:v>19286.70858741943</c:v>
                </c:pt>
                <c:pt idx="49">
                  <c:v>19286.70858741943</c:v>
                </c:pt>
                <c:pt idx="50">
                  <c:v>19286.70858741943</c:v>
                </c:pt>
                <c:pt idx="51">
                  <c:v>19286.70858741943</c:v>
                </c:pt>
                <c:pt idx="52">
                  <c:v>19286.70858741943</c:v>
                </c:pt>
                <c:pt idx="53">
                  <c:v>19286.70858741943</c:v>
                </c:pt>
                <c:pt idx="54">
                  <c:v>19286.70858741943</c:v>
                </c:pt>
                <c:pt idx="55">
                  <c:v>19286.70858741943</c:v>
                </c:pt>
                <c:pt idx="56">
                  <c:v>19286.70858741943</c:v>
                </c:pt>
                <c:pt idx="57">
                  <c:v>19286.70858741943</c:v>
                </c:pt>
                <c:pt idx="58">
                  <c:v>19286.70858741943</c:v>
                </c:pt>
                <c:pt idx="59">
                  <c:v>19286.70858741943</c:v>
                </c:pt>
                <c:pt idx="60">
                  <c:v>19286.70858741943</c:v>
                </c:pt>
                <c:pt idx="61">
                  <c:v>19286.70858741943</c:v>
                </c:pt>
                <c:pt idx="62">
                  <c:v>19286.70858741943</c:v>
                </c:pt>
                <c:pt idx="63">
                  <c:v>19286.70858741943</c:v>
                </c:pt>
                <c:pt idx="64">
                  <c:v>19286.70858741943</c:v>
                </c:pt>
                <c:pt idx="65">
                  <c:v>19286.70858741943</c:v>
                </c:pt>
                <c:pt idx="66">
                  <c:v>19286.70858741943</c:v>
                </c:pt>
                <c:pt idx="67">
                  <c:v>19286.70858741943</c:v>
                </c:pt>
                <c:pt idx="68">
                  <c:v>19286.70858741943</c:v>
                </c:pt>
                <c:pt idx="69">
                  <c:v>19286.70858741943</c:v>
                </c:pt>
                <c:pt idx="70">
                  <c:v>19286.70858741943</c:v>
                </c:pt>
                <c:pt idx="71">
                  <c:v>19286.70858741943</c:v>
                </c:pt>
                <c:pt idx="72">
                  <c:v>19286.70858741943</c:v>
                </c:pt>
                <c:pt idx="73">
                  <c:v>19286.70858741943</c:v>
                </c:pt>
                <c:pt idx="74">
                  <c:v>19286.70858741943</c:v>
                </c:pt>
                <c:pt idx="75">
                  <c:v>19286.70858741942</c:v>
                </c:pt>
                <c:pt idx="76">
                  <c:v>19286.70858741942</c:v>
                </c:pt>
                <c:pt idx="77">
                  <c:v>19286.70858741942</c:v>
                </c:pt>
                <c:pt idx="78">
                  <c:v>19286.70858741942</c:v>
                </c:pt>
                <c:pt idx="79">
                  <c:v>19286.70858741942</c:v>
                </c:pt>
                <c:pt idx="80">
                  <c:v>19286.70858741942</c:v>
                </c:pt>
                <c:pt idx="81">
                  <c:v>19286.70858741942</c:v>
                </c:pt>
                <c:pt idx="82">
                  <c:v>19286.70858741942</c:v>
                </c:pt>
                <c:pt idx="83">
                  <c:v>19286.70858741942</c:v>
                </c:pt>
                <c:pt idx="84">
                  <c:v>19286.70858741942</c:v>
                </c:pt>
                <c:pt idx="85">
                  <c:v>19286.70858741942</c:v>
                </c:pt>
                <c:pt idx="86">
                  <c:v>19286.70858741942</c:v>
                </c:pt>
                <c:pt idx="87">
                  <c:v>19286.70858741942</c:v>
                </c:pt>
                <c:pt idx="88">
                  <c:v>19286.70858741942</c:v>
                </c:pt>
                <c:pt idx="89">
                  <c:v>19286.70858741942</c:v>
                </c:pt>
                <c:pt idx="90">
                  <c:v>19286.70858741943</c:v>
                </c:pt>
                <c:pt idx="91">
                  <c:v>19286.70858741943</c:v>
                </c:pt>
                <c:pt idx="92">
                  <c:v>19286.70858741943</c:v>
                </c:pt>
                <c:pt idx="93">
                  <c:v>19286.70858741943</c:v>
                </c:pt>
                <c:pt idx="94">
                  <c:v>19286.70858741943</c:v>
                </c:pt>
                <c:pt idx="95">
                  <c:v>19286.70858741943</c:v>
                </c:pt>
                <c:pt idx="96">
                  <c:v>19286.70858741943</c:v>
                </c:pt>
                <c:pt idx="97">
                  <c:v>19286.70858741943</c:v>
                </c:pt>
                <c:pt idx="98">
                  <c:v>19286.70858741943</c:v>
                </c:pt>
                <c:pt idx="99">
                  <c:v>19286.70858741943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1438664"/>
        <c:axId val="-2078180040"/>
      </c:lineChart>
      <c:catAx>
        <c:axId val="-212143866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7818004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7818004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21438664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26816082347248"/>
          <c:y val="0.1875"/>
          <c:w val="0.993017309637971"/>
          <c:h val="0.7916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50.0</c:v>
                </c:pt>
                <c:pt idx="1">
                  <c:v>75.0</c:v>
                </c:pt>
                <c:pt idx="2">
                  <c:v>90.0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0.0</c:v>
                </c:pt>
                <c:pt idx="1">
                  <c:v>-7.612470402525662</c:v>
                </c:pt>
                <c:pt idx="2">
                  <c:v>-43.03330702446723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50.0</c:v>
                </c:pt>
                <c:pt idx="1">
                  <c:v>75.0</c:v>
                </c:pt>
                <c:pt idx="2">
                  <c:v>90.0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340.26</c:v>
                </c:pt>
                <c:pt idx="1">
                  <c:v>1182.714285714286</c:v>
                </c:pt>
                <c:pt idx="2">
                  <c:v>-1222.582857142857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50.0</c:v>
                </c:pt>
                <c:pt idx="1">
                  <c:v>75.0</c:v>
                </c:pt>
                <c:pt idx="2">
                  <c:v>90.0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50.0</c:v>
                </c:pt>
                <c:pt idx="1">
                  <c:v>75.0</c:v>
                </c:pt>
                <c:pt idx="2">
                  <c:v>90.0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50.0</c:v>
                </c:pt>
                <c:pt idx="1">
                  <c:v>75.0</c:v>
                </c:pt>
                <c:pt idx="2">
                  <c:v>90.0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0.0</c:v>
                </c:pt>
                <c:pt idx="1">
                  <c:v>-5.6843418860808E-15</c:v>
                </c:pt>
                <c:pt idx="2">
                  <c:v>-80.73380899421381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50.0</c:v>
                </c:pt>
                <c:pt idx="1">
                  <c:v>75.0</c:v>
                </c:pt>
                <c:pt idx="2">
                  <c:v>90.0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0.0</c:v>
                </c:pt>
                <c:pt idx="1">
                  <c:v>-665.5714285714286</c:v>
                </c:pt>
                <c:pt idx="2">
                  <c:v>-87.08571428571434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0230168"/>
        <c:axId val="-2121974472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50.0</c:v>
                </c:pt>
                <c:pt idx="1">
                  <c:v>75.0</c:v>
                </c:pt>
                <c:pt idx="2">
                  <c:v>90.0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0.0</c:v>
                </c:pt>
                <c:pt idx="1">
                  <c:v>39.10230156204085</c:v>
                </c:pt>
                <c:pt idx="2">
                  <c:v>21.65317901814769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50.0</c:v>
                </c:pt>
                <c:pt idx="1">
                  <c:v>75.0</c:v>
                </c:pt>
                <c:pt idx="2">
                  <c:v>90.0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50.0</c:v>
                </c:pt>
                <c:pt idx="1">
                  <c:v>75.0</c:v>
                </c:pt>
                <c:pt idx="2">
                  <c:v>90.0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0.0</c:v>
                </c:pt>
                <c:pt idx="1">
                  <c:v>935.3571428571428</c:v>
                </c:pt>
                <c:pt idx="2">
                  <c:v>343.4285714285719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50.0</c:v>
                </c:pt>
                <c:pt idx="1">
                  <c:v>75.0</c:v>
                </c:pt>
                <c:pt idx="2">
                  <c:v>90.0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0.0</c:v>
                </c:pt>
                <c:pt idx="1">
                  <c:v>-247.9999999999999</c:v>
                </c:pt>
                <c:pt idx="2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50.0</c:v>
                </c:pt>
                <c:pt idx="1">
                  <c:v>75.0</c:v>
                </c:pt>
                <c:pt idx="2">
                  <c:v>90.0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0.0</c:v>
                </c:pt>
                <c:pt idx="1">
                  <c:v>1097.142857142857</c:v>
                </c:pt>
                <c:pt idx="2">
                  <c:v>4292.571428571428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50.0</c:v>
                </c:pt>
                <c:pt idx="1">
                  <c:v>75.0</c:v>
                </c:pt>
                <c:pt idx="2">
                  <c:v>90.0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5016.0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50.0</c:v>
                </c:pt>
                <c:pt idx="1">
                  <c:v>75.0</c:v>
                </c:pt>
                <c:pt idx="2">
                  <c:v>90.0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0.0</c:v>
                </c:pt>
                <c:pt idx="1">
                  <c:v>685.7142857142857</c:v>
                </c:pt>
                <c:pt idx="2">
                  <c:v>986.057142857143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970904"/>
        <c:axId val="-2121369640"/>
      </c:scatterChart>
      <c:valAx>
        <c:axId val="-2050230168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21974472"/>
        <c:crosses val="autoZero"/>
        <c:crossBetween val="midCat"/>
      </c:valAx>
      <c:valAx>
        <c:axId val="-212197447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0230168"/>
        <c:crosses val="autoZero"/>
        <c:crossBetween val="midCat"/>
      </c:valAx>
      <c:valAx>
        <c:axId val="-2121970904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-2121369640"/>
        <c:crosses val="autoZero"/>
        <c:crossBetween val="midCat"/>
      </c:valAx>
      <c:valAx>
        <c:axId val="-2121369640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21970904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0000651822496"/>
          <c:y val="0.0385852090032154"/>
          <c:w val="0.981788861657194"/>
          <c:h val="0.9421231992303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708.823993685872</c:v>
                </c:pt>
                <c:pt idx="1">
                  <c:v>708.823993685872</c:v>
                </c:pt>
                <c:pt idx="2">
                  <c:v>708.823993685872</c:v>
                </c:pt>
                <c:pt idx="3">
                  <c:v>708.823993685872</c:v>
                </c:pt>
                <c:pt idx="4">
                  <c:v>708.823993685872</c:v>
                </c:pt>
                <c:pt idx="5">
                  <c:v>708.823993685872</c:v>
                </c:pt>
                <c:pt idx="6">
                  <c:v>708.823993685872</c:v>
                </c:pt>
                <c:pt idx="7">
                  <c:v>708.823993685872</c:v>
                </c:pt>
                <c:pt idx="8">
                  <c:v>708.823993685872</c:v>
                </c:pt>
                <c:pt idx="9">
                  <c:v>708.823993685872</c:v>
                </c:pt>
                <c:pt idx="10">
                  <c:v>708.823993685872</c:v>
                </c:pt>
                <c:pt idx="11">
                  <c:v>708.823993685872</c:v>
                </c:pt>
                <c:pt idx="12">
                  <c:v>708.823993685872</c:v>
                </c:pt>
                <c:pt idx="13">
                  <c:v>708.823993685872</c:v>
                </c:pt>
                <c:pt idx="14">
                  <c:v>708.823993685872</c:v>
                </c:pt>
                <c:pt idx="15">
                  <c:v>708.823993685872</c:v>
                </c:pt>
                <c:pt idx="16">
                  <c:v>708.823993685872</c:v>
                </c:pt>
                <c:pt idx="17">
                  <c:v>708.823993685872</c:v>
                </c:pt>
                <c:pt idx="18">
                  <c:v>708.823993685872</c:v>
                </c:pt>
                <c:pt idx="19">
                  <c:v>708.823993685872</c:v>
                </c:pt>
                <c:pt idx="20">
                  <c:v>708.823993685872</c:v>
                </c:pt>
                <c:pt idx="21">
                  <c:v>708.823993685872</c:v>
                </c:pt>
                <c:pt idx="22">
                  <c:v>708.823993685872</c:v>
                </c:pt>
                <c:pt idx="23">
                  <c:v>708.823993685872</c:v>
                </c:pt>
                <c:pt idx="24">
                  <c:v>708.823993685872</c:v>
                </c:pt>
                <c:pt idx="25">
                  <c:v>708.823993685872</c:v>
                </c:pt>
                <c:pt idx="26">
                  <c:v>741.855722178374</c:v>
                </c:pt>
                <c:pt idx="27">
                  <c:v>774.887450670876</c:v>
                </c:pt>
                <c:pt idx="28">
                  <c:v>807.919179163378</c:v>
                </c:pt>
                <c:pt idx="29">
                  <c:v>840.9509076558799</c:v>
                </c:pt>
                <c:pt idx="30">
                  <c:v>873.9826361483818</c:v>
                </c:pt>
                <c:pt idx="31">
                  <c:v>907.0143646408838</c:v>
                </c:pt>
                <c:pt idx="32">
                  <c:v>940.0460931333859</c:v>
                </c:pt>
                <c:pt idx="33">
                  <c:v>973.0778216258877</c:v>
                </c:pt>
                <c:pt idx="34">
                  <c:v>1006.10955011839</c:v>
                </c:pt>
                <c:pt idx="35">
                  <c:v>1039.141278610892</c:v>
                </c:pt>
                <c:pt idx="36">
                  <c:v>1072.173007103394</c:v>
                </c:pt>
                <c:pt idx="37">
                  <c:v>1105.204735595896</c:v>
                </c:pt>
                <c:pt idx="38">
                  <c:v>1138.236464088398</c:v>
                </c:pt>
                <c:pt idx="39">
                  <c:v>1171.2681925809</c:v>
                </c:pt>
                <c:pt idx="40">
                  <c:v>1204.299921073401</c:v>
                </c:pt>
                <c:pt idx="41">
                  <c:v>1237.331649565904</c:v>
                </c:pt>
                <c:pt idx="42">
                  <c:v>1270.363378058405</c:v>
                </c:pt>
                <c:pt idx="43">
                  <c:v>1303.395106550908</c:v>
                </c:pt>
                <c:pt idx="44">
                  <c:v>1336.426835043409</c:v>
                </c:pt>
                <c:pt idx="45">
                  <c:v>1369.458563535911</c:v>
                </c:pt>
                <c:pt idx="46">
                  <c:v>1402.490292028413</c:v>
                </c:pt>
                <c:pt idx="47">
                  <c:v>1435.522020520915</c:v>
                </c:pt>
                <c:pt idx="48">
                  <c:v>1468.553749013417</c:v>
                </c:pt>
                <c:pt idx="49">
                  <c:v>1501.585477505919</c:v>
                </c:pt>
                <c:pt idx="50">
                  <c:v>1534.617205998421</c:v>
                </c:pt>
                <c:pt idx="51">
                  <c:v>1567.648934490923</c:v>
                </c:pt>
                <c:pt idx="52">
                  <c:v>1600.680662983425</c:v>
                </c:pt>
                <c:pt idx="53">
                  <c:v>1633.712391475927</c:v>
                </c:pt>
                <c:pt idx="54">
                  <c:v>1666.744119968429</c:v>
                </c:pt>
                <c:pt idx="55">
                  <c:v>1699.775848460931</c:v>
                </c:pt>
                <c:pt idx="56">
                  <c:v>1732.807576953433</c:v>
                </c:pt>
                <c:pt idx="57">
                  <c:v>1765.839305445935</c:v>
                </c:pt>
                <c:pt idx="58">
                  <c:v>1798.871033938437</c:v>
                </c:pt>
                <c:pt idx="59">
                  <c:v>1831.90276243094</c:v>
                </c:pt>
                <c:pt idx="60">
                  <c:v>1864.934490923441</c:v>
                </c:pt>
                <c:pt idx="61">
                  <c:v>1897.966219415943</c:v>
                </c:pt>
                <c:pt idx="62">
                  <c:v>1930.997947908445</c:v>
                </c:pt>
                <c:pt idx="63">
                  <c:v>1943.707576953433</c:v>
                </c:pt>
                <c:pt idx="64">
                  <c:v>1936.095106550908</c:v>
                </c:pt>
                <c:pt idx="65">
                  <c:v>1928.482636148382</c:v>
                </c:pt>
                <c:pt idx="66">
                  <c:v>1920.870165745856</c:v>
                </c:pt>
                <c:pt idx="67">
                  <c:v>1913.257695343331</c:v>
                </c:pt>
                <c:pt idx="68">
                  <c:v>1905.645224940805</c:v>
                </c:pt>
                <c:pt idx="69">
                  <c:v>1898.032754538279</c:v>
                </c:pt>
                <c:pt idx="70">
                  <c:v>1890.420284135754</c:v>
                </c:pt>
                <c:pt idx="71">
                  <c:v>1882.807813733228</c:v>
                </c:pt>
                <c:pt idx="72">
                  <c:v>1875.195343330702</c:v>
                </c:pt>
                <c:pt idx="73">
                  <c:v>1867.582872928177</c:v>
                </c:pt>
                <c:pt idx="74">
                  <c:v>1859.970402525651</c:v>
                </c:pt>
                <c:pt idx="75">
                  <c:v>1852.357932123125</c:v>
                </c:pt>
                <c:pt idx="76">
                  <c:v>1844.7454617206</c:v>
                </c:pt>
                <c:pt idx="77">
                  <c:v>1837.132991318074</c:v>
                </c:pt>
                <c:pt idx="78">
                  <c:v>1829.520520915548</c:v>
                </c:pt>
                <c:pt idx="79">
                  <c:v>1821.908050513023</c:v>
                </c:pt>
                <c:pt idx="80">
                  <c:v>1814.295580110497</c:v>
                </c:pt>
                <c:pt idx="81">
                  <c:v>1806.683109707971</c:v>
                </c:pt>
                <c:pt idx="82">
                  <c:v>1799.070639305446</c:v>
                </c:pt>
                <c:pt idx="83">
                  <c:v>1773.74775059195</c:v>
                </c:pt>
                <c:pt idx="84">
                  <c:v>1730.714443567482</c:v>
                </c:pt>
                <c:pt idx="85">
                  <c:v>1687.681136543015</c:v>
                </c:pt>
                <c:pt idx="86">
                  <c:v>1644.647829518547</c:v>
                </c:pt>
                <c:pt idx="87">
                  <c:v>1601.61452249408</c:v>
                </c:pt>
                <c:pt idx="88">
                  <c:v>1558.581215469613</c:v>
                </c:pt>
                <c:pt idx="89">
                  <c:v>1515.547908445146</c:v>
                </c:pt>
                <c:pt idx="90">
                  <c:v>1472.514601420679</c:v>
                </c:pt>
                <c:pt idx="91">
                  <c:v>1429.481294396211</c:v>
                </c:pt>
                <c:pt idx="92">
                  <c:v>1386.447987371744</c:v>
                </c:pt>
                <c:pt idx="93">
                  <c:v>1343.414680347277</c:v>
                </c:pt>
                <c:pt idx="94">
                  <c:v>1300.38137332281</c:v>
                </c:pt>
                <c:pt idx="95">
                  <c:v>1257.348066298342</c:v>
                </c:pt>
                <c:pt idx="96">
                  <c:v>1363.708066298343</c:v>
                </c:pt>
                <c:pt idx="97">
                  <c:v>1470.068066298343</c:v>
                </c:pt>
                <c:pt idx="98">
                  <c:v>1576.428066298343</c:v>
                </c:pt>
                <c:pt idx="99">
                  <c:v>1682.788066298343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44.26666666666667</c:v>
                </c:pt>
                <c:pt idx="27">
                  <c:v>88.53333333333335</c:v>
                </c:pt>
                <c:pt idx="28">
                  <c:v>132.8</c:v>
                </c:pt>
                <c:pt idx="29">
                  <c:v>177.0666666666667</c:v>
                </c:pt>
                <c:pt idx="30">
                  <c:v>221.3333333333334</c:v>
                </c:pt>
                <c:pt idx="31">
                  <c:v>265.6</c:v>
                </c:pt>
                <c:pt idx="32">
                  <c:v>309.8666666666667</c:v>
                </c:pt>
                <c:pt idx="33">
                  <c:v>354.1333333333334</c:v>
                </c:pt>
                <c:pt idx="34">
                  <c:v>398.4</c:v>
                </c:pt>
                <c:pt idx="35">
                  <c:v>442.6666666666667</c:v>
                </c:pt>
                <c:pt idx="36">
                  <c:v>486.9333333333334</c:v>
                </c:pt>
                <c:pt idx="37">
                  <c:v>531.2</c:v>
                </c:pt>
                <c:pt idx="38">
                  <c:v>575.4666666666667</c:v>
                </c:pt>
                <c:pt idx="39">
                  <c:v>619.7333333333334</c:v>
                </c:pt>
                <c:pt idx="40">
                  <c:v>664.0000000000001</c:v>
                </c:pt>
                <c:pt idx="41">
                  <c:v>708.2666666666667</c:v>
                </c:pt>
                <c:pt idx="42">
                  <c:v>752.5333333333334</c:v>
                </c:pt>
                <c:pt idx="43">
                  <c:v>796.8000000000001</c:v>
                </c:pt>
                <c:pt idx="44">
                  <c:v>841.0666666666668</c:v>
                </c:pt>
                <c:pt idx="45">
                  <c:v>885.3333333333334</c:v>
                </c:pt>
                <c:pt idx="46">
                  <c:v>929.6000000000001</c:v>
                </c:pt>
                <c:pt idx="47">
                  <c:v>973.8666666666668</c:v>
                </c:pt>
                <c:pt idx="48">
                  <c:v>1018.133333333333</c:v>
                </c:pt>
                <c:pt idx="49">
                  <c:v>1062.4</c:v>
                </c:pt>
                <c:pt idx="50">
                  <c:v>1106.666666666667</c:v>
                </c:pt>
                <c:pt idx="51">
                  <c:v>1150.933333333333</c:v>
                </c:pt>
                <c:pt idx="52">
                  <c:v>1195.2</c:v>
                </c:pt>
                <c:pt idx="53">
                  <c:v>1239.466666666667</c:v>
                </c:pt>
                <c:pt idx="54">
                  <c:v>1283.733333333334</c:v>
                </c:pt>
                <c:pt idx="55">
                  <c:v>1328.0</c:v>
                </c:pt>
                <c:pt idx="56">
                  <c:v>1372.266666666667</c:v>
                </c:pt>
                <c:pt idx="57">
                  <c:v>1416.533333333334</c:v>
                </c:pt>
                <c:pt idx="58">
                  <c:v>1460.8</c:v>
                </c:pt>
                <c:pt idx="59">
                  <c:v>1505.066666666667</c:v>
                </c:pt>
                <c:pt idx="60">
                  <c:v>1549.333333333333</c:v>
                </c:pt>
                <c:pt idx="61">
                  <c:v>1593.6</c:v>
                </c:pt>
                <c:pt idx="62">
                  <c:v>1637.866666666667</c:v>
                </c:pt>
                <c:pt idx="63">
                  <c:v>2251.357142857143</c:v>
                </c:pt>
                <c:pt idx="64">
                  <c:v>3434.071428571428</c:v>
                </c:pt>
                <c:pt idx="65">
                  <c:v>4616.785714285714</c:v>
                </c:pt>
                <c:pt idx="66">
                  <c:v>5799.5</c:v>
                </c:pt>
                <c:pt idx="67">
                  <c:v>6982.214285714285</c:v>
                </c:pt>
                <c:pt idx="68">
                  <c:v>8164.92857142857</c:v>
                </c:pt>
                <c:pt idx="69">
                  <c:v>9347.642857142856</c:v>
                </c:pt>
                <c:pt idx="70">
                  <c:v>10530.35714285714</c:v>
                </c:pt>
                <c:pt idx="71">
                  <c:v>11713.07142857143</c:v>
                </c:pt>
                <c:pt idx="72">
                  <c:v>12895.78571428571</c:v>
                </c:pt>
                <c:pt idx="73">
                  <c:v>14078.5</c:v>
                </c:pt>
                <c:pt idx="74">
                  <c:v>15261.21428571428</c:v>
                </c:pt>
                <c:pt idx="75">
                  <c:v>16443.92857142857</c:v>
                </c:pt>
                <c:pt idx="76">
                  <c:v>17626.64285714286</c:v>
                </c:pt>
                <c:pt idx="77">
                  <c:v>18809.35714285714</c:v>
                </c:pt>
                <c:pt idx="78">
                  <c:v>19992.07142857143</c:v>
                </c:pt>
                <c:pt idx="79">
                  <c:v>21174.78571428571</c:v>
                </c:pt>
                <c:pt idx="80">
                  <c:v>22357.5</c:v>
                </c:pt>
                <c:pt idx="81">
                  <c:v>23540.21428571428</c:v>
                </c:pt>
                <c:pt idx="82">
                  <c:v>24722.92857142857</c:v>
                </c:pt>
                <c:pt idx="83">
                  <c:v>24702.99428571428</c:v>
                </c:pt>
                <c:pt idx="84">
                  <c:v>23480.41142857142</c:v>
                </c:pt>
                <c:pt idx="85">
                  <c:v>22257.82857142857</c:v>
                </c:pt>
                <c:pt idx="86">
                  <c:v>21035.24571428571</c:v>
                </c:pt>
                <c:pt idx="87">
                  <c:v>19812.66285714286</c:v>
                </c:pt>
                <c:pt idx="88">
                  <c:v>18590.08</c:v>
                </c:pt>
                <c:pt idx="89">
                  <c:v>17367.49714285714</c:v>
                </c:pt>
                <c:pt idx="90">
                  <c:v>16144.91428571429</c:v>
                </c:pt>
                <c:pt idx="91">
                  <c:v>14922.33142857143</c:v>
                </c:pt>
                <c:pt idx="92">
                  <c:v>13699.74857142857</c:v>
                </c:pt>
                <c:pt idx="93">
                  <c:v>12477.16571428571</c:v>
                </c:pt>
                <c:pt idx="94">
                  <c:v>11254.58285714286</c:v>
                </c:pt>
                <c:pt idx="95">
                  <c:v>10032.0</c:v>
                </c:pt>
                <c:pt idx="96">
                  <c:v>10756.86</c:v>
                </c:pt>
                <c:pt idx="97">
                  <c:v>11481.72</c:v>
                </c:pt>
                <c:pt idx="98">
                  <c:v>12206.58</c:v>
                </c:pt>
                <c:pt idx="99">
                  <c:v>12931.44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85.83267561168114</c:v>
                </c:pt>
                <c:pt idx="1">
                  <c:v>85.83267561168114</c:v>
                </c:pt>
                <c:pt idx="2">
                  <c:v>85.83267561168114</c:v>
                </c:pt>
                <c:pt idx="3">
                  <c:v>85.83267561168114</c:v>
                </c:pt>
                <c:pt idx="4">
                  <c:v>85.83267561168114</c:v>
                </c:pt>
                <c:pt idx="5">
                  <c:v>85.83267561168114</c:v>
                </c:pt>
                <c:pt idx="6">
                  <c:v>85.83267561168114</c:v>
                </c:pt>
                <c:pt idx="7">
                  <c:v>85.83267561168114</c:v>
                </c:pt>
                <c:pt idx="8">
                  <c:v>85.83267561168114</c:v>
                </c:pt>
                <c:pt idx="9">
                  <c:v>85.83267561168114</c:v>
                </c:pt>
                <c:pt idx="10">
                  <c:v>85.83267561168114</c:v>
                </c:pt>
                <c:pt idx="11">
                  <c:v>85.83267561168114</c:v>
                </c:pt>
                <c:pt idx="12">
                  <c:v>85.83267561168114</c:v>
                </c:pt>
                <c:pt idx="13">
                  <c:v>85.83267561168114</c:v>
                </c:pt>
                <c:pt idx="14">
                  <c:v>85.83267561168114</c:v>
                </c:pt>
                <c:pt idx="15">
                  <c:v>85.83267561168114</c:v>
                </c:pt>
                <c:pt idx="16">
                  <c:v>85.83267561168114</c:v>
                </c:pt>
                <c:pt idx="17">
                  <c:v>85.83267561168114</c:v>
                </c:pt>
                <c:pt idx="18">
                  <c:v>85.83267561168114</c:v>
                </c:pt>
                <c:pt idx="19">
                  <c:v>85.83267561168114</c:v>
                </c:pt>
                <c:pt idx="20">
                  <c:v>85.83267561168114</c:v>
                </c:pt>
                <c:pt idx="21">
                  <c:v>85.83267561168114</c:v>
                </c:pt>
                <c:pt idx="22">
                  <c:v>85.83267561168114</c:v>
                </c:pt>
                <c:pt idx="23">
                  <c:v>85.83267561168114</c:v>
                </c:pt>
                <c:pt idx="24">
                  <c:v>85.83267561168114</c:v>
                </c:pt>
                <c:pt idx="25">
                  <c:v>85.83267561168114</c:v>
                </c:pt>
                <c:pt idx="26">
                  <c:v>94.4986505112584</c:v>
                </c:pt>
                <c:pt idx="27">
                  <c:v>103.1646254108357</c:v>
                </c:pt>
                <c:pt idx="28">
                  <c:v>111.830600310413</c:v>
                </c:pt>
                <c:pt idx="29">
                  <c:v>120.4965752099902</c:v>
                </c:pt>
                <c:pt idx="30">
                  <c:v>129.1625501095675</c:v>
                </c:pt>
                <c:pt idx="31">
                  <c:v>137.8285250091448</c:v>
                </c:pt>
                <c:pt idx="32">
                  <c:v>146.494499908722</c:v>
                </c:pt>
                <c:pt idx="33">
                  <c:v>155.1604748082993</c:v>
                </c:pt>
                <c:pt idx="34">
                  <c:v>163.8264497078766</c:v>
                </c:pt>
                <c:pt idx="35">
                  <c:v>172.4924246074539</c:v>
                </c:pt>
                <c:pt idx="36">
                  <c:v>181.1583995070311</c:v>
                </c:pt>
                <c:pt idx="37">
                  <c:v>189.8243744066084</c:v>
                </c:pt>
                <c:pt idx="38">
                  <c:v>198.4903493061857</c:v>
                </c:pt>
                <c:pt idx="39">
                  <c:v>207.1563242057629</c:v>
                </c:pt>
                <c:pt idx="40">
                  <c:v>215.8222991053402</c:v>
                </c:pt>
                <c:pt idx="41">
                  <c:v>224.4882740049175</c:v>
                </c:pt>
                <c:pt idx="42">
                  <c:v>233.1542489044947</c:v>
                </c:pt>
                <c:pt idx="43">
                  <c:v>241.820223804072</c:v>
                </c:pt>
                <c:pt idx="44">
                  <c:v>250.4861987036493</c:v>
                </c:pt>
                <c:pt idx="45">
                  <c:v>259.1521736032265</c:v>
                </c:pt>
                <c:pt idx="46">
                  <c:v>267.8181485028039</c:v>
                </c:pt>
                <c:pt idx="47">
                  <c:v>276.4841234023811</c:v>
                </c:pt>
                <c:pt idx="48">
                  <c:v>285.1500983019584</c:v>
                </c:pt>
                <c:pt idx="49">
                  <c:v>293.8160732015357</c:v>
                </c:pt>
                <c:pt idx="50">
                  <c:v>302.4820481011129</c:v>
                </c:pt>
                <c:pt idx="51">
                  <c:v>311.1480230006902</c:v>
                </c:pt>
                <c:pt idx="52">
                  <c:v>319.8139979002675</c:v>
                </c:pt>
                <c:pt idx="53">
                  <c:v>328.4799727998447</c:v>
                </c:pt>
                <c:pt idx="54">
                  <c:v>337.145947699422</c:v>
                </c:pt>
                <c:pt idx="55">
                  <c:v>345.8119225989993</c:v>
                </c:pt>
                <c:pt idx="56">
                  <c:v>354.4778974985766</c:v>
                </c:pt>
                <c:pt idx="57">
                  <c:v>363.1438723981538</c:v>
                </c:pt>
                <c:pt idx="58">
                  <c:v>371.8098472977311</c:v>
                </c:pt>
                <c:pt idx="59">
                  <c:v>380.4758221973084</c:v>
                </c:pt>
                <c:pt idx="60">
                  <c:v>389.1417970968856</c:v>
                </c:pt>
                <c:pt idx="61">
                  <c:v>397.8077719964629</c:v>
                </c:pt>
                <c:pt idx="62">
                  <c:v>406.4737468960402</c:v>
                </c:pt>
                <c:pt idx="63">
                  <c:v>430.3578851268491</c:v>
                </c:pt>
                <c:pt idx="64">
                  <c:v>469.4601866888901</c:v>
                </c:pt>
                <c:pt idx="65">
                  <c:v>508.5624882509309</c:v>
                </c:pt>
                <c:pt idx="66">
                  <c:v>547.6647898129718</c:v>
                </c:pt>
                <c:pt idx="67">
                  <c:v>586.7670913750126</c:v>
                </c:pt>
                <c:pt idx="68">
                  <c:v>625.8693929370534</c:v>
                </c:pt>
                <c:pt idx="69">
                  <c:v>664.9716944990943</c:v>
                </c:pt>
                <c:pt idx="70">
                  <c:v>704.073996061135</c:v>
                </c:pt>
                <c:pt idx="71">
                  <c:v>743.176297623176</c:v>
                </c:pt>
                <c:pt idx="72">
                  <c:v>782.2785991852169</c:v>
                </c:pt>
                <c:pt idx="73">
                  <c:v>821.3809007472576</c:v>
                </c:pt>
                <c:pt idx="74">
                  <c:v>860.4832023092986</c:v>
                </c:pt>
                <c:pt idx="75">
                  <c:v>899.5855038713393</c:v>
                </c:pt>
                <c:pt idx="76">
                  <c:v>938.6878054333802</c:v>
                </c:pt>
                <c:pt idx="77">
                  <c:v>977.7901069954211</c:v>
                </c:pt>
                <c:pt idx="78">
                  <c:v>1016.892408557462</c:v>
                </c:pt>
                <c:pt idx="79">
                  <c:v>1055.994710119503</c:v>
                </c:pt>
                <c:pt idx="80">
                  <c:v>1095.097011681544</c:v>
                </c:pt>
                <c:pt idx="81">
                  <c:v>1134.199313243585</c:v>
                </c:pt>
                <c:pt idx="82">
                  <c:v>1173.301614805625</c:v>
                </c:pt>
                <c:pt idx="83">
                  <c:v>1203.67935509572</c:v>
                </c:pt>
                <c:pt idx="84">
                  <c:v>1225.332534113867</c:v>
                </c:pt>
                <c:pt idx="85">
                  <c:v>1246.985713132015</c:v>
                </c:pt>
                <c:pt idx="86">
                  <c:v>1268.638892150163</c:v>
                </c:pt>
                <c:pt idx="87">
                  <c:v>1290.29207116831</c:v>
                </c:pt>
                <c:pt idx="88">
                  <c:v>1311.945250186458</c:v>
                </c:pt>
                <c:pt idx="89">
                  <c:v>1333.598429204606</c:v>
                </c:pt>
                <c:pt idx="90">
                  <c:v>1355.251608222753</c:v>
                </c:pt>
                <c:pt idx="91">
                  <c:v>1376.904787240901</c:v>
                </c:pt>
                <c:pt idx="92">
                  <c:v>1398.557966259049</c:v>
                </c:pt>
                <c:pt idx="93">
                  <c:v>1420.211145277196</c:v>
                </c:pt>
                <c:pt idx="94">
                  <c:v>1441.864324295344</c:v>
                </c:pt>
                <c:pt idx="95">
                  <c:v>1463.517503313492</c:v>
                </c:pt>
                <c:pt idx="96">
                  <c:v>1471.948503313492</c:v>
                </c:pt>
                <c:pt idx="97">
                  <c:v>1480.379503313492</c:v>
                </c:pt>
                <c:pt idx="98">
                  <c:v>1488.810503313492</c:v>
                </c:pt>
                <c:pt idx="99">
                  <c:v>1497.241503313492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1285.714285714286</c:v>
                </c:pt>
                <c:pt idx="1">
                  <c:v>1285.714285714286</c:v>
                </c:pt>
                <c:pt idx="2">
                  <c:v>1285.714285714286</c:v>
                </c:pt>
                <c:pt idx="3">
                  <c:v>1285.714285714286</c:v>
                </c:pt>
                <c:pt idx="4">
                  <c:v>1285.714285714286</c:v>
                </c:pt>
                <c:pt idx="5">
                  <c:v>1285.714285714286</c:v>
                </c:pt>
                <c:pt idx="6">
                  <c:v>1285.714285714286</c:v>
                </c:pt>
                <c:pt idx="7">
                  <c:v>1285.714285714286</c:v>
                </c:pt>
                <c:pt idx="8">
                  <c:v>1285.714285714286</c:v>
                </c:pt>
                <c:pt idx="9">
                  <c:v>1285.714285714286</c:v>
                </c:pt>
                <c:pt idx="10">
                  <c:v>1285.714285714286</c:v>
                </c:pt>
                <c:pt idx="11">
                  <c:v>1285.714285714286</c:v>
                </c:pt>
                <c:pt idx="12">
                  <c:v>1285.714285714286</c:v>
                </c:pt>
                <c:pt idx="13">
                  <c:v>1285.714285714286</c:v>
                </c:pt>
                <c:pt idx="14">
                  <c:v>1285.714285714286</c:v>
                </c:pt>
                <c:pt idx="15">
                  <c:v>1285.714285714286</c:v>
                </c:pt>
                <c:pt idx="16">
                  <c:v>1285.714285714286</c:v>
                </c:pt>
                <c:pt idx="17">
                  <c:v>1285.714285714286</c:v>
                </c:pt>
                <c:pt idx="18">
                  <c:v>1285.714285714286</c:v>
                </c:pt>
                <c:pt idx="19">
                  <c:v>1285.714285714286</c:v>
                </c:pt>
                <c:pt idx="20">
                  <c:v>1285.714285714286</c:v>
                </c:pt>
                <c:pt idx="21">
                  <c:v>1285.714285714286</c:v>
                </c:pt>
                <c:pt idx="22">
                  <c:v>1285.714285714286</c:v>
                </c:pt>
                <c:pt idx="23">
                  <c:v>1285.714285714286</c:v>
                </c:pt>
                <c:pt idx="24">
                  <c:v>1285.714285714286</c:v>
                </c:pt>
                <c:pt idx="25">
                  <c:v>1285.714285714286</c:v>
                </c:pt>
                <c:pt idx="26">
                  <c:v>1511.428571428572</c:v>
                </c:pt>
                <c:pt idx="27">
                  <c:v>1737.142857142857</c:v>
                </c:pt>
                <c:pt idx="28">
                  <c:v>1962.857142857143</c:v>
                </c:pt>
                <c:pt idx="29">
                  <c:v>2188.571428571428</c:v>
                </c:pt>
                <c:pt idx="30">
                  <c:v>2414.285714285714</c:v>
                </c:pt>
                <c:pt idx="31">
                  <c:v>2640.0</c:v>
                </c:pt>
                <c:pt idx="32">
                  <c:v>2865.714285714285</c:v>
                </c:pt>
                <c:pt idx="33">
                  <c:v>3091.428571428571</c:v>
                </c:pt>
                <c:pt idx="34">
                  <c:v>3317.142857142857</c:v>
                </c:pt>
                <c:pt idx="35">
                  <c:v>3542.857142857142</c:v>
                </c:pt>
                <c:pt idx="36">
                  <c:v>3768.571428571428</c:v>
                </c:pt>
                <c:pt idx="37">
                  <c:v>3994.285714285714</c:v>
                </c:pt>
                <c:pt idx="38">
                  <c:v>4220.0</c:v>
                </c:pt>
                <c:pt idx="39">
                  <c:v>4445.714285714284</c:v>
                </c:pt>
                <c:pt idx="40">
                  <c:v>4671.42857142857</c:v>
                </c:pt>
                <c:pt idx="41">
                  <c:v>4897.142857142857</c:v>
                </c:pt>
                <c:pt idx="42">
                  <c:v>5122.857142857142</c:v>
                </c:pt>
                <c:pt idx="43">
                  <c:v>5348.571428571427</c:v>
                </c:pt>
                <c:pt idx="44">
                  <c:v>5574.285714285714</c:v>
                </c:pt>
                <c:pt idx="45">
                  <c:v>5800.0</c:v>
                </c:pt>
                <c:pt idx="46">
                  <c:v>6025.714285714284</c:v>
                </c:pt>
                <c:pt idx="47">
                  <c:v>6251.42857142857</c:v>
                </c:pt>
                <c:pt idx="48">
                  <c:v>6477.142857142857</c:v>
                </c:pt>
                <c:pt idx="49">
                  <c:v>6702.857142857141</c:v>
                </c:pt>
                <c:pt idx="50">
                  <c:v>6928.571428571427</c:v>
                </c:pt>
                <c:pt idx="51">
                  <c:v>7154.285714285714</c:v>
                </c:pt>
                <c:pt idx="52">
                  <c:v>7379.999999999998</c:v>
                </c:pt>
                <c:pt idx="53">
                  <c:v>7605.714285714284</c:v>
                </c:pt>
                <c:pt idx="54">
                  <c:v>7831.42857142857</c:v>
                </c:pt>
                <c:pt idx="55">
                  <c:v>8057.142857142855</c:v>
                </c:pt>
                <c:pt idx="56">
                  <c:v>8282.857142857141</c:v>
                </c:pt>
                <c:pt idx="57">
                  <c:v>8508.571428571427</c:v>
                </c:pt>
                <c:pt idx="58">
                  <c:v>8734.285714285712</c:v>
                </c:pt>
                <c:pt idx="59">
                  <c:v>8959.999999999998</c:v>
                </c:pt>
                <c:pt idx="60">
                  <c:v>9185.714285714284</c:v>
                </c:pt>
                <c:pt idx="61">
                  <c:v>9411.428571428571</c:v>
                </c:pt>
                <c:pt idx="62">
                  <c:v>9637.142857142855</c:v>
                </c:pt>
                <c:pt idx="63">
                  <c:v>10217.67857142857</c:v>
                </c:pt>
                <c:pt idx="64">
                  <c:v>11153.03571428571</c:v>
                </c:pt>
                <c:pt idx="65">
                  <c:v>12088.39285714286</c:v>
                </c:pt>
                <c:pt idx="66">
                  <c:v>13023.75</c:v>
                </c:pt>
                <c:pt idx="67">
                  <c:v>13959.10714285714</c:v>
                </c:pt>
                <c:pt idx="68">
                  <c:v>14894.46428571428</c:v>
                </c:pt>
                <c:pt idx="69">
                  <c:v>15829.82142857143</c:v>
                </c:pt>
                <c:pt idx="70">
                  <c:v>16765.17857142857</c:v>
                </c:pt>
                <c:pt idx="71">
                  <c:v>17700.53571428571</c:v>
                </c:pt>
                <c:pt idx="72">
                  <c:v>18635.89285714286</c:v>
                </c:pt>
                <c:pt idx="73">
                  <c:v>19571.25</c:v>
                </c:pt>
                <c:pt idx="74">
                  <c:v>20506.60714285714</c:v>
                </c:pt>
                <c:pt idx="75">
                  <c:v>21441.96428571428</c:v>
                </c:pt>
                <c:pt idx="76">
                  <c:v>22377.32142857143</c:v>
                </c:pt>
                <c:pt idx="77">
                  <c:v>23312.67857142857</c:v>
                </c:pt>
                <c:pt idx="78">
                  <c:v>24248.03571428571</c:v>
                </c:pt>
                <c:pt idx="79">
                  <c:v>25183.39285714286</c:v>
                </c:pt>
                <c:pt idx="80">
                  <c:v>26118.75</c:v>
                </c:pt>
                <c:pt idx="81">
                  <c:v>27054.10714285714</c:v>
                </c:pt>
                <c:pt idx="82">
                  <c:v>27989.46428571428</c:v>
                </c:pt>
                <c:pt idx="83">
                  <c:v>28628.85714285714</c:v>
                </c:pt>
                <c:pt idx="84">
                  <c:v>28972.28571428571</c:v>
                </c:pt>
                <c:pt idx="85">
                  <c:v>29315.71428571428</c:v>
                </c:pt>
                <c:pt idx="86">
                  <c:v>29659.14285714285</c:v>
                </c:pt>
                <c:pt idx="87">
                  <c:v>30002.57142857142</c:v>
                </c:pt>
                <c:pt idx="88">
                  <c:v>30346</c:v>
                </c:pt>
                <c:pt idx="89">
                  <c:v>30689.42857142857</c:v>
                </c:pt>
                <c:pt idx="90">
                  <c:v>31032.85714285714</c:v>
                </c:pt>
                <c:pt idx="91">
                  <c:v>31376.28571428571</c:v>
                </c:pt>
                <c:pt idx="92">
                  <c:v>31719.71428571428</c:v>
                </c:pt>
                <c:pt idx="93">
                  <c:v>32063.14285714286</c:v>
                </c:pt>
                <c:pt idx="94">
                  <c:v>32406.57142857143</c:v>
                </c:pt>
                <c:pt idx="95">
                  <c:v>32750.0</c:v>
                </c:pt>
                <c:pt idx="96">
                  <c:v>32750.0</c:v>
                </c:pt>
                <c:pt idx="97">
                  <c:v>32750.0</c:v>
                </c:pt>
                <c:pt idx="98">
                  <c:v>32750.0</c:v>
                </c:pt>
                <c:pt idx="99">
                  <c:v>32750.0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52.18999999999988</c:v>
                </c:pt>
                <c:pt idx="97">
                  <c:v>104.3799999999998</c:v>
                </c:pt>
                <c:pt idx="98">
                  <c:v>156.5699999999997</c:v>
                </c:pt>
                <c:pt idx="99">
                  <c:v>208.7599999999995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7428.571428571428</c:v>
                </c:pt>
                <c:pt idx="1">
                  <c:v>7428.571428571428</c:v>
                </c:pt>
                <c:pt idx="2">
                  <c:v>7428.571428571428</c:v>
                </c:pt>
                <c:pt idx="3">
                  <c:v>7428.571428571428</c:v>
                </c:pt>
                <c:pt idx="4">
                  <c:v>7428.571428571428</c:v>
                </c:pt>
                <c:pt idx="5">
                  <c:v>7428.571428571428</c:v>
                </c:pt>
                <c:pt idx="6">
                  <c:v>7428.571428571428</c:v>
                </c:pt>
                <c:pt idx="7">
                  <c:v>7428.571428571428</c:v>
                </c:pt>
                <c:pt idx="8">
                  <c:v>7428.571428571428</c:v>
                </c:pt>
                <c:pt idx="9">
                  <c:v>7428.571428571428</c:v>
                </c:pt>
                <c:pt idx="10">
                  <c:v>7428.571428571428</c:v>
                </c:pt>
                <c:pt idx="11">
                  <c:v>7428.571428571428</c:v>
                </c:pt>
                <c:pt idx="12">
                  <c:v>7428.571428571428</c:v>
                </c:pt>
                <c:pt idx="13">
                  <c:v>7428.571428571428</c:v>
                </c:pt>
                <c:pt idx="14">
                  <c:v>7428.571428571428</c:v>
                </c:pt>
                <c:pt idx="15">
                  <c:v>7428.571428571428</c:v>
                </c:pt>
                <c:pt idx="16">
                  <c:v>7428.571428571428</c:v>
                </c:pt>
                <c:pt idx="17">
                  <c:v>7428.571428571428</c:v>
                </c:pt>
                <c:pt idx="18">
                  <c:v>7428.571428571428</c:v>
                </c:pt>
                <c:pt idx="19">
                  <c:v>7428.571428571428</c:v>
                </c:pt>
                <c:pt idx="20">
                  <c:v>7428.571428571428</c:v>
                </c:pt>
                <c:pt idx="21">
                  <c:v>7428.571428571428</c:v>
                </c:pt>
                <c:pt idx="22">
                  <c:v>7428.571428571428</c:v>
                </c:pt>
                <c:pt idx="23">
                  <c:v>7428.571428571428</c:v>
                </c:pt>
                <c:pt idx="24">
                  <c:v>7428.571428571428</c:v>
                </c:pt>
                <c:pt idx="25">
                  <c:v>7428.571428571428</c:v>
                </c:pt>
                <c:pt idx="26">
                  <c:v>7362.742857142857</c:v>
                </c:pt>
                <c:pt idx="27">
                  <c:v>7296.914285714285</c:v>
                </c:pt>
                <c:pt idx="28">
                  <c:v>7231.085714285714</c:v>
                </c:pt>
                <c:pt idx="29">
                  <c:v>7165.257142857143</c:v>
                </c:pt>
                <c:pt idx="30">
                  <c:v>7099.428571428571</c:v>
                </c:pt>
                <c:pt idx="31">
                  <c:v>7033.6</c:v>
                </c:pt>
                <c:pt idx="32">
                  <c:v>6967.771428571428</c:v>
                </c:pt>
                <c:pt idx="33">
                  <c:v>6901.942857142857</c:v>
                </c:pt>
                <c:pt idx="34">
                  <c:v>6836.114285714286</c:v>
                </c:pt>
                <c:pt idx="35">
                  <c:v>6770.285714285714</c:v>
                </c:pt>
                <c:pt idx="36">
                  <c:v>6704.457142857143</c:v>
                </c:pt>
                <c:pt idx="37">
                  <c:v>6638.62857142857</c:v>
                </c:pt>
                <c:pt idx="38">
                  <c:v>6572.8</c:v>
                </c:pt>
                <c:pt idx="39">
                  <c:v>6506.971428571428</c:v>
                </c:pt>
                <c:pt idx="40">
                  <c:v>6441.142857142857</c:v>
                </c:pt>
                <c:pt idx="41">
                  <c:v>6375.314285714285</c:v>
                </c:pt>
                <c:pt idx="42">
                  <c:v>6309.485714285714</c:v>
                </c:pt>
                <c:pt idx="43">
                  <c:v>6243.657142857142</c:v>
                </c:pt>
                <c:pt idx="44">
                  <c:v>6177.82857142857</c:v>
                </c:pt>
                <c:pt idx="45">
                  <c:v>6112.0</c:v>
                </c:pt>
                <c:pt idx="46">
                  <c:v>6046.171428571427</c:v>
                </c:pt>
                <c:pt idx="47">
                  <c:v>5980.342857142857</c:v>
                </c:pt>
                <c:pt idx="48">
                  <c:v>5914.514285714286</c:v>
                </c:pt>
                <c:pt idx="49">
                  <c:v>5848.685714285713</c:v>
                </c:pt>
                <c:pt idx="50">
                  <c:v>5782.857142857142</c:v>
                </c:pt>
                <c:pt idx="51">
                  <c:v>5717.02857142857</c:v>
                </c:pt>
                <c:pt idx="52">
                  <c:v>5651.199999999998</c:v>
                </c:pt>
                <c:pt idx="53">
                  <c:v>5585.371428571427</c:v>
                </c:pt>
                <c:pt idx="54">
                  <c:v>5519.542857142857</c:v>
                </c:pt>
                <c:pt idx="55">
                  <c:v>5453.714285714284</c:v>
                </c:pt>
                <c:pt idx="56">
                  <c:v>5387.885714285713</c:v>
                </c:pt>
                <c:pt idx="57">
                  <c:v>5322.057142857142</c:v>
                </c:pt>
                <c:pt idx="58">
                  <c:v>5256.22857142857</c:v>
                </c:pt>
                <c:pt idx="59">
                  <c:v>5190.4</c:v>
                </c:pt>
                <c:pt idx="60">
                  <c:v>5124.571428571427</c:v>
                </c:pt>
                <c:pt idx="61">
                  <c:v>5058.742857142856</c:v>
                </c:pt>
                <c:pt idx="62">
                  <c:v>4992.914285714285</c:v>
                </c:pt>
                <c:pt idx="63">
                  <c:v>4836</c:v>
                </c:pt>
                <c:pt idx="64">
                  <c:v>4588</c:v>
                </c:pt>
                <c:pt idx="65">
                  <c:v>434</c:v>
                </c:pt>
                <c:pt idx="66">
                  <c:v>4092</c:v>
                </c:pt>
                <c:pt idx="67">
                  <c:v>3844</c:v>
                </c:pt>
                <c:pt idx="68">
                  <c:v>3596</c:v>
                </c:pt>
                <c:pt idx="69">
                  <c:v>3348</c:v>
                </c:pt>
                <c:pt idx="70">
                  <c:v>31</c:v>
                </c:pt>
                <c:pt idx="71">
                  <c:v>2852</c:v>
                </c:pt>
                <c:pt idx="72">
                  <c:v>2604</c:v>
                </c:pt>
                <c:pt idx="73">
                  <c:v>2356</c:v>
                </c:pt>
                <c:pt idx="74">
                  <c:v>2108</c:v>
                </c:pt>
                <c:pt idx="75">
                  <c:v>1860.0</c:v>
                </c:pt>
                <c:pt idx="76">
                  <c:v>1612.0</c:v>
                </c:pt>
                <c:pt idx="77">
                  <c:v>1364.0</c:v>
                </c:pt>
                <c:pt idx="78">
                  <c:v>1116.0</c:v>
                </c:pt>
                <c:pt idx="79">
                  <c:v>868.0</c:v>
                </c:pt>
                <c:pt idx="80">
                  <c:v>620.0</c:v>
                </c:pt>
                <c:pt idx="81">
                  <c:v>372.0</c:v>
                </c:pt>
                <c:pt idx="82">
                  <c:v>124.0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548.5714285714286</c:v>
                </c:pt>
                <c:pt idx="64">
                  <c:v>1645.714285714286</c:v>
                </c:pt>
                <c:pt idx="65">
                  <c:v>2742.857142857142</c:v>
                </c:pt>
                <c:pt idx="66">
                  <c:v>3840.0</c:v>
                </c:pt>
                <c:pt idx="67">
                  <c:v>4937.142857142857</c:v>
                </c:pt>
                <c:pt idx="68">
                  <c:v>6034.285714285714</c:v>
                </c:pt>
                <c:pt idx="69">
                  <c:v>7131.428571428571</c:v>
                </c:pt>
                <c:pt idx="70">
                  <c:v>8228.571428571427</c:v>
                </c:pt>
                <c:pt idx="71">
                  <c:v>9325.714285714286</c:v>
                </c:pt>
                <c:pt idx="72">
                  <c:v>10422.85714285714</c:v>
                </c:pt>
                <c:pt idx="73">
                  <c:v>11520.0</c:v>
                </c:pt>
                <c:pt idx="74">
                  <c:v>12617.14285714286</c:v>
                </c:pt>
                <c:pt idx="75">
                  <c:v>13714.28571428571</c:v>
                </c:pt>
                <c:pt idx="76">
                  <c:v>14811.42857142857</c:v>
                </c:pt>
                <c:pt idx="77">
                  <c:v>15908.57142857143</c:v>
                </c:pt>
                <c:pt idx="78">
                  <c:v>17005.71428571428</c:v>
                </c:pt>
                <c:pt idx="79">
                  <c:v>18102.85714285714</c:v>
                </c:pt>
                <c:pt idx="80">
                  <c:v>19200.0</c:v>
                </c:pt>
                <c:pt idx="81">
                  <c:v>20297.14285714286</c:v>
                </c:pt>
                <c:pt idx="82">
                  <c:v>21394.28571428571</c:v>
                </c:pt>
                <c:pt idx="83">
                  <c:v>24089.14285714286</c:v>
                </c:pt>
                <c:pt idx="84">
                  <c:v>28381.71428571428</c:v>
                </c:pt>
                <c:pt idx="85">
                  <c:v>32674.28571428571</c:v>
                </c:pt>
                <c:pt idx="86">
                  <c:v>36966.85714285714</c:v>
                </c:pt>
                <c:pt idx="87">
                  <c:v>41259.42857142856</c:v>
                </c:pt>
                <c:pt idx="88">
                  <c:v>45552.0</c:v>
                </c:pt>
                <c:pt idx="89">
                  <c:v>49844.57142857143</c:v>
                </c:pt>
                <c:pt idx="90">
                  <c:v>54137.14285714285</c:v>
                </c:pt>
                <c:pt idx="91">
                  <c:v>58429.71428571429</c:v>
                </c:pt>
                <c:pt idx="92">
                  <c:v>62722.28571428571</c:v>
                </c:pt>
                <c:pt idx="93">
                  <c:v>67014.85714285714</c:v>
                </c:pt>
                <c:pt idx="94">
                  <c:v>71307.42857142857</c:v>
                </c:pt>
                <c:pt idx="95">
                  <c:v>75600.0</c:v>
                </c:pt>
                <c:pt idx="96">
                  <c:v>78271.7</c:v>
                </c:pt>
                <c:pt idx="97">
                  <c:v>80943.4</c:v>
                </c:pt>
                <c:pt idx="98">
                  <c:v>83615.1</c:v>
                </c:pt>
                <c:pt idx="99">
                  <c:v>86286.8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829.53</c:v>
                </c:pt>
                <c:pt idx="97">
                  <c:v>1659.06</c:v>
                </c:pt>
                <c:pt idx="98">
                  <c:v>2488.59</c:v>
                </c:pt>
                <c:pt idx="99">
                  <c:v>3318.12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2508.0</c:v>
                </c:pt>
                <c:pt idx="84">
                  <c:v>7524.0</c:v>
                </c:pt>
                <c:pt idx="85">
                  <c:v>12540.0</c:v>
                </c:pt>
                <c:pt idx="86">
                  <c:v>17556.0</c:v>
                </c:pt>
                <c:pt idx="87">
                  <c:v>22572.0</c:v>
                </c:pt>
                <c:pt idx="88">
                  <c:v>27588.0</c:v>
                </c:pt>
                <c:pt idx="89">
                  <c:v>32604.0</c:v>
                </c:pt>
                <c:pt idx="90">
                  <c:v>37620.0</c:v>
                </c:pt>
                <c:pt idx="91">
                  <c:v>42636.0</c:v>
                </c:pt>
                <c:pt idx="92">
                  <c:v>47652.0</c:v>
                </c:pt>
                <c:pt idx="93">
                  <c:v>52668.0</c:v>
                </c:pt>
                <c:pt idx="94">
                  <c:v>57684.0</c:v>
                </c:pt>
                <c:pt idx="95">
                  <c:v>62700.0</c:v>
                </c:pt>
                <c:pt idx="96">
                  <c:v>68903.5</c:v>
                </c:pt>
                <c:pt idx="97">
                  <c:v>75107.0</c:v>
                </c:pt>
                <c:pt idx="98">
                  <c:v>81310.5</c:v>
                </c:pt>
                <c:pt idx="99">
                  <c:v>87514.0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1009.172612427673</c:v>
                </c:pt>
                <c:pt idx="1">
                  <c:v>1009.172612427673</c:v>
                </c:pt>
                <c:pt idx="2">
                  <c:v>1009.172612427673</c:v>
                </c:pt>
                <c:pt idx="3">
                  <c:v>1009.172612427673</c:v>
                </c:pt>
                <c:pt idx="4">
                  <c:v>1009.172612427673</c:v>
                </c:pt>
                <c:pt idx="5">
                  <c:v>1009.172612427673</c:v>
                </c:pt>
                <c:pt idx="6">
                  <c:v>1009.172612427673</c:v>
                </c:pt>
                <c:pt idx="7">
                  <c:v>1009.172612427673</c:v>
                </c:pt>
                <c:pt idx="8">
                  <c:v>1009.172612427673</c:v>
                </c:pt>
                <c:pt idx="9">
                  <c:v>1009.172612427673</c:v>
                </c:pt>
                <c:pt idx="10">
                  <c:v>1009.172612427673</c:v>
                </c:pt>
                <c:pt idx="11">
                  <c:v>1009.172612427673</c:v>
                </c:pt>
                <c:pt idx="12">
                  <c:v>1009.172612427673</c:v>
                </c:pt>
                <c:pt idx="13">
                  <c:v>1009.172612427673</c:v>
                </c:pt>
                <c:pt idx="14">
                  <c:v>1009.172612427673</c:v>
                </c:pt>
                <c:pt idx="15">
                  <c:v>1009.172612427673</c:v>
                </c:pt>
                <c:pt idx="16">
                  <c:v>1009.172612427673</c:v>
                </c:pt>
                <c:pt idx="17">
                  <c:v>1009.172612427673</c:v>
                </c:pt>
                <c:pt idx="18">
                  <c:v>1009.172612427673</c:v>
                </c:pt>
                <c:pt idx="19">
                  <c:v>1009.172612427673</c:v>
                </c:pt>
                <c:pt idx="20">
                  <c:v>1009.172612427673</c:v>
                </c:pt>
                <c:pt idx="21">
                  <c:v>1009.172612427673</c:v>
                </c:pt>
                <c:pt idx="22">
                  <c:v>1009.172612427673</c:v>
                </c:pt>
                <c:pt idx="23">
                  <c:v>1009.172612427673</c:v>
                </c:pt>
                <c:pt idx="24">
                  <c:v>1009.172612427673</c:v>
                </c:pt>
                <c:pt idx="25">
                  <c:v>1009.172612427673</c:v>
                </c:pt>
                <c:pt idx="26">
                  <c:v>1009.172612427673</c:v>
                </c:pt>
                <c:pt idx="27">
                  <c:v>1009.172612427673</c:v>
                </c:pt>
                <c:pt idx="28">
                  <c:v>1009.172612427673</c:v>
                </c:pt>
                <c:pt idx="29">
                  <c:v>1009.172612427673</c:v>
                </c:pt>
                <c:pt idx="30">
                  <c:v>1009.172612427673</c:v>
                </c:pt>
                <c:pt idx="31">
                  <c:v>1009.172612427673</c:v>
                </c:pt>
                <c:pt idx="32">
                  <c:v>1009.172612427673</c:v>
                </c:pt>
                <c:pt idx="33">
                  <c:v>1009.172612427673</c:v>
                </c:pt>
                <c:pt idx="34">
                  <c:v>1009.172612427673</c:v>
                </c:pt>
                <c:pt idx="35">
                  <c:v>1009.172612427673</c:v>
                </c:pt>
                <c:pt idx="36">
                  <c:v>1009.172612427673</c:v>
                </c:pt>
                <c:pt idx="37">
                  <c:v>1009.172612427673</c:v>
                </c:pt>
                <c:pt idx="38">
                  <c:v>1009.172612427673</c:v>
                </c:pt>
                <c:pt idx="39">
                  <c:v>1009.172612427673</c:v>
                </c:pt>
                <c:pt idx="40">
                  <c:v>1009.172612427673</c:v>
                </c:pt>
                <c:pt idx="41">
                  <c:v>1009.172612427673</c:v>
                </c:pt>
                <c:pt idx="42">
                  <c:v>1009.172612427673</c:v>
                </c:pt>
                <c:pt idx="43">
                  <c:v>1009.172612427673</c:v>
                </c:pt>
                <c:pt idx="44">
                  <c:v>1009.172612427673</c:v>
                </c:pt>
                <c:pt idx="45">
                  <c:v>1009.172612427673</c:v>
                </c:pt>
                <c:pt idx="46">
                  <c:v>1009.172612427673</c:v>
                </c:pt>
                <c:pt idx="47">
                  <c:v>1009.172612427673</c:v>
                </c:pt>
                <c:pt idx="48">
                  <c:v>1009.172612427673</c:v>
                </c:pt>
                <c:pt idx="49">
                  <c:v>1009.172612427673</c:v>
                </c:pt>
                <c:pt idx="50">
                  <c:v>1009.172612427673</c:v>
                </c:pt>
                <c:pt idx="51">
                  <c:v>1009.172612427673</c:v>
                </c:pt>
                <c:pt idx="52">
                  <c:v>1009.172612427673</c:v>
                </c:pt>
                <c:pt idx="53">
                  <c:v>1009.172612427673</c:v>
                </c:pt>
                <c:pt idx="54">
                  <c:v>1009.172612427673</c:v>
                </c:pt>
                <c:pt idx="55">
                  <c:v>1009.172612427673</c:v>
                </c:pt>
                <c:pt idx="56">
                  <c:v>1009.172612427673</c:v>
                </c:pt>
                <c:pt idx="57">
                  <c:v>1009.172612427673</c:v>
                </c:pt>
                <c:pt idx="58">
                  <c:v>1009.172612427673</c:v>
                </c:pt>
                <c:pt idx="59">
                  <c:v>1009.172612427673</c:v>
                </c:pt>
                <c:pt idx="60">
                  <c:v>1009.172612427673</c:v>
                </c:pt>
                <c:pt idx="61">
                  <c:v>1009.172612427673</c:v>
                </c:pt>
                <c:pt idx="62">
                  <c:v>1009.172612427673</c:v>
                </c:pt>
                <c:pt idx="63">
                  <c:v>1009.172612427673</c:v>
                </c:pt>
                <c:pt idx="64">
                  <c:v>1009.172612427673</c:v>
                </c:pt>
                <c:pt idx="65">
                  <c:v>1009.172612427673</c:v>
                </c:pt>
                <c:pt idx="66">
                  <c:v>1009.172612427673</c:v>
                </c:pt>
                <c:pt idx="67">
                  <c:v>1009.172612427673</c:v>
                </c:pt>
                <c:pt idx="68">
                  <c:v>1009.172612427673</c:v>
                </c:pt>
                <c:pt idx="69">
                  <c:v>1009.172612427673</c:v>
                </c:pt>
                <c:pt idx="70">
                  <c:v>1009.172612427673</c:v>
                </c:pt>
                <c:pt idx="71">
                  <c:v>1009.172612427673</c:v>
                </c:pt>
                <c:pt idx="72">
                  <c:v>1009.172612427673</c:v>
                </c:pt>
                <c:pt idx="73">
                  <c:v>1009.172612427673</c:v>
                </c:pt>
                <c:pt idx="74">
                  <c:v>1009.172612427673</c:v>
                </c:pt>
                <c:pt idx="75">
                  <c:v>1009.172612427673</c:v>
                </c:pt>
                <c:pt idx="76">
                  <c:v>1009.172612427673</c:v>
                </c:pt>
                <c:pt idx="77">
                  <c:v>1009.172612427673</c:v>
                </c:pt>
                <c:pt idx="78">
                  <c:v>1009.172612427673</c:v>
                </c:pt>
                <c:pt idx="79">
                  <c:v>1009.172612427673</c:v>
                </c:pt>
                <c:pt idx="80">
                  <c:v>1009.172612427673</c:v>
                </c:pt>
                <c:pt idx="81">
                  <c:v>1009.172612427673</c:v>
                </c:pt>
                <c:pt idx="82">
                  <c:v>1009.172612427673</c:v>
                </c:pt>
                <c:pt idx="83">
                  <c:v>968.8057079305658</c:v>
                </c:pt>
                <c:pt idx="84">
                  <c:v>888.071898936352</c:v>
                </c:pt>
                <c:pt idx="85">
                  <c:v>807.3380899421382</c:v>
                </c:pt>
                <c:pt idx="86">
                  <c:v>726.6042809479245</c:v>
                </c:pt>
                <c:pt idx="87">
                  <c:v>645.8704719537106</c:v>
                </c:pt>
                <c:pt idx="88">
                  <c:v>565.1366629594968</c:v>
                </c:pt>
                <c:pt idx="89">
                  <c:v>484.4028539652829</c:v>
                </c:pt>
                <c:pt idx="90">
                  <c:v>403.6690449710692</c:v>
                </c:pt>
                <c:pt idx="91">
                  <c:v>322.9352359768553</c:v>
                </c:pt>
                <c:pt idx="92">
                  <c:v>242.2014269826416</c:v>
                </c:pt>
                <c:pt idx="93">
                  <c:v>161.4676179884277</c:v>
                </c:pt>
                <c:pt idx="94">
                  <c:v>80.73380899421385</c:v>
                </c:pt>
                <c:pt idx="95">
                  <c:v>1.13686837721616E-13</c:v>
                </c:pt>
                <c:pt idx="96">
                  <c:v>14.73</c:v>
                </c:pt>
                <c:pt idx="97">
                  <c:v>29.46000000000001</c:v>
                </c:pt>
                <c:pt idx="98">
                  <c:v>44.19000000000001</c:v>
                </c:pt>
                <c:pt idx="99">
                  <c:v>58.92000000000002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23108.57142857143</c:v>
                </c:pt>
                <c:pt idx="1">
                  <c:v>23108.57142857143</c:v>
                </c:pt>
                <c:pt idx="2">
                  <c:v>23108.57142857143</c:v>
                </c:pt>
                <c:pt idx="3">
                  <c:v>23108.57142857143</c:v>
                </c:pt>
                <c:pt idx="4">
                  <c:v>23108.57142857143</c:v>
                </c:pt>
                <c:pt idx="5">
                  <c:v>23108.57142857143</c:v>
                </c:pt>
                <c:pt idx="6">
                  <c:v>23108.57142857143</c:v>
                </c:pt>
                <c:pt idx="7">
                  <c:v>23108.57142857143</c:v>
                </c:pt>
                <c:pt idx="8">
                  <c:v>23108.57142857143</c:v>
                </c:pt>
                <c:pt idx="9">
                  <c:v>23108.57142857143</c:v>
                </c:pt>
                <c:pt idx="10">
                  <c:v>23108.57142857143</c:v>
                </c:pt>
                <c:pt idx="11">
                  <c:v>23108.57142857143</c:v>
                </c:pt>
                <c:pt idx="12">
                  <c:v>23108.57142857143</c:v>
                </c:pt>
                <c:pt idx="13">
                  <c:v>23108.57142857143</c:v>
                </c:pt>
                <c:pt idx="14">
                  <c:v>23108.57142857143</c:v>
                </c:pt>
                <c:pt idx="15">
                  <c:v>23108.57142857143</c:v>
                </c:pt>
                <c:pt idx="16">
                  <c:v>23108.57142857143</c:v>
                </c:pt>
                <c:pt idx="17">
                  <c:v>23108.57142857143</c:v>
                </c:pt>
                <c:pt idx="18">
                  <c:v>23108.57142857143</c:v>
                </c:pt>
                <c:pt idx="19">
                  <c:v>23108.57142857143</c:v>
                </c:pt>
                <c:pt idx="20">
                  <c:v>23108.57142857143</c:v>
                </c:pt>
                <c:pt idx="21">
                  <c:v>23108.57142857143</c:v>
                </c:pt>
                <c:pt idx="22">
                  <c:v>23108.57142857143</c:v>
                </c:pt>
                <c:pt idx="23">
                  <c:v>23108.57142857143</c:v>
                </c:pt>
                <c:pt idx="24">
                  <c:v>23108.57142857143</c:v>
                </c:pt>
                <c:pt idx="25">
                  <c:v>23108.57142857143</c:v>
                </c:pt>
                <c:pt idx="26">
                  <c:v>23079.54285714286</c:v>
                </c:pt>
                <c:pt idx="27">
                  <c:v>23050.51428571428</c:v>
                </c:pt>
                <c:pt idx="28">
                  <c:v>23021.48571428571</c:v>
                </c:pt>
                <c:pt idx="29">
                  <c:v>22992.45714285714</c:v>
                </c:pt>
                <c:pt idx="30">
                  <c:v>22963.42857142857</c:v>
                </c:pt>
                <c:pt idx="31">
                  <c:v>22934.4</c:v>
                </c:pt>
                <c:pt idx="32">
                  <c:v>22905.37142857143</c:v>
                </c:pt>
                <c:pt idx="33">
                  <c:v>22876.34285714286</c:v>
                </c:pt>
                <c:pt idx="34">
                  <c:v>22847.31428571428</c:v>
                </c:pt>
                <c:pt idx="35">
                  <c:v>22818.28571428571</c:v>
                </c:pt>
                <c:pt idx="36">
                  <c:v>22789.25714285714</c:v>
                </c:pt>
                <c:pt idx="37">
                  <c:v>22760.22857142857</c:v>
                </c:pt>
                <c:pt idx="38">
                  <c:v>22731.2</c:v>
                </c:pt>
                <c:pt idx="39">
                  <c:v>22702.17142857143</c:v>
                </c:pt>
                <c:pt idx="40">
                  <c:v>22673.14285714286</c:v>
                </c:pt>
                <c:pt idx="41">
                  <c:v>22644.11428571428</c:v>
                </c:pt>
                <c:pt idx="42">
                  <c:v>22615.08571428571</c:v>
                </c:pt>
                <c:pt idx="43">
                  <c:v>22586.05714285714</c:v>
                </c:pt>
                <c:pt idx="44">
                  <c:v>22557.02857142857</c:v>
                </c:pt>
                <c:pt idx="45">
                  <c:v>22528.0</c:v>
                </c:pt>
                <c:pt idx="46">
                  <c:v>22498.97142857143</c:v>
                </c:pt>
                <c:pt idx="47">
                  <c:v>22469.94285714286</c:v>
                </c:pt>
                <c:pt idx="48">
                  <c:v>22440.91428571428</c:v>
                </c:pt>
                <c:pt idx="49">
                  <c:v>22411.88571428571</c:v>
                </c:pt>
                <c:pt idx="50">
                  <c:v>22382.85714285714</c:v>
                </c:pt>
                <c:pt idx="51">
                  <c:v>22353.82857142857</c:v>
                </c:pt>
                <c:pt idx="52">
                  <c:v>22324.8</c:v>
                </c:pt>
                <c:pt idx="53">
                  <c:v>22295.77142857143</c:v>
                </c:pt>
                <c:pt idx="54">
                  <c:v>22266.74285714286</c:v>
                </c:pt>
                <c:pt idx="55">
                  <c:v>22237.71428571428</c:v>
                </c:pt>
                <c:pt idx="56">
                  <c:v>22208.68571428572</c:v>
                </c:pt>
                <c:pt idx="57">
                  <c:v>22179.65714285714</c:v>
                </c:pt>
                <c:pt idx="58">
                  <c:v>22150.62857142857</c:v>
                </c:pt>
                <c:pt idx="59">
                  <c:v>22121.6</c:v>
                </c:pt>
                <c:pt idx="60">
                  <c:v>22092.57142857143</c:v>
                </c:pt>
                <c:pt idx="61">
                  <c:v>22063.54285714286</c:v>
                </c:pt>
                <c:pt idx="62">
                  <c:v>22034.51428571428</c:v>
                </c:pt>
                <c:pt idx="63">
                  <c:v>21687.21428571428</c:v>
                </c:pt>
                <c:pt idx="64">
                  <c:v>21021.64285714286</c:v>
                </c:pt>
                <c:pt idx="65">
                  <c:v>20356.07142857143</c:v>
                </c:pt>
                <c:pt idx="66">
                  <c:v>19690.5</c:v>
                </c:pt>
                <c:pt idx="67">
                  <c:v>19024.92857142857</c:v>
                </c:pt>
                <c:pt idx="68">
                  <c:v>18359.35714285714</c:v>
                </c:pt>
                <c:pt idx="69">
                  <c:v>17693.78571428571</c:v>
                </c:pt>
                <c:pt idx="70">
                  <c:v>17028.21428571428</c:v>
                </c:pt>
                <c:pt idx="71">
                  <c:v>16362.64285714286</c:v>
                </c:pt>
                <c:pt idx="72">
                  <c:v>15697.07142857143</c:v>
                </c:pt>
                <c:pt idx="73">
                  <c:v>15031.5</c:v>
                </c:pt>
                <c:pt idx="74">
                  <c:v>14365.92857142857</c:v>
                </c:pt>
                <c:pt idx="75">
                  <c:v>13700.35714285714</c:v>
                </c:pt>
                <c:pt idx="76">
                  <c:v>13034.78571428571</c:v>
                </c:pt>
                <c:pt idx="77">
                  <c:v>12369.21428571429</c:v>
                </c:pt>
                <c:pt idx="78">
                  <c:v>11703.64285714286</c:v>
                </c:pt>
                <c:pt idx="79">
                  <c:v>11038.07142857143</c:v>
                </c:pt>
                <c:pt idx="80">
                  <c:v>10372.5</c:v>
                </c:pt>
                <c:pt idx="81">
                  <c:v>9706.928571428572</c:v>
                </c:pt>
                <c:pt idx="82">
                  <c:v>9041.357142857143</c:v>
                </c:pt>
                <c:pt idx="83">
                  <c:v>8665.028571428573</c:v>
                </c:pt>
                <c:pt idx="84">
                  <c:v>8577.942857142857</c:v>
                </c:pt>
                <c:pt idx="85">
                  <c:v>8490.857142857143</c:v>
                </c:pt>
                <c:pt idx="86">
                  <c:v>8403.771428571428</c:v>
                </c:pt>
                <c:pt idx="87">
                  <c:v>8316.685714285715</c:v>
                </c:pt>
                <c:pt idx="88">
                  <c:v>8229.6</c:v>
                </c:pt>
                <c:pt idx="89">
                  <c:v>8142.514285714286</c:v>
                </c:pt>
                <c:pt idx="90">
                  <c:v>8055.428571428571</c:v>
                </c:pt>
                <c:pt idx="91">
                  <c:v>7968.342857142858</c:v>
                </c:pt>
                <c:pt idx="92">
                  <c:v>7881.257142857143</c:v>
                </c:pt>
                <c:pt idx="93">
                  <c:v>7794.171428571428</c:v>
                </c:pt>
                <c:pt idx="94">
                  <c:v>7707.085714285715</c:v>
                </c:pt>
                <c:pt idx="95">
                  <c:v>7620.0</c:v>
                </c:pt>
                <c:pt idx="96">
                  <c:v>6492.17</c:v>
                </c:pt>
                <c:pt idx="97">
                  <c:v>5364.34</c:v>
                </c:pt>
                <c:pt idx="98">
                  <c:v>4236.51</c:v>
                </c:pt>
                <c:pt idx="99">
                  <c:v>3108.68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342.8571428571428</c:v>
                </c:pt>
                <c:pt idx="64">
                  <c:v>1028.571428571428</c:v>
                </c:pt>
                <c:pt idx="65">
                  <c:v>1714.285714285714</c:v>
                </c:pt>
                <c:pt idx="66">
                  <c:v>2400.0</c:v>
                </c:pt>
                <c:pt idx="67">
                  <c:v>3085.714285714285</c:v>
                </c:pt>
                <c:pt idx="68">
                  <c:v>3771.428571428571</c:v>
                </c:pt>
                <c:pt idx="69">
                  <c:v>4457.142857142857</c:v>
                </c:pt>
                <c:pt idx="70">
                  <c:v>5142.857142857142</c:v>
                </c:pt>
                <c:pt idx="71">
                  <c:v>5828.571428571428</c:v>
                </c:pt>
                <c:pt idx="72">
                  <c:v>6514.285714285714</c:v>
                </c:pt>
                <c:pt idx="73">
                  <c:v>72</c:v>
                </c:pt>
                <c:pt idx="74">
                  <c:v>7885.714285714285</c:v>
                </c:pt>
                <c:pt idx="75">
                  <c:v>8571.428571428571</c:v>
                </c:pt>
                <c:pt idx="76">
                  <c:v>9257.142857142856</c:v>
                </c:pt>
                <c:pt idx="77">
                  <c:v>9942.857142857141</c:v>
                </c:pt>
                <c:pt idx="78">
                  <c:v>10628.57142857143</c:v>
                </c:pt>
                <c:pt idx="79">
                  <c:v>11314.28571428571</c:v>
                </c:pt>
                <c:pt idx="80">
                  <c:v>12000.0</c:v>
                </c:pt>
                <c:pt idx="81">
                  <c:v>12685.71428571428</c:v>
                </c:pt>
                <c:pt idx="82">
                  <c:v>13371.42857142857</c:v>
                </c:pt>
                <c:pt idx="83">
                  <c:v>14207.31428571428</c:v>
                </c:pt>
                <c:pt idx="84">
                  <c:v>15193.37142857143</c:v>
                </c:pt>
                <c:pt idx="85">
                  <c:v>16179.42857142857</c:v>
                </c:pt>
                <c:pt idx="86">
                  <c:v>17165.48571428571</c:v>
                </c:pt>
                <c:pt idx="87">
                  <c:v>18151.54285714286</c:v>
                </c:pt>
                <c:pt idx="88">
                  <c:v>19137.6</c:v>
                </c:pt>
                <c:pt idx="89">
                  <c:v>20123.65714285714</c:v>
                </c:pt>
                <c:pt idx="90">
                  <c:v>21109.71428571428</c:v>
                </c:pt>
                <c:pt idx="91">
                  <c:v>22095.77142857143</c:v>
                </c:pt>
                <c:pt idx="92">
                  <c:v>23081.82857142857</c:v>
                </c:pt>
                <c:pt idx="93">
                  <c:v>24067.88571428572</c:v>
                </c:pt>
                <c:pt idx="94">
                  <c:v>25053.94285714286</c:v>
                </c:pt>
                <c:pt idx="95">
                  <c:v>26040.0</c:v>
                </c:pt>
                <c:pt idx="96">
                  <c:v>26336.33</c:v>
                </c:pt>
                <c:pt idx="97">
                  <c:v>26632.66</c:v>
                </c:pt>
                <c:pt idx="98">
                  <c:v>26928.99</c:v>
                </c:pt>
                <c:pt idx="99">
                  <c:v>27225.32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793928"/>
        <c:axId val="2136116248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19286.70858741943</c:v>
                </c:pt>
                <c:pt idx="1">
                  <c:v>19286.70858741943</c:v>
                </c:pt>
                <c:pt idx="2">
                  <c:v>19286.70858741943</c:v>
                </c:pt>
                <c:pt idx="3">
                  <c:v>19286.70858741943</c:v>
                </c:pt>
                <c:pt idx="4">
                  <c:v>19286.70858741943</c:v>
                </c:pt>
                <c:pt idx="5">
                  <c:v>19286.70858741943</c:v>
                </c:pt>
                <c:pt idx="6">
                  <c:v>19286.70858741943</c:v>
                </c:pt>
                <c:pt idx="7">
                  <c:v>19286.70858741943</c:v>
                </c:pt>
                <c:pt idx="8">
                  <c:v>19286.70858741943</c:v>
                </c:pt>
                <c:pt idx="9">
                  <c:v>19286.70858741943</c:v>
                </c:pt>
                <c:pt idx="10">
                  <c:v>19286.70858741943</c:v>
                </c:pt>
                <c:pt idx="11">
                  <c:v>19286.70858741943</c:v>
                </c:pt>
                <c:pt idx="12">
                  <c:v>19286.70858741943</c:v>
                </c:pt>
                <c:pt idx="13">
                  <c:v>19286.70858741943</c:v>
                </c:pt>
                <c:pt idx="14">
                  <c:v>19286.70858741943</c:v>
                </c:pt>
                <c:pt idx="15">
                  <c:v>19286.70858741943</c:v>
                </c:pt>
                <c:pt idx="16">
                  <c:v>19286.70858741943</c:v>
                </c:pt>
                <c:pt idx="17">
                  <c:v>19286.70858741943</c:v>
                </c:pt>
                <c:pt idx="18">
                  <c:v>19286.70858741943</c:v>
                </c:pt>
                <c:pt idx="19">
                  <c:v>19286.70858741943</c:v>
                </c:pt>
                <c:pt idx="20">
                  <c:v>19286.70858741943</c:v>
                </c:pt>
                <c:pt idx="21">
                  <c:v>19286.70858741943</c:v>
                </c:pt>
                <c:pt idx="22">
                  <c:v>19286.70858741943</c:v>
                </c:pt>
                <c:pt idx="23">
                  <c:v>19286.70858741943</c:v>
                </c:pt>
                <c:pt idx="24">
                  <c:v>19286.70858741943</c:v>
                </c:pt>
                <c:pt idx="25">
                  <c:v>19286.70858741943</c:v>
                </c:pt>
                <c:pt idx="26">
                  <c:v>19286.70858741943</c:v>
                </c:pt>
                <c:pt idx="27">
                  <c:v>19286.70858741943</c:v>
                </c:pt>
                <c:pt idx="28">
                  <c:v>19286.70858741943</c:v>
                </c:pt>
                <c:pt idx="29">
                  <c:v>19286.70858741943</c:v>
                </c:pt>
                <c:pt idx="30">
                  <c:v>19286.70858741943</c:v>
                </c:pt>
                <c:pt idx="31">
                  <c:v>19286.70858741943</c:v>
                </c:pt>
                <c:pt idx="32">
                  <c:v>19286.70858741943</c:v>
                </c:pt>
                <c:pt idx="33">
                  <c:v>19286.70858741943</c:v>
                </c:pt>
                <c:pt idx="34">
                  <c:v>19286.70858741943</c:v>
                </c:pt>
                <c:pt idx="35">
                  <c:v>19286.70858741943</c:v>
                </c:pt>
                <c:pt idx="36">
                  <c:v>19286.70858741943</c:v>
                </c:pt>
                <c:pt idx="37">
                  <c:v>19286.70858741943</c:v>
                </c:pt>
                <c:pt idx="38">
                  <c:v>19286.70858741943</c:v>
                </c:pt>
                <c:pt idx="39">
                  <c:v>19286.70858741943</c:v>
                </c:pt>
                <c:pt idx="40">
                  <c:v>19286.70858741943</c:v>
                </c:pt>
                <c:pt idx="41">
                  <c:v>19286.70858741943</c:v>
                </c:pt>
                <c:pt idx="42">
                  <c:v>19286.70858741943</c:v>
                </c:pt>
                <c:pt idx="43">
                  <c:v>19286.70858741943</c:v>
                </c:pt>
                <c:pt idx="44">
                  <c:v>19286.70858741943</c:v>
                </c:pt>
                <c:pt idx="45">
                  <c:v>19286.70858741943</c:v>
                </c:pt>
                <c:pt idx="46">
                  <c:v>19286.70858741943</c:v>
                </c:pt>
                <c:pt idx="47">
                  <c:v>19286.70858741943</c:v>
                </c:pt>
                <c:pt idx="48">
                  <c:v>19286.70858741943</c:v>
                </c:pt>
                <c:pt idx="49">
                  <c:v>19286.70858741943</c:v>
                </c:pt>
                <c:pt idx="50">
                  <c:v>19286.70858741943</c:v>
                </c:pt>
                <c:pt idx="51">
                  <c:v>19286.70858741943</c:v>
                </c:pt>
                <c:pt idx="52">
                  <c:v>19286.70858741943</c:v>
                </c:pt>
                <c:pt idx="53">
                  <c:v>19286.70858741943</c:v>
                </c:pt>
                <c:pt idx="54">
                  <c:v>19286.70858741943</c:v>
                </c:pt>
                <c:pt idx="55">
                  <c:v>19286.70858741943</c:v>
                </c:pt>
                <c:pt idx="56">
                  <c:v>19286.70858741943</c:v>
                </c:pt>
                <c:pt idx="57">
                  <c:v>19286.70858741943</c:v>
                </c:pt>
                <c:pt idx="58">
                  <c:v>19286.70858741943</c:v>
                </c:pt>
                <c:pt idx="59">
                  <c:v>19286.70858741943</c:v>
                </c:pt>
                <c:pt idx="60">
                  <c:v>19286.70858741943</c:v>
                </c:pt>
                <c:pt idx="61">
                  <c:v>19286.70858741943</c:v>
                </c:pt>
                <c:pt idx="62">
                  <c:v>19286.70858741943</c:v>
                </c:pt>
                <c:pt idx="63">
                  <c:v>19286.70858741943</c:v>
                </c:pt>
                <c:pt idx="64">
                  <c:v>19286.70858741943</c:v>
                </c:pt>
                <c:pt idx="65">
                  <c:v>19286.70858741943</c:v>
                </c:pt>
                <c:pt idx="66">
                  <c:v>19286.70858741943</c:v>
                </c:pt>
                <c:pt idx="67">
                  <c:v>19286.70858741943</c:v>
                </c:pt>
                <c:pt idx="68">
                  <c:v>19286.70858741943</c:v>
                </c:pt>
                <c:pt idx="69">
                  <c:v>19286.70858741943</c:v>
                </c:pt>
                <c:pt idx="70">
                  <c:v>19286.70858741943</c:v>
                </c:pt>
                <c:pt idx="71">
                  <c:v>19286.70858741943</c:v>
                </c:pt>
                <c:pt idx="72">
                  <c:v>19286.70858741943</c:v>
                </c:pt>
                <c:pt idx="73">
                  <c:v>19286.70858741943</c:v>
                </c:pt>
                <c:pt idx="74">
                  <c:v>19286.70858741943</c:v>
                </c:pt>
                <c:pt idx="75">
                  <c:v>19286.70858741942</c:v>
                </c:pt>
                <c:pt idx="76">
                  <c:v>19286.70858741942</c:v>
                </c:pt>
                <c:pt idx="77">
                  <c:v>19286.70858741942</c:v>
                </c:pt>
                <c:pt idx="78">
                  <c:v>19286.70858741942</c:v>
                </c:pt>
                <c:pt idx="79">
                  <c:v>19286.70858741942</c:v>
                </c:pt>
                <c:pt idx="80">
                  <c:v>19286.70858741942</c:v>
                </c:pt>
                <c:pt idx="81">
                  <c:v>19286.70858741942</c:v>
                </c:pt>
                <c:pt idx="82">
                  <c:v>19286.70858741942</c:v>
                </c:pt>
                <c:pt idx="83">
                  <c:v>19286.70858741942</c:v>
                </c:pt>
                <c:pt idx="84">
                  <c:v>19286.70858741942</c:v>
                </c:pt>
                <c:pt idx="85">
                  <c:v>19286.70858741942</c:v>
                </c:pt>
                <c:pt idx="86">
                  <c:v>19286.70858741942</c:v>
                </c:pt>
                <c:pt idx="87">
                  <c:v>19286.70858741942</c:v>
                </c:pt>
                <c:pt idx="88">
                  <c:v>19286.70858741942</c:v>
                </c:pt>
                <c:pt idx="89">
                  <c:v>19286.70858741942</c:v>
                </c:pt>
                <c:pt idx="90">
                  <c:v>19286.70858741943</c:v>
                </c:pt>
                <c:pt idx="91">
                  <c:v>19286.70858741943</c:v>
                </c:pt>
                <c:pt idx="92">
                  <c:v>19286.70858741943</c:v>
                </c:pt>
                <c:pt idx="93">
                  <c:v>19286.70858741943</c:v>
                </c:pt>
                <c:pt idx="94">
                  <c:v>19286.70858741943</c:v>
                </c:pt>
                <c:pt idx="95">
                  <c:v>19286.70858741943</c:v>
                </c:pt>
                <c:pt idx="96">
                  <c:v>19286.70858741943</c:v>
                </c:pt>
                <c:pt idx="97">
                  <c:v>19286.70858741943</c:v>
                </c:pt>
                <c:pt idx="98">
                  <c:v>19286.70858741943</c:v>
                </c:pt>
                <c:pt idx="99">
                  <c:v>19286.70858741943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33626.68642458237</c:v>
                </c:pt>
                <c:pt idx="1">
                  <c:v>33626.68642458237</c:v>
                </c:pt>
                <c:pt idx="2">
                  <c:v>33626.68642458237</c:v>
                </c:pt>
                <c:pt idx="3">
                  <c:v>33626.68642458237</c:v>
                </c:pt>
                <c:pt idx="4">
                  <c:v>33626.68642458237</c:v>
                </c:pt>
                <c:pt idx="5">
                  <c:v>33626.68642458237</c:v>
                </c:pt>
                <c:pt idx="6">
                  <c:v>33626.68642458237</c:v>
                </c:pt>
                <c:pt idx="7">
                  <c:v>33626.68642458237</c:v>
                </c:pt>
                <c:pt idx="8">
                  <c:v>33626.68642458237</c:v>
                </c:pt>
                <c:pt idx="9">
                  <c:v>33626.68642458237</c:v>
                </c:pt>
                <c:pt idx="10">
                  <c:v>33626.68642458237</c:v>
                </c:pt>
                <c:pt idx="11">
                  <c:v>33626.68642458237</c:v>
                </c:pt>
                <c:pt idx="12">
                  <c:v>33626.68642458237</c:v>
                </c:pt>
                <c:pt idx="13">
                  <c:v>33626.68642458237</c:v>
                </c:pt>
                <c:pt idx="14">
                  <c:v>33626.68642458237</c:v>
                </c:pt>
                <c:pt idx="15">
                  <c:v>33626.68642458237</c:v>
                </c:pt>
                <c:pt idx="16">
                  <c:v>33626.68642458237</c:v>
                </c:pt>
                <c:pt idx="17">
                  <c:v>33626.68642458237</c:v>
                </c:pt>
                <c:pt idx="18">
                  <c:v>33626.68642458237</c:v>
                </c:pt>
                <c:pt idx="19">
                  <c:v>33626.68642458237</c:v>
                </c:pt>
                <c:pt idx="20">
                  <c:v>33626.68642458237</c:v>
                </c:pt>
                <c:pt idx="21">
                  <c:v>33626.68642458237</c:v>
                </c:pt>
                <c:pt idx="22">
                  <c:v>33626.68642458237</c:v>
                </c:pt>
                <c:pt idx="23">
                  <c:v>33626.68642458237</c:v>
                </c:pt>
                <c:pt idx="24">
                  <c:v>33626.68642458237</c:v>
                </c:pt>
                <c:pt idx="25">
                  <c:v>33626.68642458237</c:v>
                </c:pt>
                <c:pt idx="26">
                  <c:v>33843.50793749825</c:v>
                </c:pt>
                <c:pt idx="27">
                  <c:v>34060.32945041414</c:v>
                </c:pt>
                <c:pt idx="28">
                  <c:v>34277.15096333003</c:v>
                </c:pt>
                <c:pt idx="29">
                  <c:v>34493.97247624592</c:v>
                </c:pt>
                <c:pt idx="30">
                  <c:v>34710.79398916181</c:v>
                </c:pt>
                <c:pt idx="31">
                  <c:v>34927.61550207769</c:v>
                </c:pt>
                <c:pt idx="32">
                  <c:v>35144.43701499358</c:v>
                </c:pt>
                <c:pt idx="33">
                  <c:v>35361.25852790947</c:v>
                </c:pt>
                <c:pt idx="34">
                  <c:v>35578.08004082536</c:v>
                </c:pt>
                <c:pt idx="35">
                  <c:v>35794.90155374126</c:v>
                </c:pt>
                <c:pt idx="36">
                  <c:v>36011.72306665714</c:v>
                </c:pt>
                <c:pt idx="37">
                  <c:v>36228.54457957303</c:v>
                </c:pt>
                <c:pt idx="38">
                  <c:v>36445.36609248892</c:v>
                </c:pt>
                <c:pt idx="39">
                  <c:v>36662.18760540481</c:v>
                </c:pt>
                <c:pt idx="40">
                  <c:v>36879.0091183207</c:v>
                </c:pt>
                <c:pt idx="41">
                  <c:v>37095.83063123658</c:v>
                </c:pt>
                <c:pt idx="42">
                  <c:v>37312.65214415247</c:v>
                </c:pt>
                <c:pt idx="43">
                  <c:v>37529.47365706836</c:v>
                </c:pt>
                <c:pt idx="44">
                  <c:v>37746.29516998425</c:v>
                </c:pt>
                <c:pt idx="45">
                  <c:v>37963.11668290014</c:v>
                </c:pt>
                <c:pt idx="46">
                  <c:v>38179.93819581603</c:v>
                </c:pt>
                <c:pt idx="47">
                  <c:v>38396.75970873192</c:v>
                </c:pt>
                <c:pt idx="48">
                  <c:v>38613.58122164781</c:v>
                </c:pt>
                <c:pt idx="49">
                  <c:v>38830.4027345637</c:v>
                </c:pt>
                <c:pt idx="50">
                  <c:v>39047.22424747957</c:v>
                </c:pt>
                <c:pt idx="51">
                  <c:v>39264.04576039547</c:v>
                </c:pt>
                <c:pt idx="52">
                  <c:v>39480.86727331136</c:v>
                </c:pt>
                <c:pt idx="53">
                  <c:v>39697.68878622726</c:v>
                </c:pt>
                <c:pt idx="54">
                  <c:v>39914.51029914314</c:v>
                </c:pt>
                <c:pt idx="55">
                  <c:v>40131.33181205902</c:v>
                </c:pt>
                <c:pt idx="56">
                  <c:v>40348.15332497492</c:v>
                </c:pt>
                <c:pt idx="57">
                  <c:v>40564.9748378908</c:v>
                </c:pt>
                <c:pt idx="58">
                  <c:v>40781.79635080669</c:v>
                </c:pt>
                <c:pt idx="59">
                  <c:v>40998.61786372258</c:v>
                </c:pt>
                <c:pt idx="60">
                  <c:v>41215.43937663847</c:v>
                </c:pt>
                <c:pt idx="61">
                  <c:v>41432.26088955437</c:v>
                </c:pt>
                <c:pt idx="62">
                  <c:v>41649.08240247025</c:v>
                </c:pt>
                <c:pt idx="63">
                  <c:v>43266.91664593652</c:v>
                </c:pt>
                <c:pt idx="64">
                  <c:v>46285.76361995318</c:v>
                </c:pt>
                <c:pt idx="65">
                  <c:v>49304.61059396984</c:v>
                </c:pt>
                <c:pt idx="66">
                  <c:v>52323.4575679865</c:v>
                </c:pt>
                <c:pt idx="67">
                  <c:v>55342.30454200315</c:v>
                </c:pt>
                <c:pt idx="68">
                  <c:v>58361.15151601982</c:v>
                </c:pt>
                <c:pt idx="69">
                  <c:v>61379.99849003648</c:v>
                </c:pt>
                <c:pt idx="70">
                  <c:v>64398.84546405313</c:v>
                </c:pt>
                <c:pt idx="71">
                  <c:v>67417.69243806979</c:v>
                </c:pt>
                <c:pt idx="72">
                  <c:v>70436.53941208645</c:v>
                </c:pt>
                <c:pt idx="73">
                  <c:v>73455.38638610311</c:v>
                </c:pt>
                <c:pt idx="74">
                  <c:v>76474.23336011978</c:v>
                </c:pt>
                <c:pt idx="75">
                  <c:v>79493.08033413641</c:v>
                </c:pt>
                <c:pt idx="76">
                  <c:v>82511.92730815308</c:v>
                </c:pt>
                <c:pt idx="77">
                  <c:v>85530.77428216973</c:v>
                </c:pt>
                <c:pt idx="78">
                  <c:v>88549.6212561864</c:v>
                </c:pt>
                <c:pt idx="79">
                  <c:v>91568.46823020306</c:v>
                </c:pt>
                <c:pt idx="80">
                  <c:v>94587.31520421972</c:v>
                </c:pt>
                <c:pt idx="81">
                  <c:v>97606.16217823637</c:v>
                </c:pt>
                <c:pt idx="82">
                  <c:v>100625.009152253</c:v>
                </c:pt>
                <c:pt idx="83">
                  <c:v>106747.5699564754</c:v>
                </c:pt>
                <c:pt idx="84">
                  <c:v>115973.8445909034</c:v>
                </c:pt>
                <c:pt idx="85">
                  <c:v>125200.1192253314</c:v>
                </c:pt>
                <c:pt idx="86">
                  <c:v>134426.3938597595</c:v>
                </c:pt>
                <c:pt idx="87">
                  <c:v>143652.6684941875</c:v>
                </c:pt>
                <c:pt idx="88">
                  <c:v>152878.9431286156</c:v>
                </c:pt>
                <c:pt idx="89">
                  <c:v>162105.2177630436</c:v>
                </c:pt>
                <c:pt idx="90">
                  <c:v>171331.4923974717</c:v>
                </c:pt>
                <c:pt idx="91">
                  <c:v>180557.7670318997</c:v>
                </c:pt>
                <c:pt idx="92">
                  <c:v>189784.0416663277</c:v>
                </c:pt>
                <c:pt idx="93">
                  <c:v>199010.3163007558</c:v>
                </c:pt>
                <c:pt idx="94">
                  <c:v>208236.5909351838</c:v>
                </c:pt>
                <c:pt idx="95">
                  <c:v>217462.8655696118</c:v>
                </c:pt>
                <c:pt idx="96">
                  <c:v>227242.6665696119</c:v>
                </c:pt>
                <c:pt idx="97">
                  <c:v>237022.4675696118</c:v>
                </c:pt>
                <c:pt idx="98">
                  <c:v>246802.2685696118</c:v>
                </c:pt>
                <c:pt idx="99">
                  <c:v>256582.0695696118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793928"/>
        <c:axId val="2136116248"/>
      </c:lineChart>
      <c:catAx>
        <c:axId val="2108793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3611624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13611624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08793928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4190384023226"/>
          <c:y val="0.042042042042042"/>
          <c:w val="0.9874307174592"/>
          <c:h val="0.96997067934075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akhc_basel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de"/>
      <sheetName val="WB"/>
      <sheetName val="Data"/>
      <sheetName val="Data 2"/>
      <sheetName val="Data 3"/>
      <sheetName val="Data 4"/>
      <sheetName val="Summ"/>
      <sheetName val="Exp factors"/>
      <sheetName val="Methods"/>
      <sheetName val="Graphs"/>
      <sheetName val="Sesonal Calendar"/>
      <sheetName val="Prices"/>
      <sheetName val="Production"/>
      <sheetName val="Timeline"/>
      <sheetName val="Coping"/>
      <sheetName val="Development"/>
      <sheetName val="Sheet12"/>
      <sheetName val="Sheet1"/>
      <sheetName val="zakhc_baseline.xlsx"/>
    </sheetNames>
    <definedNames>
      <definedName name="wb_summary" refersTo="='WB'!$CK$9"/>
    </definedNames>
    <sheetDataSet>
      <sheetData sheetId="0"/>
      <sheetData sheetId="1">
        <row r="1">
          <cell r="B1" t="str">
            <v>ZAKHC</v>
          </cell>
          <cell r="D1">
            <v>59208</v>
          </cell>
        </row>
        <row r="2">
          <cell r="A2" t="str">
            <v>Okhahlamba open access intense crops and livestock</v>
          </cell>
        </row>
        <row r="9">
          <cell r="CK9">
            <v>0.5</v>
          </cell>
        </row>
        <row r="10">
          <cell r="CK10">
            <v>0.25</v>
          </cell>
        </row>
        <row r="11">
          <cell r="CK11">
            <v>0.15</v>
          </cell>
        </row>
        <row r="12">
          <cell r="CK12">
            <v>0.1</v>
          </cell>
        </row>
      </sheetData>
      <sheetData sheetId="2"/>
      <sheetData sheetId="3"/>
      <sheetData sheetId="4"/>
      <sheetData sheetId="5"/>
      <sheetData sheetId="6">
        <row r="1">
          <cell r="P1">
            <v>8800</v>
          </cell>
        </row>
        <row r="892">
          <cell r="H892">
            <v>0</v>
          </cell>
          <cell r="I892">
            <v>0</v>
          </cell>
          <cell r="J892">
            <v>0</v>
          </cell>
          <cell r="K892">
            <v>0</v>
          </cell>
        </row>
        <row r="1031">
          <cell r="C1031">
            <v>13068.858465770903</v>
          </cell>
          <cell r="E1031">
            <v>14935.838246595316</v>
          </cell>
          <cell r="H1031">
            <v>13068.858465770902</v>
          </cell>
          <cell r="J1031">
            <v>14935.838246595322</v>
          </cell>
        </row>
        <row r="1032">
          <cell r="C1032">
            <v>13631.333333333334</v>
          </cell>
          <cell r="E1032">
            <v>15578.666666666668</v>
          </cell>
          <cell r="H1032">
            <v>13631.333333333334</v>
          </cell>
          <cell r="J1032">
            <v>15578.666666666668</v>
          </cell>
        </row>
        <row r="1033">
          <cell r="C1033">
            <v>24276</v>
          </cell>
          <cell r="E1033">
            <v>27744</v>
          </cell>
          <cell r="H1033">
            <v>24276</v>
          </cell>
          <cell r="J1033">
            <v>27744</v>
          </cell>
        </row>
        <row r="1034">
          <cell r="C1034">
            <v>4073</v>
          </cell>
          <cell r="E1034">
            <v>4656</v>
          </cell>
          <cell r="H1034">
            <v>21400</v>
          </cell>
          <cell r="J1034">
            <v>11200</v>
          </cell>
        </row>
        <row r="1037">
          <cell r="C1037" t="str">
            <v>maize</v>
          </cell>
          <cell r="E1037" t="str">
            <v>maize</v>
          </cell>
          <cell r="H1037" t="str">
            <v>maize</v>
          </cell>
          <cell r="J1037" t="str">
            <v>maize</v>
          </cell>
        </row>
        <row r="1038">
          <cell r="C1038">
            <v>0.58061985920496251</v>
          </cell>
          <cell r="E1038">
            <v>0.58061985920496251</v>
          </cell>
          <cell r="H1038">
            <v>0.58061985920496251</v>
          </cell>
          <cell r="J1038">
            <v>0.58061985920496251</v>
          </cell>
        </row>
        <row r="1039">
          <cell r="C1039">
            <v>7</v>
          </cell>
          <cell r="E1039">
            <v>8</v>
          </cell>
          <cell r="H1039">
            <v>7</v>
          </cell>
          <cell r="J1039">
            <v>8</v>
          </cell>
        </row>
        <row r="1040">
          <cell r="C1040">
            <v>5</v>
          </cell>
          <cell r="E1040">
            <v>5</v>
          </cell>
          <cell r="H1040">
            <v>5</v>
          </cell>
          <cell r="J1040">
            <v>5</v>
          </cell>
        </row>
        <row r="1044">
          <cell r="A1044" t="str">
            <v>Cows' milk - season 1</v>
          </cell>
          <cell r="C1044">
            <v>0</v>
          </cell>
          <cell r="D1044">
            <v>0</v>
          </cell>
          <cell r="E1044">
            <v>2.3466687422166871E-2</v>
          </cell>
          <cell r="F1044">
            <v>0</v>
          </cell>
          <cell r="H1044">
            <v>8.0457214018857859E-2</v>
          </cell>
          <cell r="I1044">
            <v>0</v>
          </cell>
          <cell r="J1044">
            <v>8.4480074719800749E-2</v>
          </cell>
          <cell r="K1044">
            <v>0</v>
          </cell>
        </row>
        <row r="1045">
          <cell r="A1045" t="str">
            <v>Own meat</v>
          </cell>
          <cell r="C1045">
            <v>1.0125300213485146E-2</v>
          </cell>
          <cell r="D1045">
            <v>0</v>
          </cell>
          <cell r="E1045">
            <v>2.4994361768368618E-2</v>
          </cell>
          <cell r="F1045">
            <v>0</v>
          </cell>
          <cell r="H1045">
            <v>6.0258338373954806E-2</v>
          </cell>
          <cell r="I1045">
            <v>0</v>
          </cell>
          <cell r="J1045">
            <v>8.816459682440847E-2</v>
          </cell>
          <cell r="K1045">
            <v>0</v>
          </cell>
        </row>
        <row r="1046">
          <cell r="A1046" t="str">
            <v>Maize: kg produced</v>
          </cell>
          <cell r="C1046">
            <v>4.5964673189823876E-2</v>
          </cell>
          <cell r="D1046">
            <v>0</v>
          </cell>
          <cell r="E1046">
            <v>0.19281504452054793</v>
          </cell>
          <cell r="F1046">
            <v>0</v>
          </cell>
          <cell r="H1046">
            <v>6.759510763209392E-2</v>
          </cell>
          <cell r="I1046">
            <v>0.67595107632093931</v>
          </cell>
          <cell r="J1046">
            <v>5.9145719178082187E-2</v>
          </cell>
          <cell r="K1046">
            <v>0.8871857876712328</v>
          </cell>
        </row>
        <row r="1047">
          <cell r="A1047" t="str">
            <v>Beans: kg produced</v>
          </cell>
          <cell r="C1047">
            <v>1.2625201921366307E-2</v>
          </cell>
          <cell r="D1047">
            <v>0</v>
          </cell>
          <cell r="E1047">
            <v>2.761762920298879E-2</v>
          </cell>
          <cell r="F1047">
            <v>0</v>
          </cell>
          <cell r="H1047">
            <v>3.1563004803415763E-2</v>
          </cell>
          <cell r="I1047">
            <v>0</v>
          </cell>
          <cell r="J1047">
            <v>5.523525840597758E-2</v>
          </cell>
          <cell r="K1047">
            <v>0</v>
          </cell>
        </row>
        <row r="1048">
          <cell r="A1048" t="str">
            <v>potatoes: kg produced</v>
          </cell>
          <cell r="C1048">
            <v>2.5026948941469486E-2</v>
          </cell>
          <cell r="D1048">
            <v>0</v>
          </cell>
          <cell r="E1048">
            <v>9.3068966376089659E-3</v>
          </cell>
          <cell r="F1048">
            <v>2.1898580323785805E-2</v>
          </cell>
          <cell r="H1048">
            <v>0.11262127023661268</v>
          </cell>
          <cell r="I1048">
            <v>0.31283686176836861</v>
          </cell>
          <cell r="J1048">
            <v>3.3942799501867994E-2</v>
          </cell>
          <cell r="K1048">
            <v>5.9126166874221654E-2</v>
          </cell>
        </row>
        <row r="1049">
          <cell r="A1049" t="str">
            <v>WILD FOODS -- see worksheet Data 3</v>
          </cell>
          <cell r="C1049">
            <v>0</v>
          </cell>
          <cell r="D1049">
            <v>0.03</v>
          </cell>
          <cell r="E1049">
            <v>0</v>
          </cell>
          <cell r="F1049">
            <v>0.05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</row>
        <row r="1050">
          <cell r="A1050" t="str">
            <v/>
          </cell>
          <cell r="C1050" t="str">
            <v/>
          </cell>
          <cell r="D1050" t="str">
            <v/>
          </cell>
          <cell r="E1050" t="str">
            <v/>
          </cell>
          <cell r="F1050" t="str">
            <v/>
          </cell>
          <cell r="H1050" t="str">
            <v/>
          </cell>
          <cell r="I1050" t="str">
            <v/>
          </cell>
          <cell r="J1050" t="str">
            <v/>
          </cell>
          <cell r="K1050" t="str">
            <v/>
          </cell>
        </row>
        <row r="1051">
          <cell r="A1051" t="str">
            <v/>
          </cell>
          <cell r="C1051" t="str">
            <v/>
          </cell>
          <cell r="D1051" t="str">
            <v/>
          </cell>
          <cell r="E1051" t="str">
            <v/>
          </cell>
          <cell r="F1051" t="str">
            <v/>
          </cell>
          <cell r="H1051" t="str">
            <v/>
          </cell>
          <cell r="I1051" t="str">
            <v/>
          </cell>
          <cell r="J1051" t="str">
            <v/>
          </cell>
          <cell r="K1051" t="str">
            <v/>
          </cell>
        </row>
        <row r="1052">
          <cell r="A1052" t="str">
            <v/>
          </cell>
          <cell r="C1052" t="str">
            <v/>
          </cell>
          <cell r="D1052" t="str">
            <v/>
          </cell>
          <cell r="E1052" t="str">
            <v/>
          </cell>
          <cell r="F1052" t="str">
            <v/>
          </cell>
          <cell r="H1052" t="str">
            <v/>
          </cell>
          <cell r="I1052" t="str">
            <v/>
          </cell>
          <cell r="J1052" t="str">
            <v/>
          </cell>
          <cell r="K1052" t="str">
            <v/>
          </cell>
        </row>
        <row r="1053">
          <cell r="A1053" t="str">
            <v/>
          </cell>
          <cell r="C1053" t="str">
            <v/>
          </cell>
          <cell r="D1053" t="str">
            <v/>
          </cell>
          <cell r="E1053" t="str">
            <v/>
          </cell>
          <cell r="F1053" t="str">
            <v/>
          </cell>
          <cell r="H1053" t="str">
            <v/>
          </cell>
          <cell r="I1053" t="str">
            <v/>
          </cell>
          <cell r="J1053" t="str">
            <v/>
          </cell>
          <cell r="K1053" t="str">
            <v/>
          </cell>
        </row>
        <row r="1054">
          <cell r="A1054" t="str">
            <v/>
          </cell>
          <cell r="C1054" t="str">
            <v/>
          </cell>
          <cell r="D1054" t="str">
            <v/>
          </cell>
          <cell r="E1054" t="str">
            <v/>
          </cell>
          <cell r="F1054" t="str">
            <v/>
          </cell>
          <cell r="H1054" t="str">
            <v/>
          </cell>
          <cell r="I1054" t="str">
            <v/>
          </cell>
          <cell r="J1054" t="str">
            <v/>
          </cell>
          <cell r="K1054" t="str">
            <v/>
          </cell>
        </row>
        <row r="1055">
          <cell r="A1055" t="str">
            <v/>
          </cell>
          <cell r="C1055" t="str">
            <v/>
          </cell>
          <cell r="D1055" t="str">
            <v/>
          </cell>
          <cell r="E1055" t="str">
            <v/>
          </cell>
          <cell r="F1055" t="str">
            <v/>
          </cell>
          <cell r="H1055" t="str">
            <v/>
          </cell>
          <cell r="I1055" t="str">
            <v/>
          </cell>
          <cell r="J1055" t="str">
            <v/>
          </cell>
          <cell r="K1055" t="str">
            <v/>
          </cell>
        </row>
        <row r="1056">
          <cell r="A1056" t="str">
            <v/>
          </cell>
          <cell r="C1056" t="str">
            <v/>
          </cell>
          <cell r="D1056" t="str">
            <v/>
          </cell>
          <cell r="E1056" t="str">
            <v/>
          </cell>
          <cell r="F1056" t="str">
            <v/>
          </cell>
          <cell r="H1056" t="str">
            <v/>
          </cell>
          <cell r="I1056" t="str">
            <v/>
          </cell>
          <cell r="J1056" t="str">
            <v/>
          </cell>
          <cell r="K1056" t="str">
            <v/>
          </cell>
        </row>
        <row r="1057">
          <cell r="A1057" t="str">
            <v/>
          </cell>
          <cell r="C1057" t="str">
            <v/>
          </cell>
          <cell r="D1057" t="str">
            <v/>
          </cell>
          <cell r="E1057" t="str">
            <v/>
          </cell>
          <cell r="F1057" t="str">
            <v/>
          </cell>
          <cell r="H1057" t="str">
            <v/>
          </cell>
          <cell r="I1057" t="str">
            <v/>
          </cell>
          <cell r="J1057" t="str">
            <v/>
          </cell>
          <cell r="K1057" t="str">
            <v/>
          </cell>
        </row>
        <row r="1058">
          <cell r="A1058" t="str">
            <v/>
          </cell>
          <cell r="C1058" t="str">
            <v/>
          </cell>
          <cell r="D1058" t="str">
            <v/>
          </cell>
          <cell r="E1058" t="str">
            <v/>
          </cell>
          <cell r="F1058" t="str">
            <v/>
          </cell>
          <cell r="H1058" t="str">
            <v/>
          </cell>
          <cell r="I1058" t="str">
            <v/>
          </cell>
          <cell r="J1058" t="str">
            <v/>
          </cell>
          <cell r="K1058" t="str">
            <v/>
          </cell>
        </row>
        <row r="1059">
          <cell r="A1059" t="str">
            <v/>
          </cell>
          <cell r="C1059" t="str">
            <v/>
          </cell>
          <cell r="D1059" t="str">
            <v/>
          </cell>
          <cell r="E1059" t="str">
            <v/>
          </cell>
          <cell r="F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</row>
        <row r="1060">
          <cell r="A1060" t="str">
            <v/>
          </cell>
          <cell r="C1060" t="str">
            <v/>
          </cell>
          <cell r="D1060" t="str">
            <v/>
          </cell>
          <cell r="E1060" t="str">
            <v/>
          </cell>
          <cell r="F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</row>
        <row r="1061">
          <cell r="A1061" t="str">
            <v/>
          </cell>
          <cell r="C1061" t="str">
            <v/>
          </cell>
          <cell r="D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</row>
        <row r="1062">
          <cell r="A1062" t="str">
            <v/>
          </cell>
          <cell r="C1062" t="str">
            <v/>
          </cell>
          <cell r="D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</row>
        <row r="1063">
          <cell r="A1063" t="str">
            <v/>
          </cell>
          <cell r="C1063" t="str">
            <v/>
          </cell>
          <cell r="D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</row>
        <row r="1064">
          <cell r="A1064" t="str">
            <v>Food aid</v>
          </cell>
          <cell r="C1064">
            <v>0.11904761904761904</v>
          </cell>
          <cell r="D1064">
            <v>0</v>
          </cell>
          <cell r="E1064">
            <v>0.11904761904761904</v>
          </cell>
          <cell r="F1064">
            <v>0</v>
          </cell>
          <cell r="H1064">
            <v>0.11904761904761904</v>
          </cell>
          <cell r="I1064">
            <v>0</v>
          </cell>
          <cell r="J1064">
            <v>0</v>
          </cell>
          <cell r="K1064">
            <v>0</v>
          </cell>
        </row>
        <row r="1065">
          <cell r="A1065" t="str">
            <v>Purchase - other</v>
          </cell>
          <cell r="C1065">
            <v>3.0300484611279131E-2</v>
          </cell>
          <cell r="D1065">
            <v>-3.0300484611279131E-2</v>
          </cell>
          <cell r="E1065">
            <v>1.2151756849315068E-2</v>
          </cell>
          <cell r="F1065">
            <v>-1.2151756849315068E-2</v>
          </cell>
          <cell r="H1065">
            <v>1.5150242305639565E-2</v>
          </cell>
          <cell r="I1065">
            <v>-1.5150242305639565E-2</v>
          </cell>
          <cell r="J1065">
            <v>3.314115504358655E-2</v>
          </cell>
          <cell r="K1065">
            <v>-3.314115504358655E-2</v>
          </cell>
        </row>
        <row r="1066">
          <cell r="A1066" t="str">
            <v>Purchase - desirable</v>
          </cell>
          <cell r="C1066">
            <v>7.7315395837039669E-2</v>
          </cell>
          <cell r="D1066">
            <v>-7.7315395837039669E-2</v>
          </cell>
          <cell r="E1066">
            <v>6.7650971357409703E-2</v>
          </cell>
          <cell r="F1066">
            <v>-6.7650971357409703E-2</v>
          </cell>
          <cell r="H1066">
            <v>7.7315395837039669E-2</v>
          </cell>
          <cell r="I1066">
            <v>-7.7315395837039669E-2</v>
          </cell>
          <cell r="J1066">
            <v>6.7650971357409703E-2</v>
          </cell>
          <cell r="K1066">
            <v>-6.7650971357409703E-2</v>
          </cell>
        </row>
        <row r="1067">
          <cell r="A1067" t="str">
            <v>Purchase - fpl non staple</v>
          </cell>
          <cell r="C1067">
            <v>0.35165768176481049</v>
          </cell>
          <cell r="D1067">
            <v>0.13508943316728897</v>
          </cell>
          <cell r="E1067">
            <v>0.32853638415317549</v>
          </cell>
          <cell r="F1067">
            <v>0.15821073077892389</v>
          </cell>
          <cell r="H1067">
            <v>0.46807098167585842</v>
          </cell>
          <cell r="I1067">
            <v>1.8676133256241095E-2</v>
          </cell>
          <cell r="J1067">
            <v>0.60760804651307587</v>
          </cell>
          <cell r="K1067">
            <v>-0.12086093158097647</v>
          </cell>
        </row>
        <row r="1068">
          <cell r="A1068" t="str">
            <v>Purchase - staple</v>
          </cell>
          <cell r="C1068">
            <v>0.48547811848425548</v>
          </cell>
          <cell r="E1068">
            <v>0.39648161768368617</v>
          </cell>
          <cell r="H1068">
            <v>0.29396981960505247</v>
          </cell>
          <cell r="J1068">
            <v>0.31510492901618925</v>
          </cell>
        </row>
        <row r="1072">
          <cell r="A1072" t="str">
            <v>Cattle sales - local: no. sold</v>
          </cell>
          <cell r="C1072">
            <v>0</v>
          </cell>
          <cell r="D1072">
            <v>0</v>
          </cell>
          <cell r="E1072">
            <v>6750</v>
          </cell>
          <cell r="F1072">
            <v>0</v>
          </cell>
          <cell r="H1072">
            <v>16000</v>
          </cell>
          <cell r="I1072">
            <v>0</v>
          </cell>
          <cell r="J1072">
            <v>22350</v>
          </cell>
          <cell r="K1072">
            <v>0</v>
          </cell>
        </row>
        <row r="1073">
          <cell r="A1073" t="str">
            <v>Goat sales - local: no. sold</v>
          </cell>
          <cell r="C1073">
            <v>1125</v>
          </cell>
          <cell r="D1073">
            <v>0</v>
          </cell>
          <cell r="E1073">
            <v>3000</v>
          </cell>
          <cell r="F1073">
            <v>-2500</v>
          </cell>
          <cell r="H1073">
            <v>6000</v>
          </cell>
          <cell r="I1073">
            <v>4000</v>
          </cell>
          <cell r="J1073">
            <v>8000</v>
          </cell>
          <cell r="K1073">
            <v>2500</v>
          </cell>
        </row>
        <row r="1074">
          <cell r="A1074" t="str">
            <v>Sheep sales - local: no. sold</v>
          </cell>
          <cell r="C1074">
            <v>0</v>
          </cell>
          <cell r="D1074">
            <v>0</v>
          </cell>
          <cell r="E1074">
            <v>0</v>
          </cell>
          <cell r="F1074">
            <v>0</v>
          </cell>
          <cell r="H1074">
            <v>1600</v>
          </cell>
          <cell r="I1074">
            <v>0</v>
          </cell>
          <cell r="J1074">
            <v>2400</v>
          </cell>
          <cell r="K1074">
            <v>0</v>
          </cell>
        </row>
        <row r="1075">
          <cell r="A1075" t="str">
            <v>Chicken sales: no. sold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H1075">
            <v>1300</v>
          </cell>
          <cell r="I1075">
            <v>0</v>
          </cell>
          <cell r="J1075">
            <v>0</v>
          </cell>
          <cell r="K1075">
            <v>0</v>
          </cell>
        </row>
        <row r="1076">
          <cell r="A1076" t="str">
            <v>Maize: kg produced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H1076">
            <v>2400</v>
          </cell>
          <cell r="I1076">
            <v>-2400</v>
          </cell>
          <cell r="J1076">
            <v>3600</v>
          </cell>
          <cell r="K1076">
            <v>-3600</v>
          </cell>
        </row>
        <row r="1077">
          <cell r="A1077" t="str">
            <v>Beans: kg produced</v>
          </cell>
          <cell r="C1077">
            <v>0</v>
          </cell>
          <cell r="D1077">
            <v>0</v>
          </cell>
          <cell r="E1077">
            <v>1500</v>
          </cell>
          <cell r="F1077">
            <v>0</v>
          </cell>
          <cell r="H1077">
            <v>17250</v>
          </cell>
          <cell r="I1077">
            <v>0</v>
          </cell>
          <cell r="J1077">
            <v>6000</v>
          </cell>
          <cell r="K1077">
            <v>0</v>
          </cell>
        </row>
        <row r="1078">
          <cell r="A1078" t="str">
            <v>potatoes: kg produced</v>
          </cell>
          <cell r="C1078">
            <v>0</v>
          </cell>
          <cell r="D1078">
            <v>0</v>
          </cell>
          <cell r="E1078">
            <v>160</v>
          </cell>
          <cell r="F1078">
            <v>-160</v>
          </cell>
          <cell r="H1078">
            <v>2500</v>
          </cell>
          <cell r="I1078">
            <v>-2500</v>
          </cell>
          <cell r="J1078">
            <v>432</v>
          </cell>
          <cell r="K1078">
            <v>-432</v>
          </cell>
        </row>
        <row r="1079">
          <cell r="A1079" t="str">
            <v>WILD FOODS -- see worksheet Data 3</v>
          </cell>
          <cell r="C1079">
            <v>0</v>
          </cell>
          <cell r="D1079">
            <v>750</v>
          </cell>
          <cell r="E1079">
            <v>0</v>
          </cell>
          <cell r="F1079">
            <v>750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</row>
        <row r="1080">
          <cell r="A1080" t="str">
            <v>Agricultural cash income -- see Data2</v>
          </cell>
          <cell r="C1080">
            <v>760</v>
          </cell>
          <cell r="D1080">
            <v>0</v>
          </cell>
          <cell r="E1080">
            <v>2760</v>
          </cell>
          <cell r="F1080">
            <v>0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</row>
        <row r="1081">
          <cell r="A1081" t="str">
            <v>Construction cash income -- see Data2</v>
          </cell>
          <cell r="C1081">
            <v>940</v>
          </cell>
          <cell r="D1081">
            <v>0</v>
          </cell>
          <cell r="E1081">
            <v>0</v>
          </cell>
          <cell r="F1081">
            <v>0</v>
          </cell>
          <cell r="H1081">
            <v>0</v>
          </cell>
          <cell r="I1081">
            <v>0</v>
          </cell>
          <cell r="J1081">
            <v>0</v>
          </cell>
          <cell r="K1081">
            <v>0</v>
          </cell>
        </row>
        <row r="1082">
          <cell r="A1082" t="str">
            <v>Domestic work cash income -- see Data2</v>
          </cell>
          <cell r="C1082">
            <v>4800</v>
          </cell>
          <cell r="D1082">
            <v>0</v>
          </cell>
          <cell r="E1082">
            <v>2200</v>
          </cell>
          <cell r="F1082">
            <v>0</v>
          </cell>
          <cell r="H1082">
            <v>0</v>
          </cell>
          <cell r="I1082">
            <v>0</v>
          </cell>
          <cell r="J1082">
            <v>0</v>
          </cell>
          <cell r="K1082">
            <v>0</v>
          </cell>
        </row>
        <row r="1083">
          <cell r="A1083" t="str">
            <v>Labour migration(formal employment): no. people per HH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H1083">
            <v>19200</v>
          </cell>
          <cell r="I1083">
            <v>0</v>
          </cell>
          <cell r="J1083">
            <v>75600</v>
          </cell>
          <cell r="K1083">
            <v>0</v>
          </cell>
        </row>
        <row r="1084">
          <cell r="A1084" t="str">
            <v>Small business -- see Data2</v>
          </cell>
          <cell r="C1084">
            <v>0</v>
          </cell>
          <cell r="D1084">
            <v>0</v>
          </cell>
          <cell r="E1084">
            <v>0</v>
          </cell>
          <cell r="F1084">
            <v>0</v>
          </cell>
          <cell r="H1084">
            <v>0</v>
          </cell>
          <cell r="I1084">
            <v>0</v>
          </cell>
          <cell r="J1084">
            <v>62700</v>
          </cell>
          <cell r="K1084">
            <v>0</v>
          </cell>
        </row>
        <row r="1085">
          <cell r="A1085" t="str">
            <v>Social development -- see Data2</v>
          </cell>
          <cell r="C1085">
            <v>20220</v>
          </cell>
          <cell r="D1085">
            <v>0</v>
          </cell>
          <cell r="E1085">
            <v>22020</v>
          </cell>
          <cell r="F1085">
            <v>0</v>
          </cell>
          <cell r="H1085">
            <v>7620</v>
          </cell>
          <cell r="I1085">
            <v>0</v>
          </cell>
          <cell r="J1085">
            <v>7620</v>
          </cell>
          <cell r="K1085">
            <v>0</v>
          </cell>
        </row>
        <row r="1086">
          <cell r="A1086" t="str">
            <v>Public works -- see Data2</v>
          </cell>
          <cell r="C1086">
            <v>0</v>
          </cell>
          <cell r="D1086">
            <v>0</v>
          </cell>
          <cell r="E1086">
            <v>14916</v>
          </cell>
          <cell r="F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</row>
        <row r="1087">
          <cell r="A1087" t="str">
            <v>Gifts/social support: type (Child support, Pension and Foster Care)</v>
          </cell>
          <cell r="C1087">
            <v>0</v>
          </cell>
          <cell r="D1087">
            <v>0</v>
          </cell>
          <cell r="E1087">
            <v>0</v>
          </cell>
          <cell r="F1087">
            <v>0</v>
          </cell>
          <cell r="H1087">
            <v>0</v>
          </cell>
          <cell r="I1087">
            <v>0</v>
          </cell>
          <cell r="J1087">
            <v>17040</v>
          </cell>
          <cell r="K1087">
            <v>0</v>
          </cell>
        </row>
        <row r="1088">
          <cell r="A1088" t="str">
            <v>Remittances: no. times per year</v>
          </cell>
          <cell r="C1088">
            <v>0</v>
          </cell>
          <cell r="D1088">
            <v>0</v>
          </cell>
          <cell r="E1088">
            <v>0</v>
          </cell>
          <cell r="F1088">
            <v>0</v>
          </cell>
          <cell r="H1088">
            <v>12000</v>
          </cell>
          <cell r="I1088">
            <v>0</v>
          </cell>
          <cell r="J1088">
            <v>9000</v>
          </cell>
          <cell r="K1088">
            <v>0</v>
          </cell>
        </row>
        <row r="1089">
          <cell r="A1089" t="str">
            <v/>
          </cell>
          <cell r="C1089" t="str">
            <v/>
          </cell>
          <cell r="D1089" t="str">
            <v/>
          </cell>
          <cell r="E1089" t="str">
            <v/>
          </cell>
          <cell r="F1089" t="str">
            <v/>
          </cell>
          <cell r="H1089" t="str">
            <v/>
          </cell>
          <cell r="I1089" t="str">
            <v/>
          </cell>
          <cell r="J1089" t="str">
            <v/>
          </cell>
          <cell r="K1089" t="str">
            <v/>
          </cell>
        </row>
        <row r="1090">
          <cell r="A1090" t="str">
            <v/>
          </cell>
          <cell r="C1090" t="str">
            <v/>
          </cell>
          <cell r="D1090" t="str">
            <v/>
          </cell>
          <cell r="E1090" t="str">
            <v/>
          </cell>
          <cell r="F1090" t="str">
            <v/>
          </cell>
          <cell r="H1090" t="str">
            <v/>
          </cell>
          <cell r="I1090" t="str">
            <v/>
          </cell>
          <cell r="J1090" t="str">
            <v/>
          </cell>
          <cell r="K1090" t="str">
            <v/>
          </cell>
        </row>
        <row r="1091">
          <cell r="A1091" t="str">
            <v/>
          </cell>
          <cell r="C1091" t="str">
            <v/>
          </cell>
          <cell r="D1091" t="str">
            <v/>
          </cell>
          <cell r="E1091" t="str">
            <v/>
          </cell>
          <cell r="F1091" t="str">
            <v/>
          </cell>
          <cell r="H1091" t="str">
            <v/>
          </cell>
          <cell r="I1091" t="str">
            <v/>
          </cell>
          <cell r="J1091" t="str">
            <v/>
          </cell>
          <cell r="K1091" t="str">
            <v/>
          </cell>
        </row>
        <row r="1092">
          <cell r="A1092" t="str">
            <v/>
          </cell>
          <cell r="C1092" t="str">
            <v/>
          </cell>
          <cell r="D1092" t="str">
            <v/>
          </cell>
          <cell r="E1092" t="str">
            <v/>
          </cell>
          <cell r="F1092" t="str">
            <v/>
          </cell>
          <cell r="H1092" t="str">
            <v/>
          </cell>
          <cell r="I1092" t="str">
            <v/>
          </cell>
          <cell r="J1092" t="str">
            <v/>
          </cell>
          <cell r="K1092" t="str">
            <v/>
          </cell>
        </row>
        <row r="1093">
          <cell r="A1093" t="str">
            <v/>
          </cell>
          <cell r="C1093" t="str">
            <v/>
          </cell>
          <cell r="D1093" t="str">
            <v/>
          </cell>
          <cell r="E1093" t="str">
            <v/>
          </cell>
          <cell r="F1093" t="str">
            <v/>
          </cell>
          <cell r="H1093" t="str">
            <v/>
          </cell>
          <cell r="I1093" t="str">
            <v/>
          </cell>
          <cell r="J1093" t="str">
            <v/>
          </cell>
          <cell r="K1093" t="str">
            <v/>
          </cell>
        </row>
        <row r="1094">
          <cell r="A1094" t="str">
            <v/>
          </cell>
          <cell r="C1094" t="str">
            <v/>
          </cell>
          <cell r="D1094" t="str">
            <v/>
          </cell>
          <cell r="E1094" t="str">
            <v/>
          </cell>
          <cell r="F1094" t="str">
            <v/>
          </cell>
          <cell r="H1094" t="str">
            <v/>
          </cell>
          <cell r="I1094" t="str">
            <v/>
          </cell>
          <cell r="J1094" t="str">
            <v/>
          </cell>
          <cell r="K1094" t="str">
            <v/>
          </cell>
        </row>
        <row r="1095">
          <cell r="A1095" t="str">
            <v/>
          </cell>
          <cell r="C1095" t="str">
            <v/>
          </cell>
          <cell r="D1095" t="str">
            <v/>
          </cell>
          <cell r="E1095" t="str">
            <v/>
          </cell>
          <cell r="F1095" t="str">
            <v/>
          </cell>
          <cell r="H1095" t="str">
            <v/>
          </cell>
          <cell r="I1095" t="str">
            <v/>
          </cell>
          <cell r="J1095" t="str">
            <v/>
          </cell>
          <cell r="K1095" t="str">
            <v/>
          </cell>
        </row>
        <row r="1096">
          <cell r="A1096" t="str">
            <v/>
          </cell>
          <cell r="C1096" t="str">
            <v/>
          </cell>
          <cell r="D1096" t="str">
            <v/>
          </cell>
          <cell r="E1096" t="str">
            <v/>
          </cell>
          <cell r="F1096" t="str">
            <v/>
          </cell>
          <cell r="H1096" t="str">
            <v/>
          </cell>
          <cell r="I1096" t="str">
            <v/>
          </cell>
          <cell r="J1096" t="str">
            <v/>
          </cell>
          <cell r="K1096" t="str">
            <v/>
          </cell>
        </row>
        <row r="1097">
          <cell r="A1097" t="str">
            <v/>
          </cell>
          <cell r="C1097" t="str">
            <v/>
          </cell>
          <cell r="D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</row>
        <row r="1098">
          <cell r="A1098" t="str">
            <v/>
          </cell>
          <cell r="C1098" t="str">
            <v/>
          </cell>
          <cell r="D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</row>
        <row r="1099">
          <cell r="A1099" t="str">
            <v/>
          </cell>
          <cell r="C1099" t="str">
            <v/>
          </cell>
          <cell r="D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6" sqref="N6:N26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ZAKHC: 59208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1" t="str">
        <f>Poor!Z1</f>
        <v>Apr-Jun</v>
      </c>
      <c r="AA1" s="252"/>
      <c r="AB1" s="251" t="str">
        <f>Poor!AB1</f>
        <v>Jul-Sep</v>
      </c>
      <c r="AC1" s="252"/>
      <c r="AD1" s="251" t="str">
        <f>Poor!AD1</f>
        <v>Oct-Dec</v>
      </c>
      <c r="AE1" s="252"/>
      <c r="AF1" s="251" t="str">
        <f>Poor!AF1</f>
        <v>Jan-Mar</v>
      </c>
      <c r="AG1" s="252"/>
      <c r="AH1" s="117"/>
      <c r="AI1" s="110"/>
      <c r="AJ1" s="196" t="str">
        <f>LEFT(Z1,4) &amp; MID(AB1,5,3)</f>
        <v>Apr-Sep</v>
      </c>
      <c r="AK1" s="197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3" t="str">
        <f>Poor!Z2</f>
        <v>Q1</v>
      </c>
      <c r="AA2" s="254"/>
      <c r="AB2" s="253" t="str">
        <f>Poor!AB2</f>
        <v>Q2</v>
      </c>
      <c r="AC2" s="254"/>
      <c r="AD2" s="253" t="str">
        <f>Poor!AD2</f>
        <v>Q3</v>
      </c>
      <c r="AE2" s="254"/>
      <c r="AF2" s="253" t="str">
        <f>Poor!AF2</f>
        <v>Q4</v>
      </c>
      <c r="AG2" s="254"/>
      <c r="AH2" s="117"/>
      <c r="AI2" s="110"/>
      <c r="AJ2" s="198" t="str">
        <f>Poor!AJ2</f>
        <v>H1</v>
      </c>
      <c r="AK2" s="199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6">
        <f>IF([1]Summ!C1044="",0,[1]Summ!C1044)</f>
        <v>0</v>
      </c>
      <c r="C6" s="216">
        <f>IF([1]Summ!D1044="",0,[1]Summ!D1044)</f>
        <v>0</v>
      </c>
      <c r="D6" s="24">
        <f t="shared" ref="D6:D28" si="0">(B6+C6)</f>
        <v>0</v>
      </c>
      <c r="E6" s="75">
        <f>Poor!E6</f>
        <v>1</v>
      </c>
      <c r="F6" s="2" t="s">
        <v>21</v>
      </c>
      <c r="H6" s="24">
        <f t="shared" ref="H6:H29" si="1">(E6*F$7/F$9)</f>
        <v>1</v>
      </c>
      <c r="I6" s="22">
        <f t="shared" ref="I6:I29" si="2">(D6*H6)</f>
        <v>0</v>
      </c>
      <c r="J6" s="24">
        <f t="shared" ref="J6:J13" si="3">IF(I$32&lt;=1+I$131,I6,B6*H6+J$33*(I6-B6*H6))</f>
        <v>0</v>
      </c>
      <c r="K6" s="22">
        <f t="shared" ref="K6:K31" si="4">B6</f>
        <v>0</v>
      </c>
      <c r="L6" s="22">
        <f t="shared" ref="L6:L29" si="5">IF(K6="","",K6*H6)</f>
        <v>0</v>
      </c>
      <c r="M6" s="177">
        <f t="shared" ref="M6:M31" si="6">J6</f>
        <v>0</v>
      </c>
      <c r="N6" s="233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4">
        <f>M6*4</f>
        <v>0</v>
      </c>
      <c r="Z6" s="156">
        <f>Poor!Z6</f>
        <v>0.17</v>
      </c>
      <c r="AA6" s="121">
        <f>$M6*Z6*4</f>
        <v>0</v>
      </c>
      <c r="AB6" s="156">
        <f>Poor!AB6</f>
        <v>0.17</v>
      </c>
      <c r="AC6" s="121">
        <f t="shared" ref="AC6:AC29" si="7">$M6*AB6*4</f>
        <v>0</v>
      </c>
      <c r="AD6" s="156">
        <f>Poor!AD6</f>
        <v>0.33</v>
      </c>
      <c r="AE6" s="121">
        <f t="shared" ref="AE6:AE29" si="8">$M6*AD6*4</f>
        <v>0</v>
      </c>
      <c r="AF6" s="122">
        <f>1-SUM(Z6,AB6,AD6)</f>
        <v>0.32999999999999996</v>
      </c>
      <c r="AG6" s="121">
        <f>$M6*AF6*4</f>
        <v>0</v>
      </c>
      <c r="AH6" s="123">
        <f>SUM(Z6,AB6,AD6,AF6)</f>
        <v>1</v>
      </c>
      <c r="AI6" s="184">
        <f>SUM(AA6,AC6,AE6,AG6)/4</f>
        <v>0</v>
      </c>
      <c r="AJ6" s="120">
        <f>(AA6+AC6)/2</f>
        <v>0</v>
      </c>
      <c r="AK6" s="119">
        <f>(AE6+AG6)/2</f>
        <v>0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216">
        <f>IF([1]Summ!C1045="",0,[1]Summ!C1045)</f>
        <v>1.0125300213485146E-2</v>
      </c>
      <c r="C7" s="216">
        <f>IF([1]Summ!D1045="",0,[1]Summ!D1045)</f>
        <v>0</v>
      </c>
      <c r="D7" s="24">
        <f t="shared" si="0"/>
        <v>1.0125300213485146E-2</v>
      </c>
      <c r="E7" s="75">
        <f>Poor!E7</f>
        <v>1</v>
      </c>
      <c r="F7" s="27">
        <v>8800</v>
      </c>
      <c r="H7" s="24">
        <f t="shared" si="1"/>
        <v>1</v>
      </c>
      <c r="I7" s="22">
        <f t="shared" si="2"/>
        <v>1.0125300213485146E-2</v>
      </c>
      <c r="J7" s="24">
        <f t="shared" si="3"/>
        <v>1.0125300213485146E-2</v>
      </c>
      <c r="K7" s="22">
        <f t="shared" si="4"/>
        <v>1.0125300213485146E-2</v>
      </c>
      <c r="L7" s="22">
        <f t="shared" si="5"/>
        <v>1.0125300213485146E-2</v>
      </c>
      <c r="M7" s="177">
        <f t="shared" si="6"/>
        <v>1.0125300213485146E-2</v>
      </c>
      <c r="N7" s="233">
        <v>3</v>
      </c>
      <c r="O7" s="2"/>
      <c r="P7" s="22"/>
      <c r="Q7" s="59" t="s">
        <v>71</v>
      </c>
      <c r="R7" s="226">
        <f>IF($B$81=0,0,(SUMIF($N$6:$N$28,$U7,K$6:K$28)+SUMIF($N$91:$N$118,$U7,K$91:K$118))*$B$83*$H$84*Poor!$B$81/$B$81)</f>
        <v>708.82399368587198</v>
      </c>
      <c r="S7" s="226">
        <f>IF($B$81=0,0,(SUMIF($N$6:$N$28,$U7,L$6:L$28)+SUMIF($N$91:$N$118,$U7,L$91:L$118))*$B$83*$H$84*Poor!$B$81/$B$81)</f>
        <v>708.82399368587198</v>
      </c>
      <c r="T7" s="226">
        <f>IF($B$81=0,0,(SUMIF($N$6:$N$28,$U7,M$6:M$28)+SUMIF($N$91:$N$118,$U7,M$91:M$118))*$B$83*$H$84*Poor!$B$81/$B$81)</f>
        <v>708.82399368587198</v>
      </c>
      <c r="U7" s="227">
        <v>1</v>
      </c>
      <c r="V7" s="56"/>
      <c r="W7" s="115"/>
      <c r="X7" s="118">
        <f>Poor!X7</f>
        <v>4</v>
      </c>
      <c r="Y7" s="184">
        <f t="shared" ref="Y7:Y29" si="9">M7*4</f>
        <v>4.0501200853940586E-2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4.0501200853940586E-2</v>
      </c>
      <c r="AH7" s="123">
        <f t="shared" ref="AH7:AH30" si="12">SUM(Z7,AB7,AD7,AF7)</f>
        <v>1</v>
      </c>
      <c r="AI7" s="184">
        <f t="shared" ref="AI7:AI30" si="13">SUM(AA7,AC7,AE7,AG7)/4</f>
        <v>1.0125300213485146E-2</v>
      </c>
      <c r="AJ7" s="120">
        <f t="shared" ref="AJ7:AJ31" si="14">(AA7+AC7)/2</f>
        <v>0</v>
      </c>
      <c r="AK7" s="119">
        <f t="shared" ref="AK7:AK31" si="15">(AE7+AG7)/2</f>
        <v>2.0250600426970293E-2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Maize: kg produced</v>
      </c>
      <c r="B8" s="216">
        <f>IF([1]Summ!C1046="",0,[1]Summ!C1046)</f>
        <v>4.5964673189823876E-2</v>
      </c>
      <c r="C8" s="216">
        <f>IF([1]Summ!D1046="",0,[1]Summ!D1046)</f>
        <v>0</v>
      </c>
      <c r="D8" s="24">
        <f t="shared" si="0"/>
        <v>4.5964673189823876E-2</v>
      </c>
      <c r="E8" s="75">
        <f>Poor!E8</f>
        <v>1</v>
      </c>
      <c r="F8" s="22" t="s">
        <v>23</v>
      </c>
      <c r="H8" s="24">
        <f t="shared" si="1"/>
        <v>1</v>
      </c>
      <c r="I8" s="22">
        <f t="shared" si="2"/>
        <v>4.5964673189823876E-2</v>
      </c>
      <c r="J8" s="24">
        <f t="shared" si="3"/>
        <v>4.5964673189823876E-2</v>
      </c>
      <c r="K8" s="22">
        <f t="shared" si="4"/>
        <v>4.5964673189823876E-2</v>
      </c>
      <c r="L8" s="22">
        <f t="shared" si="5"/>
        <v>4.5964673189823876E-2</v>
      </c>
      <c r="M8" s="228">
        <f t="shared" si="6"/>
        <v>4.5964673189823876E-2</v>
      </c>
      <c r="N8" s="233">
        <v>1</v>
      </c>
      <c r="O8" s="2"/>
      <c r="P8" s="22"/>
      <c r="Q8" s="59" t="s">
        <v>72</v>
      </c>
      <c r="R8" s="226">
        <f>IF($B$81=0,0,(SUMIF($N$6:$N$28,$U8,K$6:K$28)+SUMIF($N$91:$N$118,$U8,K$91:K$118))*$B$83*$H$84*Poor!$B$81/$B$81)</f>
        <v>0</v>
      </c>
      <c r="S8" s="226">
        <f>IF($B$81=0,0,(SUMIF($N$6:$N$28,$U8,L$6:L$28)+SUMIF($N$91:$N$118,$U8,L$91:L$118))*$B$83*$H$84*Poor!$B$81/$B$81)</f>
        <v>0</v>
      </c>
      <c r="T8" s="226">
        <f>IF($B$81=0,0,(SUMIF($N$6:$N$28,$U8,M$6:M$28)+SUMIF($N$91:$N$118,$U8,M$91:M$118))*$B$83*$H$84*Poor!$B$81/$B$81)</f>
        <v>0</v>
      </c>
      <c r="U8" s="227">
        <v>2</v>
      </c>
      <c r="V8" s="56"/>
      <c r="W8" s="115"/>
      <c r="X8" s="118">
        <f>Poor!X8</f>
        <v>1</v>
      </c>
      <c r="Y8" s="184">
        <f t="shared" si="9"/>
        <v>0.18385869275929551</v>
      </c>
      <c r="Z8" s="125">
        <f>IF($Y8=0,0,AA8/$Y8)</f>
        <v>0.86740073335788148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0.15947916493363434</v>
      </c>
      <c r="AB8" s="125">
        <f>IF($Y8=0,0,AC8/$Y8)</f>
        <v>0.13259926664211849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2.4379527825661162E-2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4">
        <f t="shared" si="13"/>
        <v>4.5964673189823876E-2</v>
      </c>
      <c r="AJ8" s="120">
        <f t="shared" si="14"/>
        <v>9.1929346379647753E-2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Beans: kg produced</v>
      </c>
      <c r="B9" s="216">
        <f>IF([1]Summ!C1047="",0,[1]Summ!C1047)</f>
        <v>1.2625201921366307E-2</v>
      </c>
      <c r="C9" s="216">
        <f>IF([1]Summ!D1047="",0,[1]Summ!D1047)</f>
        <v>0</v>
      </c>
      <c r="D9" s="24">
        <f t="shared" si="0"/>
        <v>1.2625201921366307E-2</v>
      </c>
      <c r="E9" s="75">
        <f>Poor!E9</f>
        <v>1</v>
      </c>
      <c r="F9" s="76">
        <f>Poor!F9</f>
        <v>8800</v>
      </c>
      <c r="H9" s="24">
        <f t="shared" si="1"/>
        <v>1</v>
      </c>
      <c r="I9" s="22">
        <f t="shared" si="2"/>
        <v>1.2625201921366307E-2</v>
      </c>
      <c r="J9" s="24">
        <f t="shared" si="3"/>
        <v>1.2625201921366307E-2</v>
      </c>
      <c r="K9" s="22">
        <f t="shared" si="4"/>
        <v>1.2625201921366307E-2</v>
      </c>
      <c r="L9" s="22">
        <f t="shared" si="5"/>
        <v>1.2625201921366307E-2</v>
      </c>
      <c r="M9" s="228">
        <f t="shared" si="6"/>
        <v>1.2625201921366307E-2</v>
      </c>
      <c r="N9" s="233">
        <v>1</v>
      </c>
      <c r="O9" s="2"/>
      <c r="P9" s="22"/>
      <c r="Q9" s="59" t="s">
        <v>73</v>
      </c>
      <c r="R9" s="226">
        <f>IF($B$81=0,0,(SUMIF($N$6:$N$28,$U9,K$6:K$28)+SUMIF($N$91:$N$118,$U9,K$91:K$118))*$B$83*$H$84*Poor!$B$81/$B$81)</f>
        <v>85.83267561168114</v>
      </c>
      <c r="S9" s="226">
        <f>IF($B$81=0,0,(SUMIF($N$6:$N$28,$U9,L$6:L$28)+SUMIF($N$91:$N$118,$U9,L$91:L$118))*$B$83*$H$84*Poor!$B$81/$B$81)</f>
        <v>85.83267561168114</v>
      </c>
      <c r="T9" s="226">
        <f>IF($B$81=0,0,(SUMIF($N$6:$N$28,$U9,M$6:M$28)+SUMIF($N$91:$N$118,$U9,M$91:M$118))*$B$83*$H$84*Poor!$B$81/$B$81)</f>
        <v>85.83267561168114</v>
      </c>
      <c r="U9" s="227">
        <v>3</v>
      </c>
      <c r="V9" s="56"/>
      <c r="W9" s="115"/>
      <c r="X9" s="118">
        <f>Poor!X9</f>
        <v>1</v>
      </c>
      <c r="Y9" s="184">
        <f t="shared" si="9"/>
        <v>5.0500807685465228E-2</v>
      </c>
      <c r="Z9" s="125">
        <f>IF($Y9=0,0,AA9/$Y9)</f>
        <v>0.86740073335788137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4.3804437621537871E-2</v>
      </c>
      <c r="AB9" s="125">
        <f>IF($Y9=0,0,AC9/$Y9)</f>
        <v>0.1325992666421186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6.6963700639273566E-3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4">
        <f t="shared" si="13"/>
        <v>1.2625201921366307E-2</v>
      </c>
      <c r="AJ9" s="120">
        <f t="shared" si="14"/>
        <v>2.5250403842732614E-2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potatoes: kg produced</v>
      </c>
      <c r="B10" s="216">
        <f>IF([1]Summ!C1048="",0,[1]Summ!C1048)</f>
        <v>2.5026948941469486E-2</v>
      </c>
      <c r="C10" s="216">
        <f>IF([1]Summ!D1048="",0,[1]Summ!D1048)</f>
        <v>0</v>
      </c>
      <c r="D10" s="24">
        <f t="shared" si="0"/>
        <v>2.5026948941469486E-2</v>
      </c>
      <c r="E10" s="75">
        <f>Poor!E10</f>
        <v>1</v>
      </c>
      <c r="H10" s="24">
        <f t="shared" si="1"/>
        <v>1</v>
      </c>
      <c r="I10" s="22">
        <f t="shared" si="2"/>
        <v>2.5026948941469486E-2</v>
      </c>
      <c r="J10" s="24">
        <f t="shared" si="3"/>
        <v>2.5026948941469486E-2</v>
      </c>
      <c r="K10" s="22">
        <f t="shared" si="4"/>
        <v>2.5026948941469486E-2</v>
      </c>
      <c r="L10" s="22">
        <f t="shared" si="5"/>
        <v>2.5026948941469486E-2</v>
      </c>
      <c r="M10" s="228">
        <f t="shared" si="6"/>
        <v>2.5026948941469486E-2</v>
      </c>
      <c r="N10" s="233">
        <v>1</v>
      </c>
      <c r="O10" s="2"/>
      <c r="P10" s="22"/>
      <c r="Q10" s="59" t="s">
        <v>74</v>
      </c>
      <c r="R10" s="226">
        <f>IF($B$81=0,0,(SUMIF($N$6:$N$28,$U10,K$6:K$28)+SUMIF($N$91:$N$118,$U10,K$91:K$118))*$B$83*$H$84*Poor!$B$81/$B$81)</f>
        <v>0</v>
      </c>
      <c r="S10" s="226">
        <f>IF($B$81=0,0,(SUMIF($N$6:$N$28,$U10,L$6:L$28)+SUMIF($N$91:$N$118,$U10,L$91:L$118))*$B$83*$H$84*Poor!$B$81/$B$81)</f>
        <v>0</v>
      </c>
      <c r="T10" s="226">
        <f>IF($B$81=0,0,(SUMIF($N$6:$N$28,$U10,M$6:M$28)+SUMIF($N$91:$N$118,$U10,M$91:M$118))*$B$83*$H$84*Poor!$B$81/$B$81)</f>
        <v>0</v>
      </c>
      <c r="U10" s="227">
        <v>4</v>
      </c>
      <c r="V10" s="56"/>
      <c r="W10" s="115"/>
      <c r="X10" s="118">
        <f>Poor!X10</f>
        <v>1</v>
      </c>
      <c r="Y10" s="184">
        <f t="shared" si="9"/>
        <v>0.10010779576587794</v>
      </c>
      <c r="Z10" s="125">
        <f>IF($Y10=0,0,AA10/$Y10)</f>
        <v>0.86740073335788148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8.6833575462163554E-2</v>
      </c>
      <c r="AB10" s="125">
        <f>IF($Y10=0,0,AC10/$Y10)</f>
        <v>0.13259926664211849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1.327422030371439E-2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4">
        <f t="shared" si="13"/>
        <v>2.5026948941469486E-2</v>
      </c>
      <c r="AJ10" s="120">
        <f t="shared" si="14"/>
        <v>5.0053897882938972E-2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WILD FOODS -- see worksheet Data 3</v>
      </c>
      <c r="B11" s="216">
        <f>IF([1]Summ!C1049="",0,[1]Summ!C1049)</f>
        <v>0</v>
      </c>
      <c r="C11" s="216">
        <f>IF([1]Summ!D1049="",0,[1]Summ!D1049)</f>
        <v>0.03</v>
      </c>
      <c r="D11" s="24">
        <f t="shared" si="0"/>
        <v>0.03</v>
      </c>
      <c r="E11" s="75">
        <f>Poor!E11</f>
        <v>1</v>
      </c>
      <c r="H11" s="24">
        <f t="shared" si="1"/>
        <v>1</v>
      </c>
      <c r="I11" s="22">
        <f t="shared" si="2"/>
        <v>0.03</v>
      </c>
      <c r="J11" s="24">
        <f t="shared" si="3"/>
        <v>0.03</v>
      </c>
      <c r="K11" s="22">
        <f t="shared" si="4"/>
        <v>0</v>
      </c>
      <c r="L11" s="22">
        <f t="shared" si="5"/>
        <v>0</v>
      </c>
      <c r="M11" s="228">
        <f t="shared" si="6"/>
        <v>0.03</v>
      </c>
      <c r="N11" s="233">
        <v>6</v>
      </c>
      <c r="O11" s="2"/>
      <c r="P11" s="22"/>
      <c r="Q11" s="59" t="s">
        <v>75</v>
      </c>
      <c r="R11" s="226">
        <f>IF($B$81=0,0,(SUMIF($N$6:$N$28,$U11,K$6:K$28)+SUMIF($N$91:$N$118,$U11,K$91:K$118))*$B$83*$H$84*Poor!$B$81/$B$81)</f>
        <v>1285.7142857142858</v>
      </c>
      <c r="S11" s="226">
        <f>IF($B$81=0,0,(SUMIF($N$6:$N$28,$U11,L$6:L$28)+SUMIF($N$91:$N$118,$U11,L$91:L$118))*$B$83*$H$84*Poor!$B$81/$B$81)</f>
        <v>1285.7142857142858</v>
      </c>
      <c r="T11" s="226">
        <f>IF($B$81=0,0,(SUMIF($N$6:$N$28,$U11,M$6:M$28)+SUMIF($N$91:$N$118,$U11,M$91:M$118))*$B$83*$H$84*Poor!$B$81/$B$81)</f>
        <v>1285.7142857142858</v>
      </c>
      <c r="U11" s="227">
        <v>5</v>
      </c>
      <c r="V11" s="56"/>
      <c r="W11" s="115"/>
      <c r="X11" s="118">
        <f>Poor!X11</f>
        <v>1</v>
      </c>
      <c r="Y11" s="184">
        <f t="shared" si="9"/>
        <v>0.12</v>
      </c>
      <c r="Z11" s="125">
        <f>IF($Y11=0,0,AA11/$Y11)</f>
        <v>0.86740073335788137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0.10408808800294576</v>
      </c>
      <c r="AB11" s="125">
        <f>IF($Y11=0,0,AC11/$Y11)</f>
        <v>0.1325992666421186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1.5911911997054232E-2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4">
        <f t="shared" si="13"/>
        <v>0.03</v>
      </c>
      <c r="AJ11" s="120">
        <f t="shared" si="14"/>
        <v>0.06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/>
      </c>
      <c r="B12" s="216">
        <f>IF([1]Summ!C1050="",0,[1]Summ!C1050)</f>
        <v>0</v>
      </c>
      <c r="C12" s="216">
        <f>IF([1]Summ!D1050="",0,[1]Summ!D1050)</f>
        <v>0</v>
      </c>
      <c r="D12" s="24">
        <f t="shared" si="0"/>
        <v>0</v>
      </c>
      <c r="E12" s="75">
        <f>Poor!E12</f>
        <v>1</v>
      </c>
      <c r="H12" s="24">
        <f t="shared" si="1"/>
        <v>1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8">
        <f t="shared" si="6"/>
        <v>0</v>
      </c>
      <c r="N12" s="233"/>
      <c r="O12" s="2"/>
      <c r="P12" s="22"/>
      <c r="Q12" s="126" t="s">
        <v>124</v>
      </c>
      <c r="R12" s="226">
        <f>IF($B$81=0,0,(SUMIF($N$6:$N$28,$U12,K$6:K$28)+SUMIF($N$91:$N$118,$U12,K$91:K$118))*$B$83*$H$84*Poor!$B$81/$B$81)</f>
        <v>0</v>
      </c>
      <c r="S12" s="226">
        <f>IF($B$81=0,0,(SUMIF($N$6:$N$28,$U12,L$6:L$28)+SUMIF($N$91:$N$118,$U12,L$91:L$118))*$B$83*$H$84*Poor!$B$81/$B$81)</f>
        <v>0</v>
      </c>
      <c r="T12" s="226">
        <f>IF($B$81=0,0,(SUMIF($N$6:$N$28,$U12,M$6:M$28)+SUMIF($N$91:$N$118,$U12,M$91:M$118))*$B$83*$H$84*Poor!$B$81/$B$81)</f>
        <v>1111.4543554746308</v>
      </c>
      <c r="U12" s="227">
        <v>6</v>
      </c>
      <c r="V12" s="56"/>
      <c r="W12" s="117"/>
      <c r="X12" s="118">
        <v>1</v>
      </c>
      <c r="Y12" s="184">
        <f t="shared" si="9"/>
        <v>0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0</v>
      </c>
      <c r="AF12" s="122">
        <f>1-SUM(Z12,AB12,AD12)</f>
        <v>0.32999999999999996</v>
      </c>
      <c r="AG12" s="121">
        <f>$M12*AF12*4</f>
        <v>0</v>
      </c>
      <c r="AH12" s="123">
        <f t="shared" si="12"/>
        <v>1</v>
      </c>
      <c r="AI12" s="184">
        <f t="shared" si="13"/>
        <v>0</v>
      </c>
      <c r="AJ12" s="120">
        <f t="shared" si="14"/>
        <v>0</v>
      </c>
      <c r="AK12" s="119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/>
      </c>
      <c r="B13" s="216">
        <f>IF([1]Summ!C1051="",0,[1]Summ!C1051)</f>
        <v>0</v>
      </c>
      <c r="C13" s="216">
        <f>IF([1]Summ!D1051="",0,[1]Summ!D1051)</f>
        <v>0</v>
      </c>
      <c r="D13" s="24">
        <f t="shared" si="0"/>
        <v>0</v>
      </c>
      <c r="E13" s="75">
        <f>Poor!E13</f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9">
        <f t="shared" si="6"/>
        <v>0</v>
      </c>
      <c r="N13" s="233"/>
      <c r="O13" s="2"/>
      <c r="P13" s="22"/>
      <c r="Q13" s="59" t="s">
        <v>76</v>
      </c>
      <c r="R13" s="226">
        <f>IF($B$81=0,0,(SUMIF($N$6:$N$28,$U13,K$6:K$28)+SUMIF($N$91:$N$118,$U13,K$91:K$118))*$B$83*$H$84*Poor!$B$81/$B$81)</f>
        <v>7428.5714285714284</v>
      </c>
      <c r="S13" s="226">
        <f>IF($B$81=0,0,(SUMIF($N$6:$N$28,$U13,L$6:L$28)+SUMIF($N$91:$N$118,$U13,L$91:L$118))*$B$83*$H$84*Poor!$B$81/$B$81)</f>
        <v>7428.5714285714284</v>
      </c>
      <c r="T13" s="226">
        <f>IF($B$81=0,0,(SUMIF($N$6:$N$28,$U13,M$6:M$28)+SUMIF($N$91:$N$118,$U13,M$91:M$118))*$B$83*$H$84*Poor!$B$81/$B$81)</f>
        <v>7428.5714285714284</v>
      </c>
      <c r="U13" s="227">
        <v>7</v>
      </c>
      <c r="V13" s="56"/>
      <c r="W13" s="110"/>
      <c r="X13" s="118"/>
      <c r="Y13" s="184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4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/>
      </c>
      <c r="B14" s="216">
        <f>IF([1]Summ!C1052="",0,[1]Summ!C1052)</f>
        <v>0</v>
      </c>
      <c r="C14" s="216">
        <f>IF([1]Summ!D1052="",0,[1]Summ!D1052)</f>
        <v>0</v>
      </c>
      <c r="D14" s="24">
        <f t="shared" si="0"/>
        <v>0</v>
      </c>
      <c r="E14" s="75">
        <f>Poor!E14</f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9">
        <f t="shared" si="6"/>
        <v>0</v>
      </c>
      <c r="N14" s="233"/>
      <c r="O14" s="2"/>
      <c r="P14" s="22"/>
      <c r="Q14" s="126" t="s">
        <v>77</v>
      </c>
      <c r="R14" s="226">
        <f>IF($B$81=0,0,(SUMIF($N$6:$N$28,$U14,K$6:K$28)+SUMIF($N$91:$N$118,$U14,K$91:K$118))*$B$83*$H$84*Poor!$B$81/$B$81)</f>
        <v>0</v>
      </c>
      <c r="S14" s="226">
        <f>IF($B$81=0,0,(SUMIF($N$6:$N$28,$U14,L$6:L$28)+SUMIF($N$91:$N$118,$U14,L$91:L$118))*$B$83*$H$84*Poor!$B$81/$B$81)</f>
        <v>0</v>
      </c>
      <c r="T14" s="226">
        <f>IF($B$81=0,0,(SUMIF($N$6:$N$28,$U14,M$6:M$28)+SUMIF($N$91:$N$118,$U14,M$91:M$118))*$B$83*$H$84*Poor!$B$81/$B$81)</f>
        <v>0</v>
      </c>
      <c r="U14" s="227">
        <v>8</v>
      </c>
      <c r="V14" s="56"/>
      <c r="W14" s="110"/>
      <c r="X14" s="118"/>
      <c r="Y14" s="184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4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/>
      </c>
      <c r="B15" s="216">
        <f>IF([1]Summ!C1053="",0,[1]Summ!C1053)</f>
        <v>0</v>
      </c>
      <c r="C15" s="216">
        <f>IF([1]Summ!D1053="",0,[1]Summ!D1053)</f>
        <v>0</v>
      </c>
      <c r="D15" s="24">
        <f t="shared" si="0"/>
        <v>0</v>
      </c>
      <c r="E15" s="75">
        <f>Poor!E15</f>
        <v>1</v>
      </c>
      <c r="F15" s="22"/>
      <c r="H15" s="24">
        <f t="shared" si="1"/>
        <v>1</v>
      </c>
      <c r="I15" s="22">
        <f t="shared" si="2"/>
        <v>0</v>
      </c>
      <c r="J15" s="24">
        <f t="shared" ref="J15:J25" si="17">IF(I$32&lt;=1+I131,I15,B15*H15+J$33*(I15-B15*H15))</f>
        <v>0</v>
      </c>
      <c r="K15" s="22">
        <f t="shared" si="4"/>
        <v>0</v>
      </c>
      <c r="L15" s="22">
        <f t="shared" si="5"/>
        <v>0</v>
      </c>
      <c r="M15" s="230">
        <f t="shared" si="6"/>
        <v>0</v>
      </c>
      <c r="N15" s="233"/>
      <c r="O15" s="2"/>
      <c r="P15" s="22"/>
      <c r="Q15" s="59" t="s">
        <v>128</v>
      </c>
      <c r="R15" s="226">
        <f>IF($B$81=0,0,(SUMIF($N$6:$N$28,$U15,K$6:K$28)+SUMIF($N$91:$N$118,$U15,K$91:K$118))*$B$83*$H$84*Poor!$B$81/$B$81)</f>
        <v>0</v>
      </c>
      <c r="S15" s="226">
        <f>IF($B$81=0,0,(SUMIF($N$6:$N$28,$U15,L$6:L$28)+SUMIF($N$91:$N$118,$U15,L$91:L$118))*$B$83*$H$84*Poor!$B$81/$B$81)</f>
        <v>0</v>
      </c>
      <c r="T15" s="226">
        <f>IF($B$81=0,0,(SUMIF($N$6:$N$28,$U15,M$6:M$28)+SUMIF($N$91:$N$118,$U15,M$91:M$118))*$B$83*$H$84*Poor!$B$81/$B$81)</f>
        <v>0</v>
      </c>
      <c r="U15" s="227">
        <v>9</v>
      </c>
      <c r="V15" s="56"/>
      <c r="W15" s="110"/>
      <c r="X15" s="118"/>
      <c r="Y15" s="184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4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/>
      </c>
      <c r="B16" s="216">
        <f>IF([1]Summ!C1054="",0,[1]Summ!C1054)</f>
        <v>0</v>
      </c>
      <c r="C16" s="216">
        <f>IF([1]Summ!D1054="",0,[1]Summ!D1054)</f>
        <v>0</v>
      </c>
      <c r="D16" s="24">
        <f t="shared" ref="D16:D25" si="18">(B16+C16)</f>
        <v>0</v>
      </c>
      <c r="E16" s="75">
        <f>Poor!E16</f>
        <v>1</v>
      </c>
      <c r="F16" s="22"/>
      <c r="H16" s="24">
        <f t="shared" ref="H16:H25" si="19">(E16*F$7/F$9)</f>
        <v>1</v>
      </c>
      <c r="I16" s="22">
        <f t="shared" ref="I16:I25" si="20">(D16*H16)</f>
        <v>0</v>
      </c>
      <c r="J16" s="24">
        <f t="shared" si="17"/>
        <v>0</v>
      </c>
      <c r="K16" s="22">
        <f t="shared" ref="K16:K25" si="21">B16</f>
        <v>0</v>
      </c>
      <c r="L16" s="22">
        <f t="shared" ref="L16:L25" si="22">IF(K16="","",K16*H16)</f>
        <v>0</v>
      </c>
      <c r="M16" s="230">
        <f t="shared" ref="M16:M25" si="23">J16</f>
        <v>0</v>
      </c>
      <c r="N16" s="233"/>
      <c r="O16" s="2"/>
      <c r="P16" s="22"/>
      <c r="Q16" s="126" t="s">
        <v>78</v>
      </c>
      <c r="R16" s="226">
        <f>IF($B$81=0,0,(SUMIF($N$6:$N$28,$U16,K$6:K$28)+SUMIF($N$91:$N$118,$U16,K$91:K$118))*$B$83*$H$84*Poor!$B$81/$B$81)</f>
        <v>0</v>
      </c>
      <c r="S16" s="226">
        <f>IF($B$81=0,0,(SUMIF($N$6:$N$28,$U16,L$6:L$28)+SUMIF($N$91:$N$118,$U16,L$91:L$118))*$B$83*$H$84*Poor!$B$81/$B$81)</f>
        <v>0</v>
      </c>
      <c r="T16" s="226">
        <f>IF($B$81=0,0,(SUMIF($N$6:$N$28,$U16,M$6:M$28)+SUMIF($N$91:$N$118,$U16,M$91:M$118))*$B$83*$H$84*Poor!$B$81/$B$81)</f>
        <v>0</v>
      </c>
      <c r="U16" s="227">
        <v>10</v>
      </c>
      <c r="V16" s="56"/>
      <c r="W16" s="110"/>
      <c r="X16" s="118"/>
      <c r="Y16" s="184"/>
      <c r="Z16" s="156"/>
      <c r="AA16" s="121"/>
      <c r="AB16" s="156"/>
      <c r="AC16" s="121"/>
      <c r="AD16" s="156"/>
      <c r="AE16" s="121"/>
      <c r="AF16" s="122"/>
      <c r="AG16" s="121"/>
      <c r="AH16" s="123"/>
      <c r="AI16" s="184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/>
      </c>
      <c r="B17" s="216">
        <f>IF([1]Summ!C1055="",0,[1]Summ!C1055)</f>
        <v>0</v>
      </c>
      <c r="C17" s="216">
        <f>IF([1]Summ!D1055="",0,[1]Summ!D1055)</f>
        <v>0</v>
      </c>
      <c r="D17" s="24">
        <f t="shared" si="18"/>
        <v>0</v>
      </c>
      <c r="E17" s="75">
        <f>Poor!E17</f>
        <v>1</v>
      </c>
      <c r="F17" s="22"/>
      <c r="H17" s="24">
        <f t="shared" si="19"/>
        <v>1</v>
      </c>
      <c r="I17" s="22">
        <f t="shared" si="20"/>
        <v>0</v>
      </c>
      <c r="J17" s="24">
        <f t="shared" si="17"/>
        <v>0</v>
      </c>
      <c r="K17" s="22">
        <f t="shared" si="21"/>
        <v>0</v>
      </c>
      <c r="L17" s="22">
        <f t="shared" si="22"/>
        <v>0</v>
      </c>
      <c r="M17" s="230">
        <f t="shared" si="23"/>
        <v>0</v>
      </c>
      <c r="N17" s="233"/>
      <c r="O17" s="2"/>
      <c r="P17" s="22"/>
      <c r="Q17" s="126" t="s">
        <v>125</v>
      </c>
      <c r="R17" s="226">
        <f>IF($B$81=0,0,(SUMIF($N$6:$N$28,$U17,K$6:K$28)+SUMIF($N$91:$N$118,$U17,K$91:K$118))*$B$83*$H$84*Poor!$B$81/$B$81)</f>
        <v>0</v>
      </c>
      <c r="S17" s="226">
        <f>IF($B$81=0,0,(SUMIF($N$6:$N$28,$U17,L$6:L$28)+SUMIF($N$91:$N$118,$U17,L$91:L$118))*$B$83*$H$84*Poor!$B$81/$B$81)</f>
        <v>0</v>
      </c>
      <c r="T17" s="226">
        <f>IF($B$81=0,0,(SUMIF($N$6:$N$28,$U17,M$6:M$28)+SUMIF($N$91:$N$118,$U17,M$91:M$118))*$B$83*$H$84*Poor!$B$81/$B$81)</f>
        <v>0</v>
      </c>
      <c r="U17" s="227">
        <v>11</v>
      </c>
      <c r="V17" s="56"/>
      <c r="W17" s="110"/>
      <c r="X17" s="118"/>
      <c r="Y17" s="184"/>
      <c r="Z17" s="156"/>
      <c r="AA17" s="121"/>
      <c r="AB17" s="156"/>
      <c r="AC17" s="121"/>
      <c r="AD17" s="156"/>
      <c r="AE17" s="121"/>
      <c r="AF17" s="122"/>
      <c r="AG17" s="121"/>
      <c r="AH17" s="123"/>
      <c r="AI17" s="184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/>
      </c>
      <c r="B18" s="216">
        <f>IF([1]Summ!C1056="",0,[1]Summ!C1056)</f>
        <v>0</v>
      </c>
      <c r="C18" s="216">
        <f>IF([1]Summ!D1056="",0,[1]Summ!D1056)</f>
        <v>0</v>
      </c>
      <c r="D18" s="24">
        <f t="shared" si="18"/>
        <v>0</v>
      </c>
      <c r="E18" s="75">
        <f>Poor!E18</f>
        <v>1</v>
      </c>
      <c r="F18" s="22"/>
      <c r="H18" s="24">
        <f t="shared" si="19"/>
        <v>1</v>
      </c>
      <c r="I18" s="22">
        <f t="shared" si="20"/>
        <v>0</v>
      </c>
      <c r="J18" s="24">
        <f t="shared" si="17"/>
        <v>0</v>
      </c>
      <c r="K18" s="22">
        <f t="shared" si="21"/>
        <v>0</v>
      </c>
      <c r="L18" s="22">
        <f t="shared" si="22"/>
        <v>0</v>
      </c>
      <c r="M18" s="230">
        <f t="shared" si="23"/>
        <v>0</v>
      </c>
      <c r="N18" s="233"/>
      <c r="O18" s="2"/>
      <c r="P18" s="22"/>
      <c r="Q18" s="59" t="s">
        <v>79</v>
      </c>
      <c r="R18" s="226">
        <f>IF($B$81=0,0,(SUMIF($N$6:$N$28,$U18,K$6:K$28)+SUMIF($N$91:$N$118,$U18,K$91:K$118))*$B$83*$H$84*Poor!$B$81/$B$81)</f>
        <v>1009.1726124276728</v>
      </c>
      <c r="S18" s="226">
        <f>IF($B$81=0,0,(SUMIF($N$6:$N$28,$U18,L$6:L$28)+SUMIF($N$91:$N$118,$U18,L$91:L$118))*$B$83*$H$84*Poor!$B$81/$B$81)</f>
        <v>1009.1726124276728</v>
      </c>
      <c r="T18" s="226">
        <f>IF($B$81=0,0,(SUMIF($N$6:$N$28,$U18,M$6:M$28)+SUMIF($N$91:$N$118,$U18,M$91:M$118))*$B$83*$H$84*Poor!$B$81/$B$81)</f>
        <v>1009.1726124276728</v>
      </c>
      <c r="U18" s="227">
        <v>12</v>
      </c>
      <c r="V18" s="56"/>
      <c r="W18" s="110"/>
      <c r="X18" s="118"/>
      <c r="Y18" s="184"/>
      <c r="Z18" s="156"/>
      <c r="AA18" s="121"/>
      <c r="AB18" s="156"/>
      <c r="AC18" s="121"/>
      <c r="AD18" s="156"/>
      <c r="AE18" s="121"/>
      <c r="AF18" s="122"/>
      <c r="AG18" s="121"/>
      <c r="AH18" s="123"/>
      <c r="AI18" s="184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/>
      </c>
      <c r="B19" s="216">
        <f>IF([1]Summ!C1057="",0,[1]Summ!C1057)</f>
        <v>0</v>
      </c>
      <c r="C19" s="216">
        <f>IF([1]Summ!D1057="",0,[1]Summ!D1057)</f>
        <v>0</v>
      </c>
      <c r="D19" s="24">
        <f t="shared" si="18"/>
        <v>0</v>
      </c>
      <c r="E19" s="75">
        <f>Poor!E19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30">
        <f t="shared" si="23"/>
        <v>0</v>
      </c>
      <c r="N19" s="233"/>
      <c r="O19" s="2"/>
      <c r="P19" s="22"/>
      <c r="Q19" s="59" t="s">
        <v>80</v>
      </c>
      <c r="R19" s="226">
        <f>IF($B$81=0,0,(SUMIF($N$6:$N$28,$U19,K$6:K$28)+SUMIF($N$91:$N$118,$U19,K$91:K$118))*$B$83*$H$84*Poor!$B$81/$B$81)</f>
        <v>0</v>
      </c>
      <c r="S19" s="226">
        <f>IF($B$81=0,0,(SUMIF($N$6:$N$28,$U19,L$6:L$28)+SUMIF($N$91:$N$118,$U19,L$91:L$118))*$B$83*$H$84*Poor!$B$81/$B$81)</f>
        <v>0</v>
      </c>
      <c r="T19" s="226">
        <f>IF($B$81=0,0,(SUMIF($N$6:$N$28,$U19,M$6:M$28)+SUMIF($N$91:$N$118,$U19,M$91:M$118))*$B$83*$H$84*Poor!$B$81/$B$81)</f>
        <v>0</v>
      </c>
      <c r="U19" s="227">
        <v>13</v>
      </c>
      <c r="V19" s="56"/>
      <c r="W19" s="110"/>
      <c r="X19" s="118"/>
      <c r="Y19" s="184"/>
      <c r="Z19" s="156"/>
      <c r="AA19" s="121"/>
      <c r="AB19" s="156"/>
      <c r="AC19" s="121"/>
      <c r="AD19" s="156"/>
      <c r="AE19" s="121"/>
      <c r="AF19" s="122"/>
      <c r="AG19" s="121"/>
      <c r="AH19" s="123"/>
      <c r="AI19" s="184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/>
      </c>
      <c r="B20" s="216">
        <f>IF([1]Summ!C1058="",0,[1]Summ!C1058)</f>
        <v>0</v>
      </c>
      <c r="C20" s="216">
        <f>IF([1]Summ!D1058="",0,[1]Summ!D1058)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30">
        <f t="shared" si="23"/>
        <v>0</v>
      </c>
      <c r="N20" s="233"/>
      <c r="O20" s="2"/>
      <c r="P20" s="22"/>
      <c r="Q20" s="59" t="s">
        <v>81</v>
      </c>
      <c r="R20" s="226">
        <f>IF($B$81=0,0,(SUMIF($N$6:$N$28,$U20,K$6:K$28)+SUMIF($N$91:$N$118,$U20,K$91:K$118))*$B$83*$H$84*Poor!$B$81/$B$81)</f>
        <v>23108.571428571428</v>
      </c>
      <c r="S20" s="226">
        <f>IF($B$81=0,0,(SUMIF($N$6:$N$28,$U20,L$6:L$28)+SUMIF($N$91:$N$118,$U20,L$91:L$118))*$B$83*$H$84*Poor!$B$81/$B$81)</f>
        <v>23108.571428571428</v>
      </c>
      <c r="T20" s="226">
        <f>IF($B$81=0,0,(SUMIF($N$6:$N$28,$U20,M$6:M$28)+SUMIF($N$91:$N$118,$U20,M$91:M$118))*$B$83*$H$84*Poor!$B$81/$B$81)</f>
        <v>23108.571428571428</v>
      </c>
      <c r="U20" s="227">
        <v>14</v>
      </c>
      <c r="V20" s="56"/>
      <c r="W20" s="110"/>
      <c r="X20" s="118"/>
      <c r="Y20" s="184"/>
      <c r="Z20" s="156"/>
      <c r="AA20" s="121"/>
      <c r="AB20" s="156"/>
      <c r="AC20" s="121"/>
      <c r="AD20" s="156"/>
      <c r="AE20" s="121"/>
      <c r="AF20" s="122"/>
      <c r="AG20" s="121"/>
      <c r="AH20" s="123"/>
      <c r="AI20" s="184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216">
        <f>IF([1]Summ!C1059="",0,[1]Summ!C1059)</f>
        <v>0</v>
      </c>
      <c r="C21" s="216">
        <f>IF([1]Summ!D1059="",0,[1]Summ!D1059)</f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30">
        <f t="shared" si="23"/>
        <v>0</v>
      </c>
      <c r="N21" s="233"/>
      <c r="O21" s="2"/>
      <c r="P21" s="22"/>
      <c r="Q21" s="59" t="s">
        <v>82</v>
      </c>
      <c r="R21" s="226">
        <f>IF($B$81=0,0,(SUMIF($N$6:$N$28,$U21,K$6:K$28)+SUMIF($N$91:$N$118,$U21,K$91:K$118))*$B$83*$H$84*Poor!$B$81/$B$81)</f>
        <v>0</v>
      </c>
      <c r="S21" s="226">
        <f>IF($B$81=0,0,(SUMIF($N$6:$N$28,$U21,L$6:L$28)+SUMIF($N$91:$N$118,$U21,L$91:L$118))*$B$83*$H$84*Poor!$B$81/$B$81)</f>
        <v>0</v>
      </c>
      <c r="T21" s="226">
        <f>IF($B$81=0,0,(SUMIF($N$6:$N$28,$U21,M$6:M$28)+SUMIF($N$91:$N$118,$U21,M$91:M$118))*$B$83*$H$84*Poor!$B$81/$B$81)</f>
        <v>0</v>
      </c>
      <c r="U21" s="227">
        <v>15</v>
      </c>
      <c r="V21" s="56"/>
      <c r="W21" s="110"/>
      <c r="X21" s="118"/>
      <c r="Y21" s="184"/>
      <c r="Z21" s="156"/>
      <c r="AA21" s="121"/>
      <c r="AB21" s="156"/>
      <c r="AC21" s="121"/>
      <c r="AD21" s="156"/>
      <c r="AE21" s="121"/>
      <c r="AF21" s="122"/>
      <c r="AG21" s="121"/>
      <c r="AH21" s="123"/>
      <c r="AI21" s="184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216">
        <f>IF([1]Summ!C1060="",0,[1]Summ!C1060)</f>
        <v>0</v>
      </c>
      <c r="C22" s="216">
        <f>IF([1]Summ!D1060="",0,[1]Summ!D1060)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30">
        <f t="shared" si="23"/>
        <v>0</v>
      </c>
      <c r="N22" s="233"/>
      <c r="O22" s="2"/>
      <c r="P22" s="22"/>
      <c r="Q22" s="59" t="s">
        <v>83</v>
      </c>
      <c r="R22" s="226">
        <f>IF($B$81=0,0,(SUMIF($N$6:$N$28,$U22,K$6:K$28)+SUMIF($N$91:$N$118,$U22,K$91:K$118))*$B$83*$H$84*Poor!$B$81/$B$81)</f>
        <v>0</v>
      </c>
      <c r="S22" s="226">
        <f>IF($B$81=0,0,(SUMIF($N$6:$N$28,$U22,L$6:L$28)+SUMIF($N$91:$N$118,$U22,L$91:L$118))*$B$83*$H$84*Poor!$B$81/$B$81)</f>
        <v>0</v>
      </c>
      <c r="T22" s="226">
        <f>IF($B$81=0,0,(SUMIF($N$6:$N$28,$U22,M$6:M$28)+SUMIF($N$91:$N$118,$U22,M$91:M$118))*$B$83*$H$84*Poor!$B$81/$B$81)</f>
        <v>0</v>
      </c>
      <c r="U22" s="227">
        <v>16</v>
      </c>
      <c r="V22" s="56"/>
      <c r="W22" s="110"/>
      <c r="X22" s="118"/>
      <c r="Y22" s="184"/>
      <c r="Z22" s="156"/>
      <c r="AA22" s="121"/>
      <c r="AB22" s="156"/>
      <c r="AC22" s="121"/>
      <c r="AD22" s="156"/>
      <c r="AE22" s="121"/>
      <c r="AF22" s="122"/>
      <c r="AG22" s="121"/>
      <c r="AH22" s="123"/>
      <c r="AI22" s="184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216">
        <f>IF([1]Summ!C1061="",0,[1]Summ!C1061)</f>
        <v>0</v>
      </c>
      <c r="C23" s="216">
        <f>IF([1]Summ!D1061="",0,[1]Summ!D1061)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30">
        <f t="shared" si="23"/>
        <v>0</v>
      </c>
      <c r="N23" s="233"/>
      <c r="O23" s="2"/>
      <c r="P23" s="22"/>
      <c r="Q23" s="171" t="s">
        <v>100</v>
      </c>
      <c r="R23" s="179">
        <f>SUM(R7:R22)</f>
        <v>33626.686424582367</v>
      </c>
      <c r="S23" s="179">
        <f>SUM(S7:S22)</f>
        <v>33626.686424582367</v>
      </c>
      <c r="T23" s="179">
        <f>SUM(T7:T22)</f>
        <v>34738.140780057001</v>
      </c>
      <c r="U23" s="56"/>
      <c r="V23" s="56"/>
      <c r="W23" s="110"/>
      <c r="X23" s="118"/>
      <c r="Y23" s="184"/>
      <c r="Z23" s="156"/>
      <c r="AA23" s="121"/>
      <c r="AB23" s="156"/>
      <c r="AC23" s="121"/>
      <c r="AD23" s="156"/>
      <c r="AE23" s="121"/>
      <c r="AF23" s="122"/>
      <c r="AG23" s="121"/>
      <c r="AH23" s="123"/>
      <c r="AI23" s="184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216">
        <f>IF([1]Summ!C1062="",0,[1]Summ!C1062)</f>
        <v>0</v>
      </c>
      <c r="C24" s="216">
        <f>IF([1]Summ!D1062="",0,[1]Summ!D1062)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30">
        <f t="shared" si="23"/>
        <v>0</v>
      </c>
      <c r="N24" s="233"/>
      <c r="O24" s="2"/>
      <c r="P24" s="22"/>
      <c r="Q24" s="59" t="s">
        <v>137</v>
      </c>
      <c r="R24" s="41">
        <f>IF($B$81=0,0,($B$124*$H$124)+1-($D$29*$H$29)-($D$28*$H$28))*$I$83*Poor!$B$81/$B$81</f>
        <v>19286.708587419434</v>
      </c>
      <c r="S24" s="41">
        <f>IF($B$81=0,0,($B$124*($H$124)+1-($D$29*$H$29)-($D$28*$H$28))*$I$83*Poor!$B$81/$B$81)</f>
        <v>19286.708587419434</v>
      </c>
      <c r="T24" s="41">
        <f>IF($B$81=0,0,($B$124*($H$124)+1-($D$29*$H$29)-($D$28*$H$28))*$I$83*Poor!$B$81/$B$81)</f>
        <v>19286.708587419434</v>
      </c>
      <c r="U24" s="56"/>
      <c r="V24" s="56"/>
      <c r="W24" s="110"/>
      <c r="X24" s="118"/>
      <c r="Y24" s="184">
        <f t="shared" si="9"/>
        <v>0</v>
      </c>
      <c r="Z24" s="156">
        <f>Poor!Z16</f>
        <v>0</v>
      </c>
      <c r="AA24" s="121">
        <f t="shared" si="16"/>
        <v>0</v>
      </c>
      <c r="AB24" s="156">
        <f>Poor!AB16</f>
        <v>0</v>
      </c>
      <c r="AC24" s="121">
        <f t="shared" si="7"/>
        <v>0</v>
      </c>
      <c r="AD24" s="156">
        <f>Poor!AD16</f>
        <v>0</v>
      </c>
      <c r="AE24" s="121">
        <f t="shared" si="8"/>
        <v>0</v>
      </c>
      <c r="AF24" s="122">
        <f t="shared" si="10"/>
        <v>1</v>
      </c>
      <c r="AG24" s="121">
        <f t="shared" si="11"/>
        <v>0</v>
      </c>
      <c r="AH24" s="123">
        <f t="shared" si="12"/>
        <v>1</v>
      </c>
      <c r="AI24" s="184">
        <f t="shared" si="13"/>
        <v>0</v>
      </c>
      <c r="AJ24" s="120">
        <f t="shared" si="14"/>
        <v>0</v>
      </c>
      <c r="AK24" s="119">
        <f t="shared" si="15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216">
        <f>IF([1]Summ!C1063="",0,[1]Summ!C1063)</f>
        <v>0</v>
      </c>
      <c r="C25" s="216">
        <f>IF([1]Summ!D1063="",0,[1]Summ!D1063)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30">
        <f t="shared" si="23"/>
        <v>0</v>
      </c>
      <c r="N25" s="233"/>
      <c r="O25" s="2"/>
      <c r="P25" s="22"/>
      <c r="Q25" s="142" t="s">
        <v>138</v>
      </c>
      <c r="R25" s="41">
        <f>IF($B$81=0,0,($B$124*$H$124)+($B$125*$H$125*$H$84)+1-($D$29*$H$29)-($D$28*$H$28))*$I$83*Poor!$B$81/$B$81</f>
        <v>34865.375254086095</v>
      </c>
      <c r="S25" s="41">
        <f>IF($B$81=0,0,($B$124*$H$124)+($B$125*$H$125*$H$84)+1-($D$29*$H$29)-($D$28*$H$28))*$I$83*Poor!$B$81/$B$81</f>
        <v>34865.375254086095</v>
      </c>
      <c r="T25" s="41">
        <f>IF($B$81=0,0,($B$124*$H$124)+($B$125*$H$125*$H$84)+1-($D$29*$H$29)-($D$28*$H$28))*$I$83*Poor!$B$81/$B$81</f>
        <v>34865.375254086095</v>
      </c>
      <c r="U25" s="56"/>
      <c r="V25" s="56"/>
      <c r="W25" s="110"/>
      <c r="X25" s="118"/>
      <c r="Y25" s="184">
        <f t="shared" si="9"/>
        <v>0</v>
      </c>
      <c r="Z25" s="156">
        <f>Poor!Z17</f>
        <v>0.29409999999999997</v>
      </c>
      <c r="AA25" s="121">
        <f t="shared" si="16"/>
        <v>0</v>
      </c>
      <c r="AB25" s="156">
        <f>Poor!AB17</f>
        <v>0.17649999999999999</v>
      </c>
      <c r="AC25" s="121">
        <f t="shared" si="7"/>
        <v>0</v>
      </c>
      <c r="AD25" s="156">
        <f>Poor!AD17</f>
        <v>0.23530000000000001</v>
      </c>
      <c r="AE25" s="121">
        <f t="shared" si="8"/>
        <v>0</v>
      </c>
      <c r="AF25" s="122">
        <f t="shared" si="10"/>
        <v>0.29410000000000003</v>
      </c>
      <c r="AG25" s="121">
        <f t="shared" si="11"/>
        <v>0</v>
      </c>
      <c r="AH25" s="123">
        <f t="shared" si="12"/>
        <v>1</v>
      </c>
      <c r="AI25" s="184">
        <f t="shared" si="13"/>
        <v>0</v>
      </c>
      <c r="AJ25" s="120">
        <f t="shared" si="14"/>
        <v>0</v>
      </c>
      <c r="AK25" s="119">
        <f t="shared" si="15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6">
        <f>IF([1]Summ!C1064="",0,[1]Summ!C1064)</f>
        <v>0.11904761904761904</v>
      </c>
      <c r="C26" s="216">
        <f>IF([1]Summ!D1064="",0,[1]Summ!D1064)</f>
        <v>0</v>
      </c>
      <c r="D26" s="24">
        <f t="shared" si="0"/>
        <v>0.11904761904761904</v>
      </c>
      <c r="E26" s="75">
        <f>Poor!E26</f>
        <v>1</v>
      </c>
      <c r="F26" s="22"/>
      <c r="H26" s="24">
        <f t="shared" si="1"/>
        <v>1</v>
      </c>
      <c r="I26" s="22">
        <f t="shared" si="2"/>
        <v>0.11904761904761904</v>
      </c>
      <c r="J26" s="24">
        <f>IF(I$32&lt;=1+I131,I26,B26*H26+J$33*(I26-B26*H26))</f>
        <v>0.11904761904761904</v>
      </c>
      <c r="K26" s="22">
        <f t="shared" si="4"/>
        <v>0.11904761904761904</v>
      </c>
      <c r="L26" s="22">
        <f t="shared" si="5"/>
        <v>0.11904761904761904</v>
      </c>
      <c r="M26" s="228">
        <f t="shared" si="6"/>
        <v>0.11904761904761904</v>
      </c>
      <c r="N26" s="233">
        <v>12</v>
      </c>
      <c r="O26" s="2"/>
      <c r="P26" s="22"/>
      <c r="Q26" s="59" t="s">
        <v>139</v>
      </c>
      <c r="R26" s="41">
        <f>IF($B$81=0,0,($B$124*$H$124)+($B$125*$H$125*$H$84)+($B$126*$H$126*$H$84)+1-($D$29*$H$29)-($D$28*$H$28))*$I$83*Poor!$B$81/$B$81</f>
        <v>62609.375254086095</v>
      </c>
      <c r="S26" s="41">
        <f>IF($B$81=0,0,($B$124*$H$124)+($B$125*$H$125*$H$84)+($B$126*$H$126*$H$84)+1-($D$29*$H$29)-($D$28*$H$28))*$I$83*Poor!$B$81/$B$81</f>
        <v>62609.375254086095</v>
      </c>
      <c r="T26" s="41">
        <f>IF($B$81=0,0,($B$124*$H$124)+($B$125*$H$125*$H$84)+($B$126*$H$126*$H$84)+1-($D$29*$H$29)-($D$28*$H$28))*$I$83*Poor!$B$81/$B$81</f>
        <v>62609.375254086095</v>
      </c>
      <c r="U26" s="56"/>
      <c r="V26" s="56"/>
      <c r="W26" s="110"/>
      <c r="X26" s="118"/>
      <c r="Y26" s="184">
        <f t="shared" si="9"/>
        <v>0.47619047619047616</v>
      </c>
      <c r="Z26" s="156">
        <f>Poor!Z26</f>
        <v>0.25</v>
      </c>
      <c r="AA26" s="121">
        <f t="shared" si="16"/>
        <v>0.11904761904761904</v>
      </c>
      <c r="AB26" s="156">
        <f>Poor!AB26</f>
        <v>0.25</v>
      </c>
      <c r="AC26" s="121">
        <f t="shared" si="7"/>
        <v>0.11904761904761904</v>
      </c>
      <c r="AD26" s="156">
        <f>Poor!AD26</f>
        <v>0.25</v>
      </c>
      <c r="AE26" s="121">
        <f t="shared" si="8"/>
        <v>0.11904761904761904</v>
      </c>
      <c r="AF26" s="122">
        <f t="shared" si="10"/>
        <v>0.25</v>
      </c>
      <c r="AG26" s="121">
        <f t="shared" si="11"/>
        <v>0.11904761904761904</v>
      </c>
      <c r="AH26" s="123">
        <f t="shared" si="12"/>
        <v>1</v>
      </c>
      <c r="AI26" s="184">
        <f t="shared" si="13"/>
        <v>0.11904761904761904</v>
      </c>
      <c r="AJ26" s="120">
        <f t="shared" si="14"/>
        <v>0.11904761904761904</v>
      </c>
      <c r="AK26" s="119">
        <f t="shared" si="15"/>
        <v>0.11904761904761904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6">
        <f>IF([1]Summ!C1065="",0,[1]Summ!C1065)</f>
        <v>3.0300484611279131E-2</v>
      </c>
      <c r="C27" s="216">
        <f>IF([1]Summ!D1065="",0,[1]Summ!D1065)</f>
        <v>-3.0300484611279131E-2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3.0300484611279131E-2</v>
      </c>
      <c r="L27" s="22">
        <f t="shared" si="5"/>
        <v>3.0300484611279131E-2</v>
      </c>
      <c r="M27" s="230">
        <f t="shared" si="6"/>
        <v>0</v>
      </c>
      <c r="N27" s="233"/>
      <c r="O27" s="2"/>
      <c r="P27" s="22"/>
      <c r="Q27" s="126" t="s">
        <v>140</v>
      </c>
      <c r="R27" s="41">
        <f>IF($B$81=0,0,($B$124*$H$124)+($B$125*$H$125*$H$84)+($B$126*$H$126*$H$84)+($B$127*$H$127*$H$84)+1-($D$29*$H$29)-($D$28*$H$28))*$I$83*Poor!$B$81/$B$81</f>
        <v>67264.232396943233</v>
      </c>
      <c r="S27" s="41">
        <f>IF($B$81=0,0,($B$124*$H$124)+($B$125*$H$125*$H$84)+($B$126*$H$126*$H$84)+($B$127*$H$127*$H$84)+1-($D$29*$H$29)-($D$28*$H$28))*$I$83*Poor!$B$81/$B$81</f>
        <v>67264.232396943233</v>
      </c>
      <c r="T27" s="41">
        <f>IF($B$81=0,0,($B$124*$H$124)+($B$125*$H$125*$H$84)+($B$126*$H$126*$H$84)+($B$127*$H$127*$H$84)+1-($D$29*$H$29)-($D$28*$H$28))*$I$83*Poor!$B$81/$B$81</f>
        <v>67264.232396943233</v>
      </c>
      <c r="U27" s="56"/>
      <c r="V27" s="56"/>
      <c r="W27" s="110"/>
      <c r="X27" s="118"/>
      <c r="Y27" s="184">
        <f t="shared" si="9"/>
        <v>0</v>
      </c>
      <c r="Z27" s="156">
        <f>Poor!Z27</f>
        <v>0.25</v>
      </c>
      <c r="AA27" s="121">
        <f t="shared" si="16"/>
        <v>0</v>
      </c>
      <c r="AB27" s="156">
        <f>Poor!AB27</f>
        <v>0.25</v>
      </c>
      <c r="AC27" s="121">
        <f t="shared" si="7"/>
        <v>0</v>
      </c>
      <c r="AD27" s="156">
        <f>Poor!AD27</f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4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6">
        <f>IF([1]Summ!C1066="",0,[1]Summ!C1066)</f>
        <v>7.7315395837039669E-2</v>
      </c>
      <c r="C28" s="216">
        <f>IF([1]Summ!D1066="",0,[1]Summ!D1066)</f>
        <v>-7.7315395837039669E-2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7.7315395837039669E-2</v>
      </c>
      <c r="L28" s="22">
        <f t="shared" si="5"/>
        <v>7.7315395837039669E-2</v>
      </c>
      <c r="M28" s="228">
        <f t="shared" si="6"/>
        <v>0</v>
      </c>
      <c r="N28" s="233"/>
      <c r="O28" s="2"/>
      <c r="P28" s="22"/>
      <c r="Q28" s="59"/>
      <c r="R28" s="180"/>
      <c r="S28" s="180"/>
      <c r="T28" s="180"/>
      <c r="U28" s="56"/>
      <c r="V28" s="56"/>
      <c r="W28" s="110"/>
      <c r="X28" s="118"/>
      <c r="Y28" s="184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4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6">
        <f>IF([1]Summ!C1067="",0,[1]Summ!C1067)</f>
        <v>0.35165768176481049</v>
      </c>
      <c r="C29" s="216">
        <f>IF([1]Summ!D1067="",0,[1]Summ!D1067)</f>
        <v>0.13508943316728897</v>
      </c>
      <c r="D29" s="24">
        <f>(B29+C29)</f>
        <v>0.48674711493209943</v>
      </c>
      <c r="E29" s="75">
        <f>Poor!E29</f>
        <v>1</v>
      </c>
      <c r="F29" s="22"/>
      <c r="H29" s="24">
        <f t="shared" si="1"/>
        <v>1</v>
      </c>
      <c r="I29" s="22">
        <f t="shared" si="2"/>
        <v>0.48674711493209943</v>
      </c>
      <c r="J29" s="24">
        <f>IF(I$32&lt;=1+I131,I29,B29*H29+J$33*(I29-B29*H29))</f>
        <v>0.48674711493209943</v>
      </c>
      <c r="K29" s="22">
        <f t="shared" si="4"/>
        <v>0.35165768176481049</v>
      </c>
      <c r="L29" s="22">
        <f t="shared" si="5"/>
        <v>0.35165768176481049</v>
      </c>
      <c r="M29" s="228">
        <f t="shared" si="6"/>
        <v>0.48674711493209943</v>
      </c>
      <c r="N29" s="233"/>
      <c r="P29" s="22"/>
      <c r="V29" s="56"/>
      <c r="W29" s="110"/>
      <c r="X29" s="118"/>
      <c r="Y29" s="184">
        <f t="shared" si="9"/>
        <v>1.9469884597283977</v>
      </c>
      <c r="Z29" s="156">
        <f>Poor!Z29</f>
        <v>0.25</v>
      </c>
      <c r="AA29" s="121">
        <f t="shared" si="16"/>
        <v>0.48674711493209943</v>
      </c>
      <c r="AB29" s="156">
        <f>Poor!AB29</f>
        <v>0.25</v>
      </c>
      <c r="AC29" s="121">
        <f t="shared" si="7"/>
        <v>0.48674711493209943</v>
      </c>
      <c r="AD29" s="156">
        <f>Poor!AD29</f>
        <v>0.25</v>
      </c>
      <c r="AE29" s="121">
        <f t="shared" si="8"/>
        <v>0.48674711493209943</v>
      </c>
      <c r="AF29" s="122">
        <f t="shared" si="10"/>
        <v>0.25</v>
      </c>
      <c r="AG29" s="121">
        <f t="shared" si="11"/>
        <v>0.48674711493209943</v>
      </c>
      <c r="AH29" s="123">
        <f t="shared" si="12"/>
        <v>1</v>
      </c>
      <c r="AI29" s="184">
        <f t="shared" si="13"/>
        <v>0.48674711493209943</v>
      </c>
      <c r="AJ29" s="120">
        <f t="shared" si="14"/>
        <v>0.48674711493209943</v>
      </c>
      <c r="AK29" s="119">
        <f t="shared" si="15"/>
        <v>0.48674711493209943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6">
        <f>IF([1]Summ!C1068="",0,[1]Summ!C1068)</f>
        <v>0.48547811848425548</v>
      </c>
      <c r="C30" s="103"/>
      <c r="D30" s="24">
        <f>(D119-B124)</f>
        <v>2.093200095528799</v>
      </c>
      <c r="E30" s="75">
        <f>Poor!E30</f>
        <v>1</v>
      </c>
      <c r="H30" s="96">
        <f>(E30*F$7/F$9)</f>
        <v>1</v>
      </c>
      <c r="I30" s="29">
        <f>IF(E30&gt;=1,I119-I124,MIN(I119-I124,B30*H30))</f>
        <v>2.093200095528799</v>
      </c>
      <c r="J30" s="235">
        <f>IF(I$32&lt;=$B$32,I30,$B$32-SUM(J6:J29))</f>
        <v>0.42800456576528534</v>
      </c>
      <c r="K30" s="22">
        <f t="shared" si="4"/>
        <v>0.48547811848425548</v>
      </c>
      <c r="L30" s="22">
        <f>IF(L124=L119,0,IF(K30="",0,(L119-L124)/(B119-B124)*K30))</f>
        <v>0.48547811848425548</v>
      </c>
      <c r="M30" s="175">
        <f t="shared" si="6"/>
        <v>0.42800456576528534</v>
      </c>
      <c r="N30" s="166" t="s">
        <v>86</v>
      </c>
      <c r="O30" s="2"/>
      <c r="P30" s="22"/>
      <c r="Q30" s="56" t="s">
        <v>141</v>
      </c>
      <c r="R30" s="238">
        <f t="shared" ref="R30:T33" si="24">IF(R24&gt;R$23,R24-R$23,0)</f>
        <v>0</v>
      </c>
      <c r="S30" s="238">
        <f t="shared" si="24"/>
        <v>0</v>
      </c>
      <c r="T30" s="238">
        <f t="shared" si="24"/>
        <v>0</v>
      </c>
      <c r="U30" s="56"/>
      <c r="V30" s="56"/>
      <c r="W30" s="110"/>
      <c r="X30" s="118"/>
      <c r="Y30" s="184">
        <f>M30*4</f>
        <v>1.7120182630611414</v>
      </c>
      <c r="Z30" s="122">
        <f>IF($Y30=0,0,AA30/($Y$30))</f>
        <v>0</v>
      </c>
      <c r="AA30" s="188">
        <f>IF(AA79*4/$I$83+SUM(AA6:AA29)&lt;1,AA79*4/$I$83,1-SUM(AA6:AA29))</f>
        <v>0</v>
      </c>
      <c r="AB30" s="122">
        <f>IF($Y30=0,0,AC30/($Y$30))</f>
        <v>0.19505822048464808</v>
      </c>
      <c r="AC30" s="188">
        <f>IF(AC79*4/$I$83+SUM(AC6:AC29)&lt;1,AC79*4/$I$83,1-SUM(AC6:AC29))</f>
        <v>0.33394323582992436</v>
      </c>
      <c r="AD30" s="122">
        <f>IF($Y30=0,0,AE30/($Y$30))</f>
        <v>0.23025762897846097</v>
      </c>
      <c r="AE30" s="188">
        <f>IF(AE79*4/$I$83+SUM(AE6:AE29)&lt;1,AE79*4/$I$83,1-SUM(AE6:AE29))</f>
        <v>0.3942052660202815</v>
      </c>
      <c r="AF30" s="122">
        <f>IF($Y30=0,0,AG30/($Y$30))</f>
        <v>0.20660063785412386</v>
      </c>
      <c r="AG30" s="188">
        <f>IF(AG79*4/$I$83+SUM(AG6:AG29)&lt;1,AG79*4/$I$83,1-SUM(AG6:AG29))</f>
        <v>0.35370406516634101</v>
      </c>
      <c r="AH30" s="123">
        <f t="shared" si="12"/>
        <v>0.63191648731723293</v>
      </c>
      <c r="AI30" s="184">
        <f t="shared" si="13"/>
        <v>0.27046314175413672</v>
      </c>
      <c r="AJ30" s="120">
        <f t="shared" si="14"/>
        <v>0.16697161791496218</v>
      </c>
      <c r="AK30" s="119">
        <f t="shared" si="15"/>
        <v>0.37395466559331125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6" t="str">
        <f>IF(1-$B$32&gt;0,1-$B$32,"")</f>
        <v/>
      </c>
      <c r="C31" s="77"/>
      <c r="D31" s="24"/>
      <c r="E31" s="22"/>
      <c r="F31" s="22"/>
      <c r="H31" s="24"/>
      <c r="I31" s="22"/>
      <c r="J31" s="236">
        <f>($B$32-SUM(J6:J30))</f>
        <v>0</v>
      </c>
      <c r="K31" s="22" t="str">
        <f t="shared" si="4"/>
        <v/>
      </c>
      <c r="L31" s="22">
        <f>(1-SUM(L6:L30))</f>
        <v>-0.15754142401114857</v>
      </c>
      <c r="M31" s="245">
        <f t="shared" si="6"/>
        <v>0</v>
      </c>
      <c r="N31" s="167">
        <f>M31*I83</f>
        <v>0</v>
      </c>
      <c r="P31" s="22"/>
      <c r="Q31" s="59" t="s">
        <v>142</v>
      </c>
      <c r="R31" s="238">
        <f t="shared" si="24"/>
        <v>1238.6888295037279</v>
      </c>
      <c r="S31" s="238">
        <f t="shared" si="24"/>
        <v>1238.6888295037279</v>
      </c>
      <c r="T31" s="238">
        <f t="shared" si="24"/>
        <v>127.23447402909369</v>
      </c>
      <c r="U31" s="246">
        <f>T31/$B$81</f>
        <v>18.176353432727669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3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22">
        <f>SUM(B6:B30)</f>
        <v>1.1575414240111486</v>
      </c>
      <c r="C32" s="77">
        <f>SUM(C6:C31)</f>
        <v>5.7473552718970172E-2</v>
      </c>
      <c r="D32" s="24">
        <f>SUM(D6:D30)</f>
        <v>2.8227369537746623</v>
      </c>
      <c r="E32" s="2"/>
      <c r="F32" s="2"/>
      <c r="H32" s="17"/>
      <c r="I32" s="22">
        <f>SUM(I6:I30)</f>
        <v>2.8227369537746623</v>
      </c>
      <c r="J32" s="17"/>
      <c r="L32" s="22">
        <f>SUM(L6:L30)</f>
        <v>1.1575414240111486</v>
      </c>
      <c r="M32" s="23"/>
      <c r="N32" s="56"/>
      <c r="O32" s="2"/>
      <c r="P32" s="22"/>
      <c r="Q32" s="56" t="s">
        <v>143</v>
      </c>
      <c r="R32" s="238">
        <f t="shared" si="24"/>
        <v>28982.688829503728</v>
      </c>
      <c r="S32" s="238">
        <f t="shared" si="24"/>
        <v>28982.688829503728</v>
      </c>
      <c r="T32" s="238">
        <f t="shared" si="24"/>
        <v>27871.234474029094</v>
      </c>
      <c r="U32" s="56"/>
      <c r="V32" s="56"/>
      <c r="W32" s="110"/>
      <c r="X32" s="118"/>
      <c r="Y32" s="115">
        <f>SUM(Y6:Y31)</f>
        <v>4.6301656960445943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0.23515042492382701</v>
      </c>
      <c r="K33" s="14"/>
      <c r="L33" s="11"/>
      <c r="M33" s="30"/>
      <c r="N33" s="168" t="s">
        <v>87</v>
      </c>
      <c r="O33" s="2"/>
      <c r="P33" s="2"/>
      <c r="Q33" s="59" t="s">
        <v>144</v>
      </c>
      <c r="R33" s="238">
        <f t="shared" si="24"/>
        <v>33637.545972360866</v>
      </c>
      <c r="S33" s="238">
        <f t="shared" si="24"/>
        <v>33637.545972360866</v>
      </c>
      <c r="T33" s="238">
        <f t="shared" si="24"/>
        <v>32526.091616886231</v>
      </c>
      <c r="U33" s="56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1279.8808694720187</v>
      </c>
      <c r="O34" s="2"/>
      <c r="P34" s="2"/>
      <c r="Q34" s="2"/>
      <c r="R34" s="220"/>
      <c r="S34" s="2"/>
      <c r="T34" s="2"/>
      <c r="U34" s="56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Q35" s="2"/>
      <c r="R35" s="221"/>
      <c r="S35" s="2"/>
      <c r="T35" s="2"/>
      <c r="U35" s="56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6" t="s">
        <v>145</v>
      </c>
      <c r="R36" s="2"/>
      <c r="S36" s="2"/>
      <c r="T36" s="221">
        <f>T31/I83</f>
        <v>1.7153470654966505E-2</v>
      </c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Cattle sales - local: no. sold</v>
      </c>
      <c r="B37" s="217">
        <f>IF([1]Summ!C1072="",0,[1]Summ!C1072)</f>
        <v>0</v>
      </c>
      <c r="C37" s="217">
        <f>IF([1]Summ!D1072="",0,[1]Summ!D1072)</f>
        <v>0</v>
      </c>
      <c r="D37" s="38">
        <f t="shared" ref="D37:D64" si="25">B37+C37</f>
        <v>0</v>
      </c>
      <c r="E37" s="75">
        <f>Poor!E37</f>
        <v>1</v>
      </c>
      <c r="F37" s="75">
        <f>Poor!F37</f>
        <v>1</v>
      </c>
      <c r="G37" s="75">
        <f>Poor!G37</f>
        <v>1</v>
      </c>
      <c r="H37" s="24">
        <f t="shared" ref="H37" si="26">(E37*F37)</f>
        <v>1</v>
      </c>
      <c r="I37" s="39">
        <f t="shared" ref="I37" si="27">D37*H37</f>
        <v>0</v>
      </c>
      <c r="J37" s="38">
        <f>J91*I$83</f>
        <v>0</v>
      </c>
      <c r="K37" s="40">
        <f>(B37/B$65)</f>
        <v>0</v>
      </c>
      <c r="L37" s="22">
        <f t="shared" ref="L37" si="28">(K37*H37)</f>
        <v>0</v>
      </c>
      <c r="M37" s="24">
        <f>J37/B$65</f>
        <v>0</v>
      </c>
      <c r="N37" s="2"/>
      <c r="O37" s="2"/>
      <c r="P37" s="2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0</v>
      </c>
      <c r="AH37" s="123">
        <f>SUM(Z37,AB37,AD37,AF37)</f>
        <v>1</v>
      </c>
      <c r="AI37" s="112">
        <f>SUM(AA37,AC37,AE37,AG37)</f>
        <v>0</v>
      </c>
      <c r="AJ37" s="148">
        <f>(AA37+AC37)</f>
        <v>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Goat sales - local: no. sold</v>
      </c>
      <c r="B38" s="217">
        <f>IF([1]Summ!C1073="",0,[1]Summ!C1073)</f>
        <v>1125</v>
      </c>
      <c r="C38" s="217">
        <f>IF([1]Summ!D1073="",0,[1]Summ!D1073)</f>
        <v>0</v>
      </c>
      <c r="D38" s="38">
        <f t="shared" si="25"/>
        <v>1125</v>
      </c>
      <c r="E38" s="75">
        <f>Poor!E38</f>
        <v>1</v>
      </c>
      <c r="F38" s="75">
        <f>Poor!F38</f>
        <v>1</v>
      </c>
      <c r="G38" s="75">
        <f>Poor!G38</f>
        <v>1</v>
      </c>
      <c r="H38" s="24">
        <f t="shared" ref="H38:H64" si="30">(E38*F38)</f>
        <v>1</v>
      </c>
      <c r="I38" s="39">
        <f t="shared" ref="I38:I64" si="31">D38*H38</f>
        <v>1125</v>
      </c>
      <c r="J38" s="38">
        <f t="shared" ref="J38:J64" si="32">J92*I$83</f>
        <v>1125</v>
      </c>
      <c r="K38" s="40">
        <f t="shared" ref="K38:K64" si="33">(B38/B$65)</f>
        <v>4.040222661159993E-2</v>
      </c>
      <c r="L38" s="22">
        <f t="shared" ref="L38:L64" si="34">(K38*H38)</f>
        <v>4.040222661159993E-2</v>
      </c>
      <c r="M38" s="24">
        <f t="shared" ref="M38:M64" si="35">J38/B$65</f>
        <v>4.040222661159993E-2</v>
      </c>
      <c r="N38" s="2"/>
      <c r="O38" s="2"/>
      <c r="P38" s="2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1125</v>
      </c>
      <c r="AH38" s="123">
        <f t="shared" ref="AH38:AI58" si="37">SUM(Z38,AB38,AD38,AF38)</f>
        <v>1</v>
      </c>
      <c r="AI38" s="112">
        <f t="shared" si="37"/>
        <v>1125</v>
      </c>
      <c r="AJ38" s="148">
        <f t="shared" ref="AJ38:AJ64" si="38">(AA38+AC38)</f>
        <v>0</v>
      </c>
      <c r="AK38" s="147">
        <f t="shared" ref="AK38:AK64" si="39">(AE38+AG38)</f>
        <v>1125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Sheep sales - local: no. sold</v>
      </c>
      <c r="B39" s="217">
        <f>IF([1]Summ!C1074="",0,[1]Summ!C1074)</f>
        <v>0</v>
      </c>
      <c r="C39" s="217">
        <f>IF([1]Summ!D1074="",0,[1]Summ!D1074)</f>
        <v>0</v>
      </c>
      <c r="D39" s="38">
        <f t="shared" si="25"/>
        <v>0</v>
      </c>
      <c r="E39" s="75">
        <f>Poor!E39</f>
        <v>1</v>
      </c>
      <c r="F39" s="75">
        <f>Poor!F39</f>
        <v>1</v>
      </c>
      <c r="G39" s="75">
        <f>Poor!G39</f>
        <v>1</v>
      </c>
      <c r="H39" s="24">
        <f t="shared" si="30"/>
        <v>1</v>
      </c>
      <c r="I39" s="39">
        <f t="shared" si="31"/>
        <v>0</v>
      </c>
      <c r="J39" s="38">
        <f t="shared" si="32"/>
        <v>0</v>
      </c>
      <c r="K39" s="40">
        <f t="shared" si="33"/>
        <v>0</v>
      </c>
      <c r="L39" s="22">
        <f t="shared" si="34"/>
        <v>0</v>
      </c>
      <c r="M39" s="24">
        <f t="shared" si="35"/>
        <v>0</v>
      </c>
      <c r="N39" s="2"/>
      <c r="O39" s="2"/>
      <c r="P39" s="2"/>
      <c r="V39" s="56"/>
      <c r="W39" s="115"/>
      <c r="X39" s="118"/>
      <c r="Y39" s="110"/>
      <c r="Z39" s="122">
        <f>Z8</f>
        <v>0.86740073335788148</v>
      </c>
      <c r="AA39" s="147">
        <f t="shared" ref="AA39:AA64" si="40">$J39*Z39</f>
        <v>0</v>
      </c>
      <c r="AB39" s="122">
        <f>AB8</f>
        <v>0.13259926664211849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Chicken sales: no. sold</v>
      </c>
      <c r="B40" s="217">
        <f>IF([1]Summ!C1075="",0,[1]Summ!C1075)</f>
        <v>0</v>
      </c>
      <c r="C40" s="217">
        <f>IF([1]Summ!D1075="",0,[1]Summ!D1075)</f>
        <v>0</v>
      </c>
      <c r="D40" s="38">
        <f t="shared" si="25"/>
        <v>0</v>
      </c>
      <c r="E40" s="75">
        <f>Poor!E40</f>
        <v>1</v>
      </c>
      <c r="F40" s="75">
        <f>Poor!F40</f>
        <v>1</v>
      </c>
      <c r="G40" s="75">
        <f>Poor!G40</f>
        <v>1</v>
      </c>
      <c r="H40" s="24">
        <f t="shared" si="30"/>
        <v>1</v>
      </c>
      <c r="I40" s="39">
        <f t="shared" si="31"/>
        <v>0</v>
      </c>
      <c r="J40" s="38">
        <f t="shared" si="32"/>
        <v>0</v>
      </c>
      <c r="K40" s="40">
        <f t="shared" si="33"/>
        <v>0</v>
      </c>
      <c r="L40" s="22">
        <f t="shared" si="34"/>
        <v>0</v>
      </c>
      <c r="M40" s="24">
        <f t="shared" si="35"/>
        <v>0</v>
      </c>
      <c r="N40" s="2"/>
      <c r="O40" s="2"/>
      <c r="P40" s="2"/>
      <c r="V40" s="56"/>
      <c r="W40" s="115"/>
      <c r="X40" s="118">
        <f>X9</f>
        <v>1</v>
      </c>
      <c r="Y40" s="110"/>
      <c r="Z40" s="122">
        <f>Z9</f>
        <v>0.86740073335788137</v>
      </c>
      <c r="AA40" s="147">
        <f t="shared" si="40"/>
        <v>0</v>
      </c>
      <c r="AB40" s="122">
        <f>AB9</f>
        <v>0.1325992666421186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Maize: kg produced</v>
      </c>
      <c r="B41" s="217">
        <f>IF([1]Summ!C1076="",0,[1]Summ!C1076)</f>
        <v>0</v>
      </c>
      <c r="C41" s="217">
        <f>IF([1]Summ!D1076="",0,[1]Summ!D1076)</f>
        <v>0</v>
      </c>
      <c r="D41" s="38">
        <f t="shared" si="25"/>
        <v>0</v>
      </c>
      <c r="E41" s="75">
        <f>Poor!E41</f>
        <v>1</v>
      </c>
      <c r="F41" s="75">
        <f>Poor!F41</f>
        <v>1</v>
      </c>
      <c r="G41" s="75">
        <f>Poor!G41</f>
        <v>1</v>
      </c>
      <c r="H41" s="24">
        <f t="shared" si="30"/>
        <v>1</v>
      </c>
      <c r="I41" s="39">
        <f t="shared" si="31"/>
        <v>0</v>
      </c>
      <c r="J41" s="38">
        <f t="shared" si="32"/>
        <v>0</v>
      </c>
      <c r="K41" s="40">
        <f t="shared" si="33"/>
        <v>0</v>
      </c>
      <c r="L41" s="22">
        <f t="shared" si="34"/>
        <v>0</v>
      </c>
      <c r="M41" s="24">
        <f t="shared" si="35"/>
        <v>0</v>
      </c>
      <c r="N41" s="2"/>
      <c r="O41" s="2"/>
      <c r="P41" s="2"/>
      <c r="V41" s="56"/>
      <c r="W41" s="115"/>
      <c r="X41" s="118">
        <f>X11</f>
        <v>1</v>
      </c>
      <c r="Y41" s="110"/>
      <c r="Z41" s="122">
        <f>Z11</f>
        <v>0.86740073335788137</v>
      </c>
      <c r="AA41" s="147">
        <f t="shared" si="40"/>
        <v>0</v>
      </c>
      <c r="AB41" s="122">
        <f>AB11</f>
        <v>0.1325992666421186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Beans: kg produced</v>
      </c>
      <c r="B42" s="217">
        <f>IF([1]Summ!C1077="",0,[1]Summ!C1077)</f>
        <v>0</v>
      </c>
      <c r="C42" s="217">
        <f>IF([1]Summ!D1077="",0,[1]Summ!D1077)</f>
        <v>0</v>
      </c>
      <c r="D42" s="38">
        <f t="shared" si="25"/>
        <v>0</v>
      </c>
      <c r="E42" s="75">
        <f>Poor!E42</f>
        <v>1</v>
      </c>
      <c r="F42" s="75">
        <f>Poor!F42</f>
        <v>1</v>
      </c>
      <c r="G42" s="75">
        <f>Poor!G42</f>
        <v>1</v>
      </c>
      <c r="H42" s="24">
        <f t="shared" si="30"/>
        <v>1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176"/>
      <c r="V42" s="56"/>
      <c r="W42" s="115"/>
      <c r="X42" s="118">
        <v>1</v>
      </c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potatoes: kg produced</v>
      </c>
      <c r="B43" s="217">
        <f>IF([1]Summ!C1078="",0,[1]Summ!C1078)</f>
        <v>0</v>
      </c>
      <c r="C43" s="217">
        <f>IF([1]Summ!D1078="",0,[1]Summ!D1078)</f>
        <v>0</v>
      </c>
      <c r="D43" s="38">
        <f t="shared" si="25"/>
        <v>0</v>
      </c>
      <c r="E43" s="75">
        <f>Poor!E43</f>
        <v>1</v>
      </c>
      <c r="F43" s="75">
        <f>Poor!F43</f>
        <v>1</v>
      </c>
      <c r="G43" s="75">
        <f>Poor!G43</f>
        <v>1</v>
      </c>
      <c r="H43" s="24">
        <f t="shared" si="30"/>
        <v>1</v>
      </c>
      <c r="I43" s="39">
        <f t="shared" si="31"/>
        <v>0</v>
      </c>
      <c r="J43" s="38">
        <f t="shared" si="32"/>
        <v>0</v>
      </c>
      <c r="K43" s="40">
        <f t="shared" si="33"/>
        <v>0</v>
      </c>
      <c r="L43" s="22">
        <f t="shared" si="34"/>
        <v>0</v>
      </c>
      <c r="M43" s="24">
        <f t="shared" si="35"/>
        <v>0</v>
      </c>
      <c r="N43" s="2"/>
      <c r="O43" s="2"/>
      <c r="P43" s="17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>WILD FOODS -- see worksheet Data 3</v>
      </c>
      <c r="B44" s="217">
        <f>IF([1]Summ!C1079="",0,[1]Summ!C1079)</f>
        <v>0</v>
      </c>
      <c r="C44" s="217">
        <f>IF([1]Summ!D1079="",0,[1]Summ!D1079)</f>
        <v>750</v>
      </c>
      <c r="D44" s="38">
        <f t="shared" si="25"/>
        <v>750</v>
      </c>
      <c r="E44" s="75">
        <f>Poor!E44</f>
        <v>1</v>
      </c>
      <c r="F44" s="75">
        <f>Poor!F44</f>
        <v>1</v>
      </c>
      <c r="G44" s="75">
        <f>Poor!G44</f>
        <v>1</v>
      </c>
      <c r="H44" s="24">
        <f t="shared" si="30"/>
        <v>1</v>
      </c>
      <c r="I44" s="39">
        <f t="shared" si="31"/>
        <v>750</v>
      </c>
      <c r="J44" s="38">
        <f t="shared" si="32"/>
        <v>750</v>
      </c>
      <c r="K44" s="40">
        <f t="shared" si="33"/>
        <v>0</v>
      </c>
      <c r="L44" s="22">
        <f t="shared" si="34"/>
        <v>0</v>
      </c>
      <c r="M44" s="24">
        <f t="shared" si="35"/>
        <v>2.6934817741066618E-2</v>
      </c>
      <c r="N44" s="2"/>
      <c r="O44" s="2"/>
      <c r="P44" s="2"/>
      <c r="Q44" s="59"/>
      <c r="R44" s="224"/>
      <c r="S44" s="224"/>
      <c r="T44" s="224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187.5</v>
      </c>
      <c r="AB44" s="156">
        <f>Poor!AB44</f>
        <v>0.25</v>
      </c>
      <c r="AC44" s="147">
        <f t="shared" si="41"/>
        <v>187.5</v>
      </c>
      <c r="AD44" s="156">
        <f>Poor!AD44</f>
        <v>0.25</v>
      </c>
      <c r="AE44" s="147">
        <f t="shared" si="42"/>
        <v>187.5</v>
      </c>
      <c r="AF44" s="122">
        <f t="shared" si="29"/>
        <v>0.25</v>
      </c>
      <c r="AG44" s="147">
        <f t="shared" si="36"/>
        <v>187.5</v>
      </c>
      <c r="AH44" s="123">
        <f t="shared" si="37"/>
        <v>1</v>
      </c>
      <c r="AI44" s="112">
        <f t="shared" si="37"/>
        <v>750</v>
      </c>
      <c r="AJ44" s="148">
        <f t="shared" si="38"/>
        <v>375</v>
      </c>
      <c r="AK44" s="147">
        <f t="shared" si="39"/>
        <v>375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>Agricultural cash income -- see Data2</v>
      </c>
      <c r="B45" s="217">
        <f>IF([1]Summ!C1080="",0,[1]Summ!C1080)</f>
        <v>760</v>
      </c>
      <c r="C45" s="217">
        <f>IF([1]Summ!D1080="",0,[1]Summ!D1080)</f>
        <v>0</v>
      </c>
      <c r="D45" s="38">
        <f t="shared" si="25"/>
        <v>760</v>
      </c>
      <c r="E45" s="75">
        <f>Poor!E45</f>
        <v>1</v>
      </c>
      <c r="F45" s="75">
        <f>Poor!F45</f>
        <v>1</v>
      </c>
      <c r="G45" s="75">
        <f>Poor!G45</f>
        <v>1</v>
      </c>
      <c r="H45" s="24">
        <f t="shared" si="30"/>
        <v>1</v>
      </c>
      <c r="I45" s="39">
        <f t="shared" si="31"/>
        <v>760</v>
      </c>
      <c r="J45" s="38">
        <f t="shared" si="32"/>
        <v>760</v>
      </c>
      <c r="K45" s="40">
        <f t="shared" si="33"/>
        <v>2.7293948644280839E-2</v>
      </c>
      <c r="L45" s="22">
        <f t="shared" si="34"/>
        <v>2.7293948644280839E-2</v>
      </c>
      <c r="M45" s="24">
        <f t="shared" si="35"/>
        <v>2.7293948644280839E-2</v>
      </c>
      <c r="N45" s="2"/>
      <c r="O45" s="2"/>
      <c r="P45" s="2"/>
      <c r="V45" s="56"/>
      <c r="W45" s="110"/>
      <c r="X45" s="118"/>
      <c r="Y45" s="110"/>
      <c r="Z45" s="156">
        <f>Poor!Z45</f>
        <v>0.25</v>
      </c>
      <c r="AA45" s="147">
        <f t="shared" si="40"/>
        <v>190</v>
      </c>
      <c r="AB45" s="156">
        <f>Poor!AB45</f>
        <v>0.25</v>
      </c>
      <c r="AC45" s="147">
        <f t="shared" si="41"/>
        <v>190</v>
      </c>
      <c r="AD45" s="156">
        <f>Poor!AD45</f>
        <v>0.25</v>
      </c>
      <c r="AE45" s="147">
        <f t="shared" si="42"/>
        <v>190</v>
      </c>
      <c r="AF45" s="122">
        <f t="shared" si="29"/>
        <v>0.25</v>
      </c>
      <c r="AG45" s="147">
        <f t="shared" si="36"/>
        <v>190</v>
      </c>
      <c r="AH45" s="123">
        <f t="shared" si="37"/>
        <v>1</v>
      </c>
      <c r="AI45" s="112">
        <f t="shared" si="37"/>
        <v>760</v>
      </c>
      <c r="AJ45" s="148">
        <f t="shared" si="38"/>
        <v>380</v>
      </c>
      <c r="AK45" s="147">
        <f t="shared" si="39"/>
        <v>380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Construction cash income -- see Data2</v>
      </c>
      <c r="B46" s="217">
        <f>IF([1]Summ!C1081="",0,[1]Summ!C1081)</f>
        <v>940</v>
      </c>
      <c r="C46" s="217">
        <f>IF([1]Summ!D1081="",0,[1]Summ!D1081)</f>
        <v>0</v>
      </c>
      <c r="D46" s="38">
        <f t="shared" si="25"/>
        <v>940</v>
      </c>
      <c r="E46" s="75">
        <f>Poor!E46</f>
        <v>1</v>
      </c>
      <c r="F46" s="75">
        <f>Poor!F46</f>
        <v>1</v>
      </c>
      <c r="G46" s="75">
        <f>Poor!G46</f>
        <v>1</v>
      </c>
      <c r="H46" s="24">
        <f t="shared" si="30"/>
        <v>1</v>
      </c>
      <c r="I46" s="39">
        <f t="shared" si="31"/>
        <v>940</v>
      </c>
      <c r="J46" s="38">
        <f t="shared" si="32"/>
        <v>940</v>
      </c>
      <c r="K46" s="40">
        <f t="shared" si="33"/>
        <v>3.3758304902136826E-2</v>
      </c>
      <c r="L46" s="22">
        <f t="shared" si="34"/>
        <v>3.3758304902136826E-2</v>
      </c>
      <c r="M46" s="24">
        <f t="shared" si="35"/>
        <v>3.3758304902136826E-2</v>
      </c>
      <c r="N46" s="2"/>
      <c r="O46" s="2"/>
      <c r="P46" s="2"/>
      <c r="V46" s="56"/>
      <c r="W46" s="110"/>
      <c r="X46" s="118"/>
      <c r="Y46" s="110"/>
      <c r="Z46" s="156">
        <f>Poor!Z46</f>
        <v>0.25</v>
      </c>
      <c r="AA46" s="147">
        <f t="shared" si="40"/>
        <v>235</v>
      </c>
      <c r="AB46" s="156">
        <f>Poor!AB46</f>
        <v>0.25</v>
      </c>
      <c r="AC46" s="147">
        <f t="shared" si="41"/>
        <v>235</v>
      </c>
      <c r="AD46" s="156">
        <f>Poor!AD46</f>
        <v>0.25</v>
      </c>
      <c r="AE46" s="147">
        <f t="shared" si="42"/>
        <v>235</v>
      </c>
      <c r="AF46" s="122">
        <f t="shared" si="29"/>
        <v>0.25</v>
      </c>
      <c r="AG46" s="147">
        <f t="shared" si="36"/>
        <v>235</v>
      </c>
      <c r="AH46" s="123">
        <f t="shared" si="37"/>
        <v>1</v>
      </c>
      <c r="AI46" s="112">
        <f t="shared" si="37"/>
        <v>940</v>
      </c>
      <c r="AJ46" s="148">
        <f t="shared" si="38"/>
        <v>470</v>
      </c>
      <c r="AK46" s="147">
        <f t="shared" si="39"/>
        <v>470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>Domestic work cash income -- see Data2</v>
      </c>
      <c r="B47" s="217">
        <f>IF([1]Summ!C1082="",0,[1]Summ!C1082)</f>
        <v>4800</v>
      </c>
      <c r="C47" s="217">
        <f>IF([1]Summ!D1082="",0,[1]Summ!D1082)</f>
        <v>0</v>
      </c>
      <c r="D47" s="38">
        <f t="shared" si="25"/>
        <v>4800</v>
      </c>
      <c r="E47" s="75">
        <f>Poor!E47</f>
        <v>1</v>
      </c>
      <c r="F47" s="75">
        <f>Poor!F47</f>
        <v>1</v>
      </c>
      <c r="G47" s="75">
        <f>Poor!G47</f>
        <v>1</v>
      </c>
      <c r="H47" s="24">
        <f t="shared" si="30"/>
        <v>1</v>
      </c>
      <c r="I47" s="39">
        <f t="shared" si="31"/>
        <v>4800</v>
      </c>
      <c r="J47" s="38">
        <f t="shared" si="32"/>
        <v>4800</v>
      </c>
      <c r="K47" s="40">
        <f t="shared" si="33"/>
        <v>0.17238283354282635</v>
      </c>
      <c r="L47" s="22">
        <f t="shared" si="34"/>
        <v>0.17238283354282635</v>
      </c>
      <c r="M47" s="24">
        <f t="shared" si="35"/>
        <v>0.17238283354282635</v>
      </c>
      <c r="N47" s="2"/>
      <c r="O47" s="2"/>
      <c r="P47" s="2"/>
      <c r="V47" s="56"/>
      <c r="W47" s="110"/>
      <c r="X47" s="118"/>
      <c r="Y47" s="110"/>
      <c r="Z47" s="156">
        <f>Poor!Z47</f>
        <v>0.25</v>
      </c>
      <c r="AA47" s="147">
        <f t="shared" si="40"/>
        <v>1200</v>
      </c>
      <c r="AB47" s="156">
        <f>Poor!AB47</f>
        <v>0.25</v>
      </c>
      <c r="AC47" s="147">
        <f t="shared" si="41"/>
        <v>1200</v>
      </c>
      <c r="AD47" s="156">
        <f>Poor!AD47</f>
        <v>0.25</v>
      </c>
      <c r="AE47" s="147">
        <f t="shared" si="42"/>
        <v>1200</v>
      </c>
      <c r="AF47" s="122">
        <f t="shared" si="29"/>
        <v>0.25</v>
      </c>
      <c r="AG47" s="147">
        <f t="shared" si="36"/>
        <v>1200</v>
      </c>
      <c r="AH47" s="123">
        <f t="shared" si="37"/>
        <v>1</v>
      </c>
      <c r="AI47" s="112">
        <f t="shared" si="37"/>
        <v>4800</v>
      </c>
      <c r="AJ47" s="148">
        <f t="shared" si="38"/>
        <v>2400</v>
      </c>
      <c r="AK47" s="147">
        <f t="shared" si="39"/>
        <v>2400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>Labour migration(formal employment): no. people per HH</v>
      </c>
      <c r="B48" s="217">
        <f>IF([1]Summ!C1083="",0,[1]Summ!C1083)</f>
        <v>0</v>
      </c>
      <c r="C48" s="217">
        <f>IF([1]Summ!D1083="",0,[1]Summ!D1083)</f>
        <v>0</v>
      </c>
      <c r="D48" s="38">
        <f t="shared" si="25"/>
        <v>0</v>
      </c>
      <c r="E48" s="75">
        <f>Poor!E48</f>
        <v>1</v>
      </c>
      <c r="F48" s="75">
        <f>Poor!F48</f>
        <v>1</v>
      </c>
      <c r="G48" s="75">
        <f>Poor!G48</f>
        <v>1</v>
      </c>
      <c r="H48" s="24">
        <f t="shared" si="30"/>
        <v>1</v>
      </c>
      <c r="I48" s="39">
        <f t="shared" si="31"/>
        <v>0</v>
      </c>
      <c r="J48" s="38">
        <f t="shared" si="32"/>
        <v>0</v>
      </c>
      <c r="K48" s="40">
        <f t="shared" si="33"/>
        <v>0</v>
      </c>
      <c r="L48" s="22">
        <f t="shared" si="34"/>
        <v>0</v>
      </c>
      <c r="M48" s="24">
        <f t="shared" si="35"/>
        <v>0</v>
      </c>
      <c r="N48" s="2"/>
      <c r="O48" s="2"/>
      <c r="P48" s="2"/>
      <c r="V48" s="56"/>
      <c r="W48" s="110"/>
      <c r="X48" s="118"/>
      <c r="Y48" s="110"/>
      <c r="Z48" s="156">
        <f>Poor!Z48</f>
        <v>0.25</v>
      </c>
      <c r="AA48" s="147">
        <f t="shared" si="40"/>
        <v>0</v>
      </c>
      <c r="AB48" s="156">
        <f>Poor!AB48</f>
        <v>0.25</v>
      </c>
      <c r="AC48" s="147">
        <f t="shared" si="41"/>
        <v>0</v>
      </c>
      <c r="AD48" s="156">
        <f>Poor!AD48</f>
        <v>0.25</v>
      </c>
      <c r="AE48" s="147">
        <f t="shared" si="42"/>
        <v>0</v>
      </c>
      <c r="AF48" s="122">
        <f t="shared" si="29"/>
        <v>0.25</v>
      </c>
      <c r="AG48" s="147">
        <f t="shared" si="36"/>
        <v>0</v>
      </c>
      <c r="AH48" s="123">
        <f t="shared" si="37"/>
        <v>1</v>
      </c>
      <c r="AI48" s="112">
        <f t="shared" si="37"/>
        <v>0</v>
      </c>
      <c r="AJ48" s="148">
        <f t="shared" si="38"/>
        <v>0</v>
      </c>
      <c r="AK48" s="147">
        <f t="shared" si="39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>Small business -- see Data2</v>
      </c>
      <c r="B49" s="217">
        <f>IF([1]Summ!C1084="",0,[1]Summ!C1084)</f>
        <v>0</v>
      </c>
      <c r="C49" s="217">
        <f>IF([1]Summ!D1084="",0,[1]Summ!D1084)</f>
        <v>0</v>
      </c>
      <c r="D49" s="38">
        <f t="shared" si="25"/>
        <v>0</v>
      </c>
      <c r="E49" s="75">
        <f>Poor!E49</f>
        <v>1</v>
      </c>
      <c r="F49" s="75">
        <f>Poor!F49</f>
        <v>1</v>
      </c>
      <c r="G49" s="75">
        <f>Poor!G49</f>
        <v>1</v>
      </c>
      <c r="H49" s="24">
        <f t="shared" si="30"/>
        <v>1</v>
      </c>
      <c r="I49" s="39">
        <f t="shared" si="31"/>
        <v>0</v>
      </c>
      <c r="J49" s="38">
        <f t="shared" si="32"/>
        <v>0</v>
      </c>
      <c r="K49" s="40">
        <f t="shared" si="33"/>
        <v>0</v>
      </c>
      <c r="L49" s="22">
        <f t="shared" si="34"/>
        <v>0</v>
      </c>
      <c r="M49" s="24">
        <f t="shared" si="35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>Social development -- see Data2</v>
      </c>
      <c r="B50" s="217">
        <f>IF([1]Summ!C1085="",0,[1]Summ!C1085)</f>
        <v>20220</v>
      </c>
      <c r="C50" s="217">
        <f>IF([1]Summ!D1085="",0,[1]Summ!D1085)</f>
        <v>0</v>
      </c>
      <c r="D50" s="38">
        <f t="shared" si="25"/>
        <v>20220</v>
      </c>
      <c r="E50" s="75">
        <f>Poor!E50</f>
        <v>1</v>
      </c>
      <c r="F50" s="75">
        <f>Poor!F50</f>
        <v>1</v>
      </c>
      <c r="G50" s="75">
        <f>Poor!G50</f>
        <v>1</v>
      </c>
      <c r="H50" s="24">
        <f t="shared" si="30"/>
        <v>1</v>
      </c>
      <c r="I50" s="39">
        <f t="shared" si="31"/>
        <v>20220</v>
      </c>
      <c r="J50" s="38">
        <f t="shared" si="32"/>
        <v>20220</v>
      </c>
      <c r="K50" s="40">
        <f t="shared" si="33"/>
        <v>0.72616268629915603</v>
      </c>
      <c r="L50" s="22">
        <f t="shared" si="34"/>
        <v>0.72616268629915603</v>
      </c>
      <c r="M50" s="24">
        <f t="shared" si="35"/>
        <v>0.72616268629915603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5055</v>
      </c>
      <c r="AB50" s="156">
        <f>Poor!AB55</f>
        <v>0.25</v>
      </c>
      <c r="AC50" s="147">
        <f t="shared" si="41"/>
        <v>5055</v>
      </c>
      <c r="AD50" s="156">
        <f>Poor!AD55</f>
        <v>0.25</v>
      </c>
      <c r="AE50" s="147">
        <f t="shared" si="42"/>
        <v>5055</v>
      </c>
      <c r="AF50" s="122">
        <f t="shared" si="29"/>
        <v>0.25</v>
      </c>
      <c r="AG50" s="147">
        <f t="shared" si="36"/>
        <v>5055</v>
      </c>
      <c r="AH50" s="123">
        <f t="shared" si="37"/>
        <v>1</v>
      </c>
      <c r="AI50" s="112">
        <f t="shared" si="37"/>
        <v>20220</v>
      </c>
      <c r="AJ50" s="148">
        <f t="shared" si="38"/>
        <v>10110</v>
      </c>
      <c r="AK50" s="147">
        <f t="shared" si="39"/>
        <v>10110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>Public works -- see Data2</v>
      </c>
      <c r="B51" s="217">
        <f>IF([1]Summ!C1086="",0,[1]Summ!C1086)</f>
        <v>0</v>
      </c>
      <c r="C51" s="217">
        <f>IF([1]Summ!D1086="",0,[1]Summ!D1086)</f>
        <v>0</v>
      </c>
      <c r="D51" s="38">
        <f t="shared" si="25"/>
        <v>0</v>
      </c>
      <c r="E51" s="75">
        <f>Poor!E51</f>
        <v>1</v>
      </c>
      <c r="F51" s="75">
        <f>Poor!F51</f>
        <v>1</v>
      </c>
      <c r="G51" s="75">
        <f>Poor!G51</f>
        <v>1</v>
      </c>
      <c r="H51" s="24">
        <f t="shared" si="30"/>
        <v>1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>Gifts/social support: type (Child support, Pension and Foster Care)</v>
      </c>
      <c r="B52" s="217">
        <f>IF([1]Summ!C1087="",0,[1]Summ!C1087)</f>
        <v>0</v>
      </c>
      <c r="C52" s="217">
        <f>IF([1]Summ!D1087="",0,[1]Summ!D1087)</f>
        <v>0</v>
      </c>
      <c r="D52" s="38">
        <f t="shared" si="25"/>
        <v>0</v>
      </c>
      <c r="E52" s="75">
        <f>Poor!E52</f>
        <v>1</v>
      </c>
      <c r="F52" s="75">
        <f>Poor!F52</f>
        <v>1</v>
      </c>
      <c r="G52" s="75">
        <f>Poor!G52</f>
        <v>1</v>
      </c>
      <c r="H52" s="24">
        <f t="shared" si="30"/>
        <v>1</v>
      </c>
      <c r="I52" s="39">
        <f t="shared" si="31"/>
        <v>0</v>
      </c>
      <c r="J52" s="38">
        <f t="shared" si="32"/>
        <v>0</v>
      </c>
      <c r="K52" s="40">
        <f t="shared" si="33"/>
        <v>0</v>
      </c>
      <c r="L52" s="22">
        <f t="shared" si="34"/>
        <v>0</v>
      </c>
      <c r="M52" s="24">
        <f t="shared" si="35"/>
        <v>0</v>
      </c>
      <c r="N52" s="2"/>
      <c r="O52" s="2"/>
      <c r="P52" s="2"/>
      <c r="Q52" s="2"/>
      <c r="R52" s="221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0</v>
      </c>
      <c r="AB52" s="156">
        <f>Poor!AB57</f>
        <v>0.25</v>
      </c>
      <c r="AC52" s="147">
        <f t="shared" si="41"/>
        <v>0</v>
      </c>
      <c r="AD52" s="156">
        <f>Poor!AD57</f>
        <v>0.25</v>
      </c>
      <c r="AE52" s="147">
        <f t="shared" si="42"/>
        <v>0</v>
      </c>
      <c r="AF52" s="122">
        <f t="shared" si="29"/>
        <v>0.25</v>
      </c>
      <c r="AG52" s="147">
        <f t="shared" si="36"/>
        <v>0</v>
      </c>
      <c r="AH52" s="123">
        <f t="shared" si="37"/>
        <v>1</v>
      </c>
      <c r="AI52" s="112">
        <f t="shared" si="37"/>
        <v>0</v>
      </c>
      <c r="AJ52" s="148">
        <f t="shared" si="38"/>
        <v>0</v>
      </c>
      <c r="AK52" s="147">
        <f t="shared" si="39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>Remittances: no. times per year</v>
      </c>
      <c r="B53" s="217">
        <f>IF([1]Summ!C1088="",0,[1]Summ!C1088)</f>
        <v>0</v>
      </c>
      <c r="C53" s="217">
        <f>IF([1]Summ!D1088="",0,[1]Summ!D1088)</f>
        <v>0</v>
      </c>
      <c r="D53" s="38">
        <f t="shared" si="25"/>
        <v>0</v>
      </c>
      <c r="E53" s="75">
        <f>Poor!E53</f>
        <v>1</v>
      </c>
      <c r="F53" s="75">
        <f>Poor!F53</f>
        <v>1</v>
      </c>
      <c r="G53" s="75">
        <f>Poor!G53</f>
        <v>1</v>
      </c>
      <c r="H53" s="24">
        <f t="shared" si="30"/>
        <v>1</v>
      </c>
      <c r="I53" s="39">
        <f t="shared" si="31"/>
        <v>0</v>
      </c>
      <c r="J53" s="38">
        <f t="shared" si="32"/>
        <v>0</v>
      </c>
      <c r="K53" s="40">
        <f t="shared" si="33"/>
        <v>0</v>
      </c>
      <c r="L53" s="22">
        <f t="shared" si="34"/>
        <v>0</v>
      </c>
      <c r="M53" s="24">
        <f t="shared" si="35"/>
        <v>0</v>
      </c>
      <c r="N53" s="2"/>
      <c r="O53" s="2"/>
      <c r="P53" s="2"/>
      <c r="Q53" s="2"/>
      <c r="R53" s="221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/>
      </c>
      <c r="B54" s="217">
        <f>IF([1]Summ!C1089="",0,[1]Summ!C1089)</f>
        <v>0</v>
      </c>
      <c r="C54" s="217">
        <f>IF([1]Summ!D1089="",0,[1]Summ!D1089)</f>
        <v>0</v>
      </c>
      <c r="D54" s="38">
        <f t="shared" si="25"/>
        <v>0</v>
      </c>
      <c r="E54" s="75">
        <f>Poor!E54</f>
        <v>1</v>
      </c>
      <c r="F54" s="75">
        <f>Poor!F54</f>
        <v>1</v>
      </c>
      <c r="G54" s="75">
        <f>Poor!G54</f>
        <v>1</v>
      </c>
      <c r="H54" s="24">
        <f t="shared" si="30"/>
        <v>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21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/>
      </c>
      <c r="B55" s="217">
        <f>IF([1]Summ!C1090="",0,[1]Summ!C1090)</f>
        <v>0</v>
      </c>
      <c r="C55" s="217">
        <f>IF([1]Summ!D1090="",0,[1]Summ!D1090)</f>
        <v>0</v>
      </c>
      <c r="D55" s="38">
        <f t="shared" si="25"/>
        <v>0</v>
      </c>
      <c r="E55" s="75">
        <f>Poor!E55</f>
        <v>1</v>
      </c>
      <c r="F55" s="75">
        <f>Poor!F55</f>
        <v>1</v>
      </c>
      <c r="G55" s="75">
        <f>Poor!G55</f>
        <v>1</v>
      </c>
      <c r="H55" s="24">
        <f t="shared" si="30"/>
        <v>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21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/>
      </c>
      <c r="B56" s="217">
        <f>IF([1]Summ!C1091="",0,[1]Summ!C1091)</f>
        <v>0</v>
      </c>
      <c r="C56" s="217">
        <f>IF([1]Summ!D1091="",0,[1]Summ!D1091)</f>
        <v>0</v>
      </c>
      <c r="D56" s="38">
        <f t="shared" si="25"/>
        <v>0</v>
      </c>
      <c r="E56" s="75">
        <f>Poor!E56</f>
        <v>1</v>
      </c>
      <c r="F56" s="75">
        <f>Poor!F56</f>
        <v>1</v>
      </c>
      <c r="G56" s="75">
        <f>Poor!G56</f>
        <v>1</v>
      </c>
      <c r="H56" s="24">
        <f t="shared" si="30"/>
        <v>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21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/>
      </c>
      <c r="B57" s="217">
        <f>IF([1]Summ!C1092="",0,[1]Summ!C1092)</f>
        <v>0</v>
      </c>
      <c r="C57" s="217">
        <f>IF([1]Summ!D1092="",0,[1]Summ!D1092)</f>
        <v>0</v>
      </c>
      <c r="D57" s="38">
        <f t="shared" si="25"/>
        <v>0</v>
      </c>
      <c r="E57" s="75">
        <f>Poor!E57</f>
        <v>1</v>
      </c>
      <c r="F57" s="75">
        <f>Poor!F57</f>
        <v>1</v>
      </c>
      <c r="G57" s="75">
        <f>Poor!G57</f>
        <v>1</v>
      </c>
      <c r="H57" s="24">
        <f t="shared" si="30"/>
        <v>1</v>
      </c>
      <c r="I57" s="39">
        <f t="shared" si="31"/>
        <v>0</v>
      </c>
      <c r="J57" s="38">
        <f t="shared" si="32"/>
        <v>0</v>
      </c>
      <c r="K57" s="40">
        <f t="shared" si="33"/>
        <v>0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21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/>
      </c>
      <c r="B58" s="217">
        <f>IF([1]Summ!C1093="",0,[1]Summ!C1093)</f>
        <v>0</v>
      </c>
      <c r="C58" s="217">
        <f>IF([1]Summ!D1093="",0,[1]Summ!D1093)</f>
        <v>0</v>
      </c>
      <c r="D58" s="38">
        <f t="shared" si="25"/>
        <v>0</v>
      </c>
      <c r="E58" s="75">
        <f>Poor!E58</f>
        <v>1</v>
      </c>
      <c r="F58" s="75">
        <f>Poor!F58</f>
        <v>1</v>
      </c>
      <c r="G58" s="75">
        <f>Poor!G58</f>
        <v>1</v>
      </c>
      <c r="H58" s="24">
        <f t="shared" si="30"/>
        <v>1</v>
      </c>
      <c r="I58" s="39">
        <f t="shared" si="31"/>
        <v>0</v>
      </c>
      <c r="J58" s="38">
        <f t="shared" si="32"/>
        <v>0</v>
      </c>
      <c r="K58" s="40">
        <f t="shared" si="33"/>
        <v>0</v>
      </c>
      <c r="L58" s="22">
        <f t="shared" si="34"/>
        <v>0</v>
      </c>
      <c r="M58" s="24">
        <f t="shared" si="35"/>
        <v>0</v>
      </c>
      <c r="N58" s="2"/>
      <c r="O58" s="2"/>
      <c r="P58" s="2"/>
      <c r="Q58" s="2"/>
      <c r="R58" s="221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/>
      </c>
      <c r="B59" s="217">
        <f>IF([1]Summ!C1094="",0,[1]Summ!C1094)</f>
        <v>0</v>
      </c>
      <c r="C59" s="217">
        <f>IF([1]Summ!D1094="",0,[1]Summ!D1094)</f>
        <v>0</v>
      </c>
      <c r="D59" s="38">
        <f t="shared" si="25"/>
        <v>0</v>
      </c>
      <c r="E59" s="75">
        <f>Poor!E59</f>
        <v>1</v>
      </c>
      <c r="F59" s="75">
        <f>Poor!F59</f>
        <v>1</v>
      </c>
      <c r="G59" s="75">
        <f>Poor!G59</f>
        <v>1</v>
      </c>
      <c r="H59" s="24">
        <f t="shared" si="30"/>
        <v>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21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/>
      </c>
      <c r="B60" s="217">
        <f>IF([1]Summ!C1095="",0,[1]Summ!C1095)</f>
        <v>0</v>
      </c>
      <c r="C60" s="217">
        <f>IF([1]Summ!D1095="",0,[1]Summ!D1095)</f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/>
      </c>
      <c r="B61" s="217">
        <f>IF([1]Summ!C1096="",0,[1]Summ!C1096)</f>
        <v>0</v>
      </c>
      <c r="C61" s="217">
        <f>IF([1]Summ!D1096="",0,[1]Summ!D1096)</f>
        <v>0</v>
      </c>
      <c r="D61" s="38">
        <f t="shared" si="25"/>
        <v>0</v>
      </c>
      <c r="E61" s="75">
        <f>Poor!E61</f>
        <v>1</v>
      </c>
      <c r="F61" s="75">
        <f>Poor!F61</f>
        <v>1</v>
      </c>
      <c r="G61" s="75">
        <f>Poor!G61</f>
        <v>1</v>
      </c>
      <c r="H61" s="24">
        <f t="shared" si="30"/>
        <v>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/>
      </c>
      <c r="B62" s="217">
        <f>IF([1]Summ!C1097="",0,[1]Summ!C1097)</f>
        <v>0</v>
      </c>
      <c r="C62" s="217">
        <f>IF([1]Summ!D1097="",0,[1]Summ!D1097)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23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/>
      </c>
      <c r="B63" s="217">
        <f>IF([1]Summ!C1098="",0,[1]Summ!C1098)</f>
        <v>0</v>
      </c>
      <c r="C63" s="217">
        <f>IF([1]Summ!D1098="",0,[1]Summ!D1098)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/>
      </c>
      <c r="B64" s="217">
        <f>IF([1]Summ!C1099="",0,[1]Summ!C1099)</f>
        <v>0</v>
      </c>
      <c r="C64" s="217">
        <f>IF([1]Summ!D1099="",0,[1]Summ!D1099)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27845</v>
      </c>
      <c r="C65" s="39">
        <f>SUM(C37:C64)</f>
        <v>750</v>
      </c>
      <c r="D65" s="42">
        <f>SUM(D37:D64)</f>
        <v>28595</v>
      </c>
      <c r="E65" s="32"/>
      <c r="F65" s="32"/>
      <c r="G65" s="32"/>
      <c r="H65" s="31"/>
      <c r="I65" s="39">
        <f>SUM(I37:I64)</f>
        <v>28595</v>
      </c>
      <c r="J65" s="39">
        <f>SUM(J37:J64)</f>
        <v>28595</v>
      </c>
      <c r="K65" s="40">
        <f>SUM(K37:K64)</f>
        <v>1</v>
      </c>
      <c r="L65" s="22">
        <f>SUM(L37:L64)</f>
        <v>1</v>
      </c>
      <c r="M65" s="24">
        <f>SUM(M37:M64)</f>
        <v>1.0269348177410667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6867.5</v>
      </c>
      <c r="AB65" s="137"/>
      <c r="AC65" s="153">
        <f>SUM(AC37:AC64)</f>
        <v>6867.5</v>
      </c>
      <c r="AD65" s="137"/>
      <c r="AE65" s="153">
        <f>SUM(AE37:AE64)</f>
        <v>6867.5</v>
      </c>
      <c r="AF65" s="137"/>
      <c r="AG65" s="153">
        <f>SUM(AG37:AG64)</f>
        <v>7992.5</v>
      </c>
      <c r="AH65" s="137"/>
      <c r="AI65" s="153">
        <f>SUM(AI37:AI64)</f>
        <v>28595</v>
      </c>
      <c r="AJ65" s="153">
        <f>SUM(AJ37:AJ64)</f>
        <v>13735</v>
      </c>
      <c r="AK65" s="153">
        <f>SUM(AK37:AK64)</f>
        <v>14860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SUM([1]Summ!C1031)</f>
        <v>13068.858465770903</v>
      </c>
      <c r="C70" s="39"/>
      <c r="D70" s="38"/>
      <c r="E70" s="75">
        <f>Poor!E70</f>
        <v>1</v>
      </c>
      <c r="F70" s="75">
        <f>Poor!F70</f>
        <v>1</v>
      </c>
      <c r="G70" s="22"/>
      <c r="H70" s="24">
        <f>(E70*F70)</f>
        <v>1</v>
      </c>
      <c r="I70" s="39">
        <f>I124*I$83</f>
        <v>13068.858465770903</v>
      </c>
      <c r="J70" s="51">
        <f t="shared" ref="J70:J77" si="44">J124*I$83</f>
        <v>13068.858465770903</v>
      </c>
      <c r="K70" s="40">
        <f>B70/B$76</f>
        <v>0.46934309447911304</v>
      </c>
      <c r="L70" s="22">
        <f t="shared" ref="L70:L75" si="45">(L124*G$37*F$9/F$7)/B$130</f>
        <v>0.46934309447911299</v>
      </c>
      <c r="M70" s="24">
        <f>J70/B$76</f>
        <v>0.46934309447911304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3267.2146164427259</v>
      </c>
      <c r="AB70" s="156">
        <f>Poor!AB70</f>
        <v>0.25</v>
      </c>
      <c r="AC70" s="147">
        <f>$J70*AB70</f>
        <v>3267.2146164427259</v>
      </c>
      <c r="AD70" s="156">
        <f>Poor!AD70</f>
        <v>0.25</v>
      </c>
      <c r="AE70" s="147">
        <f>$J70*AD70</f>
        <v>3267.2146164427259</v>
      </c>
      <c r="AF70" s="156">
        <f>Poor!AF70</f>
        <v>0.25</v>
      </c>
      <c r="AG70" s="147">
        <f>$J70*AF70</f>
        <v>3267.2146164427259</v>
      </c>
      <c r="AH70" s="155">
        <f>SUM(Z70,AB70,AD70,AF70)</f>
        <v>1</v>
      </c>
      <c r="AI70" s="147">
        <f>SUM(AA70,AC70,AE70,AG70)</f>
        <v>13068.858465770903</v>
      </c>
      <c r="AJ70" s="148">
        <f>(AA70+AC70)</f>
        <v>6534.4292328854517</v>
      </c>
      <c r="AK70" s="147">
        <f>(AE70+AG70)</f>
        <v>6534.4292328854517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SUM([1]Summ!C1032)</f>
        <v>13631.333333333334</v>
      </c>
      <c r="C71" s="39"/>
      <c r="D71" s="38"/>
      <c r="E71" s="75">
        <f>Poor!E71</f>
        <v>1</v>
      </c>
      <c r="F71" s="75">
        <f>Poor!F71</f>
        <v>1</v>
      </c>
      <c r="G71" s="22"/>
      <c r="H71" s="24">
        <f t="shared" ref="H71:H72" si="46">(E71*F71)</f>
        <v>1</v>
      </c>
      <c r="I71" s="39">
        <f>I125*I$83</f>
        <v>13631.333333333334</v>
      </c>
      <c r="J71" s="51">
        <f t="shared" si="44"/>
        <v>13631.333333333334</v>
      </c>
      <c r="K71" s="40">
        <f t="shared" ref="K71:K72" si="47">B71/B$76</f>
        <v>0.48954330520141259</v>
      </c>
      <c r="L71" s="22">
        <f t="shared" si="45"/>
        <v>0.48954330520141254</v>
      </c>
      <c r="M71" s="24">
        <f t="shared" ref="M71:M72" si="48">J71/B$76</f>
        <v>0.48954330520141259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SUM([1]Summ!C1033)</f>
        <v>24276</v>
      </c>
      <c r="C72" s="39"/>
      <c r="D72" s="38"/>
      <c r="E72" s="75">
        <f>Poor!E72</f>
        <v>1</v>
      </c>
      <c r="F72" s="75">
        <f>Poor!F72</f>
        <v>1</v>
      </c>
      <c r="G72" s="22"/>
      <c r="H72" s="24">
        <f t="shared" si="46"/>
        <v>1</v>
      </c>
      <c r="I72" s="39">
        <f>I126*I$83</f>
        <v>0</v>
      </c>
      <c r="J72" s="51">
        <f t="shared" si="44"/>
        <v>0</v>
      </c>
      <c r="K72" s="40">
        <f t="shared" si="47"/>
        <v>0.87182618064284434</v>
      </c>
      <c r="L72" s="22">
        <f t="shared" si="45"/>
        <v>0</v>
      </c>
      <c r="M72" s="24">
        <f t="shared" si="48"/>
        <v>0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SUM([1]Summ!C1034)</f>
        <v>4073</v>
      </c>
      <c r="C73" s="39"/>
      <c r="D73" s="38"/>
      <c r="E73" s="75">
        <f>Poor!E73</f>
        <v>1</v>
      </c>
      <c r="F73" s="75">
        <f>Poor!F73</f>
        <v>1</v>
      </c>
      <c r="G73" s="22"/>
      <c r="H73" s="24">
        <f>(E73*F73)</f>
        <v>1</v>
      </c>
      <c r="I73" s="39">
        <f>I127*I$83</f>
        <v>0</v>
      </c>
      <c r="J73" s="51">
        <f t="shared" si="44"/>
        <v>0</v>
      </c>
      <c r="K73" s="40">
        <f>B73/B$76</f>
        <v>0.14627401687915245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366.57</v>
      </c>
      <c r="AB73" s="156">
        <f>Poor!AB73</f>
        <v>0.09</v>
      </c>
      <c r="AC73" s="147">
        <f>$H$73*$B$73*AB73</f>
        <v>366.57</v>
      </c>
      <c r="AD73" s="156">
        <f>Poor!AD73</f>
        <v>0.23</v>
      </c>
      <c r="AE73" s="147">
        <f>$H$73*$B$73*AD73</f>
        <v>936.79000000000008</v>
      </c>
      <c r="AF73" s="156">
        <f>Poor!AF73</f>
        <v>0.59</v>
      </c>
      <c r="AG73" s="147">
        <f>$H$73*$B$73*AF73</f>
        <v>2403.0699999999997</v>
      </c>
      <c r="AH73" s="155">
        <f>SUM(Z73,AB73,AD73,AF73)</f>
        <v>1</v>
      </c>
      <c r="AI73" s="147">
        <f>SUM(AA73,AC73,AE73,AG73)</f>
        <v>4073</v>
      </c>
      <c r="AJ73" s="148">
        <f>(AA73+AC73)</f>
        <v>733.14</v>
      </c>
      <c r="AK73" s="147">
        <f>(AE73+AG73)</f>
        <v>3339.8599999999997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3600.9944751381213</v>
      </c>
      <c r="C74" s="39"/>
      <c r="D74" s="38"/>
      <c r="E74" s="32"/>
      <c r="F74" s="32"/>
      <c r="G74" s="32"/>
      <c r="H74" s="31"/>
      <c r="I74" s="39">
        <f>I128*I$83</f>
        <v>15526.141534229097</v>
      </c>
      <c r="J74" s="51">
        <f t="shared" si="44"/>
        <v>3174.6890703677868</v>
      </c>
      <c r="K74" s="40">
        <f>B74/B$76</f>
        <v>0.12932283983257753</v>
      </c>
      <c r="L74" s="22">
        <f t="shared" si="45"/>
        <v>0.12932283983257753</v>
      </c>
      <c r="M74" s="24">
        <f>J74/B$76</f>
        <v>0.11401289532655007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0</v>
      </c>
      <c r="AB74" s="156"/>
      <c r="AC74" s="147">
        <f>AC30*$I$83/4</f>
        <v>619.24920065800222</v>
      </c>
      <c r="AD74" s="156"/>
      <c r="AE74" s="147">
        <f>AE30*$I$83/4</f>
        <v>730.99637808672105</v>
      </c>
      <c r="AF74" s="156"/>
      <c r="AG74" s="147">
        <f>AG30*$I$83/4</f>
        <v>655.89278692650021</v>
      </c>
      <c r="AH74" s="155"/>
      <c r="AI74" s="147">
        <f>SUM(AA74,AC74,AE74,AG74)</f>
        <v>2006.1383656712237</v>
      </c>
      <c r="AJ74" s="148">
        <f>(AA74+AC74)</f>
        <v>619.24920065800222</v>
      </c>
      <c r="AK74" s="147">
        <f>(AE74+AG74)</f>
        <v>1386.8891650132214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</v>
      </c>
      <c r="L75" s="22">
        <f>(L129*G$37*F$9/F$7)/B$130</f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7669.6779801880475</v>
      </c>
      <c r="AB75" s="158"/>
      <c r="AC75" s="149">
        <f>AA75+AC65-SUM(AC70,AC74)</f>
        <v>10650.714163087319</v>
      </c>
      <c r="AD75" s="158"/>
      <c r="AE75" s="149">
        <f>AC75+AE65-SUM(AE70,AE74)</f>
        <v>13520.003168557872</v>
      </c>
      <c r="AF75" s="158"/>
      <c r="AG75" s="149">
        <f>IF(SUM(AG6:AG29)+((AG65-AG70-$J$75)*4/I$83)&lt;1,0,AG65-AG70-$J$75-(1-SUM(AG6:AG29))*I$83/4)</f>
        <v>4069.3925966307738</v>
      </c>
      <c r="AH75" s="134"/>
      <c r="AI75" s="149">
        <f>AI76-SUM(AI70,AI74)</f>
        <v>13520.003168557872</v>
      </c>
      <c r="AJ75" s="151">
        <f>AJ76-SUM(AJ70,AJ74)</f>
        <v>6581.321566456546</v>
      </c>
      <c r="AK75" s="149">
        <f>AJ75+AK76-SUM(AK70,AK74)</f>
        <v>13520.003168557874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27845</v>
      </c>
      <c r="C76" s="39"/>
      <c r="D76" s="38"/>
      <c r="E76" s="32"/>
      <c r="F76" s="32"/>
      <c r="G76" s="32"/>
      <c r="H76" s="31"/>
      <c r="I76" s="39">
        <f>I130*I$83</f>
        <v>28595</v>
      </c>
      <c r="J76" s="51">
        <f t="shared" si="44"/>
        <v>28595</v>
      </c>
      <c r="K76" s="40">
        <f>SUM(K70:K75)</f>
        <v>2.1063094370351001</v>
      </c>
      <c r="L76" s="22">
        <f>SUM(L70:L75)</f>
        <v>1.0882092395131031</v>
      </c>
      <c r="M76" s="24">
        <f>SUM(M70:M75)</f>
        <v>1.0728992950070757</v>
      </c>
      <c r="O76" s="2"/>
      <c r="P76" s="2"/>
      <c r="Q76" s="2"/>
      <c r="R76" s="2"/>
      <c r="S76" s="2"/>
      <c r="T76" s="2"/>
      <c r="U76" s="56"/>
      <c r="V76" s="56"/>
      <c r="W76" s="110"/>
      <c r="X76" s="190"/>
      <c r="Y76" s="190"/>
      <c r="Z76" s="137"/>
      <c r="AA76" s="154">
        <f>AA65</f>
        <v>6867.5</v>
      </c>
      <c r="AB76" s="137"/>
      <c r="AC76" s="153">
        <f>AC65</f>
        <v>6867.5</v>
      </c>
      <c r="AD76" s="137"/>
      <c r="AE76" s="153">
        <f>AE65</f>
        <v>6867.5</v>
      </c>
      <c r="AF76" s="137"/>
      <c r="AG76" s="153">
        <f>AG65</f>
        <v>7992.5</v>
      </c>
      <c r="AH76" s="137"/>
      <c r="AI76" s="153">
        <f>SUM(AA76,AC76,AE76,AG76)</f>
        <v>28595</v>
      </c>
      <c r="AJ76" s="154">
        <f>SUM(AA76,AC76)</f>
        <v>13735</v>
      </c>
      <c r="AK76" s="154">
        <f>SUM(AE76,AG76)</f>
        <v>14860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13631.333333333328</v>
      </c>
      <c r="J77" s="100">
        <f t="shared" si="44"/>
        <v>1279.8808694720187</v>
      </c>
      <c r="K77" s="40"/>
      <c r="L77" s="22">
        <f>-(L131*G$37*F$9/F$7)/B$130</f>
        <v>-0.48954330520141237</v>
      </c>
      <c r="M77" s="24">
        <f>-J77/B$76</f>
        <v>-4.5964477266008934E-2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4069.3925966307738</v>
      </c>
      <c r="AB78" s="112"/>
      <c r="AC78" s="112">
        <f>IF(AA75&lt;0,0,AA75)</f>
        <v>7669.6779801880475</v>
      </c>
      <c r="AD78" s="112"/>
      <c r="AE78" s="112">
        <f>AC75</f>
        <v>10650.714163087319</v>
      </c>
      <c r="AF78" s="112"/>
      <c r="AG78" s="112">
        <f>AE75</f>
        <v>13520.003168557872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4" t="str">
        <f>[1]Summ!C1037</f>
        <v>maize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7669.6779801880475</v>
      </c>
      <c r="AB79" s="112"/>
      <c r="AC79" s="112">
        <f>AA79-AA74+AC65-AC70</f>
        <v>11269.963363745323</v>
      </c>
      <c r="AD79" s="112"/>
      <c r="AE79" s="112">
        <f>AC79-AC74+AE65-AE70</f>
        <v>14250.999546644598</v>
      </c>
      <c r="AF79" s="112"/>
      <c r="AG79" s="112">
        <f>AE79-AE74+AG65-AG70</f>
        <v>18245.288552115151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[1]Summ!C1038</f>
        <v>0.58061985920496251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4">
        <f>[1]Summ!C1039</f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[1]Summ!C1040</f>
        <v>5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4">
        <f>Poor!AA82</f>
        <v>5.6000000000000005</v>
      </c>
      <c r="AB82" s="162">
        <f>IF($AH$82=0,0,AC82/$AH$82)</f>
        <v>1</v>
      </c>
      <c r="AC82" s="194">
        <f>Poor!AC82</f>
        <v>5.6000000000000005</v>
      </c>
      <c r="AD82" s="162">
        <f>IF($AH$82=0,0,AE82/$AH$82)</f>
        <v>1</v>
      </c>
      <c r="AE82" s="194">
        <f>Poor!AE82</f>
        <v>5.6000000000000005</v>
      </c>
      <c r="AF82" s="162">
        <f>IF($AH$82=0,0,AG82/$AH$82)</f>
        <v>1</v>
      </c>
      <c r="AG82" s="194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7417.4187013433957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7417.4187013433957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1854.3546753358489</v>
      </c>
      <c r="AB83" s="112"/>
      <c r="AC83" s="165">
        <f>$I$83*AB82/4</f>
        <v>1854.3546753358489</v>
      </c>
      <c r="AD83" s="112"/>
      <c r="AE83" s="165">
        <f>$I$83*AD82/4</f>
        <v>1854.3546753358489</v>
      </c>
      <c r="AF83" s="112"/>
      <c r="AG83" s="165">
        <f>$I$83*AF82/4</f>
        <v>1854.3546753358489</v>
      </c>
      <c r="AH83" s="165">
        <f>SUM(AA83,AC83,AE83,AG83)</f>
        <v>7417.4187013433957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8">
        <f>B70+((1-D29)*B83)</f>
        <v>16875.870013992</v>
      </c>
      <c r="C84" s="46"/>
      <c r="D84" s="239"/>
      <c r="E84" s="64"/>
      <c r="F84" s="64"/>
      <c r="G84" s="64"/>
      <c r="H84" s="240">
        <f>IF(B84=0,0,I84/B84)</f>
        <v>1</v>
      </c>
      <c r="I84" s="238">
        <f>(B70*H70)+((1-(D29*H29))*I83)</f>
        <v>16875.870013992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1"/>
      <c r="AJ85" s="192"/>
      <c r="AK85" s="193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[1]Summ!$H$892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50">IF(A37="","",A37)</f>
        <v>Cattle sales - local: no. sold</v>
      </c>
      <c r="B91" s="75">
        <f t="shared" ref="B91:C118" si="51">(B37/$B$83)</f>
        <v>0</v>
      </c>
      <c r="C91" s="75">
        <f t="shared" si="51"/>
        <v>0</v>
      </c>
      <c r="D91" s="24">
        <f t="shared" ref="D91:D106" si="52">(B91+C91)</f>
        <v>0</v>
      </c>
      <c r="H91" s="24">
        <f t="shared" ref="H91:H106" si="53">(E37*F37/G37*F$7/F$9)</f>
        <v>1</v>
      </c>
      <c r="I91" s="22">
        <f t="shared" ref="I91:I106" si="54">(D91*H91)</f>
        <v>0</v>
      </c>
      <c r="J91" s="24">
        <f t="shared" ref="J91:J99" si="55">IF(I$32&lt;=1+I$131,I91,L91+J$33*(I91-L91))</f>
        <v>0</v>
      </c>
      <c r="K91" s="22">
        <f t="shared" ref="K91:K106" si="56">(B91)</f>
        <v>0</v>
      </c>
      <c r="L91" s="22">
        <f t="shared" ref="L91:L106" si="57">(K91*H91)</f>
        <v>0</v>
      </c>
      <c r="M91" s="231">
        <f t="shared" si="49"/>
        <v>0</v>
      </c>
      <c r="N91" s="233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50"/>
        <v>Goat sales - local: no. sold</v>
      </c>
      <c r="B92" s="75">
        <f t="shared" si="51"/>
        <v>0.151670014232343</v>
      </c>
      <c r="C92" s="75">
        <f t="shared" si="51"/>
        <v>0</v>
      </c>
      <c r="D92" s="24">
        <f t="shared" si="52"/>
        <v>0.151670014232343</v>
      </c>
      <c r="H92" s="24">
        <f t="shared" si="53"/>
        <v>1</v>
      </c>
      <c r="I92" s="22">
        <f t="shared" si="54"/>
        <v>0.151670014232343</v>
      </c>
      <c r="J92" s="24">
        <f t="shared" si="55"/>
        <v>0.151670014232343</v>
      </c>
      <c r="K92" s="22">
        <f t="shared" si="56"/>
        <v>0.151670014232343</v>
      </c>
      <c r="L92" s="22">
        <f t="shared" si="57"/>
        <v>0.151670014232343</v>
      </c>
      <c r="M92" s="231">
        <f t="shared" si="49"/>
        <v>0.151670014232343</v>
      </c>
      <c r="N92" s="233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0"/>
        <v>Sheep sales - local: no. sold</v>
      </c>
      <c r="B93" s="75">
        <f t="shared" si="51"/>
        <v>0</v>
      </c>
      <c r="C93" s="75">
        <f t="shared" si="51"/>
        <v>0</v>
      </c>
      <c r="D93" s="24">
        <f t="shared" si="52"/>
        <v>0</v>
      </c>
      <c r="H93" s="24">
        <f t="shared" si="53"/>
        <v>1</v>
      </c>
      <c r="I93" s="22">
        <f t="shared" si="54"/>
        <v>0</v>
      </c>
      <c r="J93" s="24">
        <f t="shared" si="55"/>
        <v>0</v>
      </c>
      <c r="K93" s="22">
        <f t="shared" si="56"/>
        <v>0</v>
      </c>
      <c r="L93" s="22">
        <f t="shared" si="57"/>
        <v>0</v>
      </c>
      <c r="M93" s="231">
        <f t="shared" si="49"/>
        <v>0</v>
      </c>
      <c r="N93" s="233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0"/>
        <v>Chicken sales: no. sold</v>
      </c>
      <c r="B94" s="75">
        <f t="shared" si="51"/>
        <v>0</v>
      </c>
      <c r="C94" s="75">
        <f t="shared" si="51"/>
        <v>0</v>
      </c>
      <c r="D94" s="24">
        <f t="shared" si="52"/>
        <v>0</v>
      </c>
      <c r="H94" s="24">
        <f t="shared" si="53"/>
        <v>1</v>
      </c>
      <c r="I94" s="22">
        <f t="shared" si="54"/>
        <v>0</v>
      </c>
      <c r="J94" s="24">
        <f t="shared" si="55"/>
        <v>0</v>
      </c>
      <c r="K94" s="22">
        <f t="shared" si="56"/>
        <v>0</v>
      </c>
      <c r="L94" s="22">
        <f t="shared" si="57"/>
        <v>0</v>
      </c>
      <c r="M94" s="232">
        <f t="shared" si="49"/>
        <v>0</v>
      </c>
      <c r="N94" s="233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0"/>
        <v>Maize: kg produced</v>
      </c>
      <c r="B95" s="75">
        <f t="shared" si="51"/>
        <v>0</v>
      </c>
      <c r="C95" s="75">
        <f t="shared" si="51"/>
        <v>0</v>
      </c>
      <c r="D95" s="24">
        <f t="shared" si="52"/>
        <v>0</v>
      </c>
      <c r="H95" s="24">
        <f t="shared" si="53"/>
        <v>1</v>
      </c>
      <c r="I95" s="22">
        <f t="shared" si="54"/>
        <v>0</v>
      </c>
      <c r="J95" s="24">
        <f t="shared" si="55"/>
        <v>0</v>
      </c>
      <c r="K95" s="22">
        <f t="shared" si="56"/>
        <v>0</v>
      </c>
      <c r="L95" s="22">
        <f t="shared" si="57"/>
        <v>0</v>
      </c>
      <c r="M95" s="232">
        <f t="shared" si="49"/>
        <v>0</v>
      </c>
      <c r="N95" s="233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0"/>
        <v>Beans: kg produced</v>
      </c>
      <c r="B96" s="75">
        <f t="shared" si="51"/>
        <v>0</v>
      </c>
      <c r="C96" s="75">
        <f t="shared" si="51"/>
        <v>0</v>
      </c>
      <c r="D96" s="24">
        <f t="shared" si="52"/>
        <v>0</v>
      </c>
      <c r="H96" s="24">
        <f t="shared" si="53"/>
        <v>1</v>
      </c>
      <c r="I96" s="22">
        <f t="shared" si="54"/>
        <v>0</v>
      </c>
      <c r="J96" s="24">
        <f t="shared" si="55"/>
        <v>0</v>
      </c>
      <c r="K96" s="22">
        <f t="shared" si="56"/>
        <v>0</v>
      </c>
      <c r="L96" s="22">
        <f t="shared" si="57"/>
        <v>0</v>
      </c>
      <c r="M96" s="232">
        <f t="shared" si="49"/>
        <v>0</v>
      </c>
      <c r="N96" s="233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0"/>
        <v>potatoes: kg produced</v>
      </c>
      <c r="B97" s="75">
        <f t="shared" si="51"/>
        <v>0</v>
      </c>
      <c r="C97" s="75">
        <f t="shared" si="51"/>
        <v>0</v>
      </c>
      <c r="D97" s="24">
        <f t="shared" si="52"/>
        <v>0</v>
      </c>
      <c r="H97" s="24">
        <f t="shared" si="53"/>
        <v>1</v>
      </c>
      <c r="I97" s="22">
        <f t="shared" si="54"/>
        <v>0</v>
      </c>
      <c r="J97" s="24">
        <f t="shared" si="55"/>
        <v>0</v>
      </c>
      <c r="K97" s="22">
        <f t="shared" si="56"/>
        <v>0</v>
      </c>
      <c r="L97" s="22">
        <f t="shared" si="57"/>
        <v>0</v>
      </c>
      <c r="M97" s="232">
        <f t="shared" si="49"/>
        <v>0</v>
      </c>
      <c r="N97" s="233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0"/>
        <v>WILD FOODS -- see worksheet Data 3</v>
      </c>
      <c r="B98" s="75">
        <f t="shared" si="51"/>
        <v>0</v>
      </c>
      <c r="C98" s="75">
        <f t="shared" si="51"/>
        <v>0.10111334282156201</v>
      </c>
      <c r="D98" s="24">
        <f t="shared" si="52"/>
        <v>0.10111334282156201</v>
      </c>
      <c r="H98" s="24">
        <f t="shared" si="53"/>
        <v>1</v>
      </c>
      <c r="I98" s="22">
        <f t="shared" si="54"/>
        <v>0.10111334282156201</v>
      </c>
      <c r="J98" s="24">
        <f t="shared" si="55"/>
        <v>0.10111334282156201</v>
      </c>
      <c r="K98" s="22">
        <f t="shared" si="56"/>
        <v>0</v>
      </c>
      <c r="L98" s="22">
        <f t="shared" si="57"/>
        <v>0</v>
      </c>
      <c r="M98" s="232">
        <f t="shared" si="49"/>
        <v>0.10111334282156201</v>
      </c>
      <c r="N98" s="233">
        <v>6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0"/>
        <v>Agricultural cash income -- see Data2</v>
      </c>
      <c r="B99" s="75">
        <f t="shared" si="51"/>
        <v>0.10246152072584949</v>
      </c>
      <c r="C99" s="75">
        <f t="shared" si="51"/>
        <v>0</v>
      </c>
      <c r="D99" s="24">
        <f t="shared" si="52"/>
        <v>0.10246152072584949</v>
      </c>
      <c r="H99" s="24">
        <f t="shared" si="53"/>
        <v>1</v>
      </c>
      <c r="I99" s="22">
        <f t="shared" si="54"/>
        <v>0.10246152072584949</v>
      </c>
      <c r="J99" s="24">
        <f t="shared" si="55"/>
        <v>0.10246152072584949</v>
      </c>
      <c r="K99" s="22">
        <f t="shared" si="56"/>
        <v>0.10246152072584949</v>
      </c>
      <c r="L99" s="22">
        <f t="shared" si="57"/>
        <v>0.10246152072584949</v>
      </c>
      <c r="M99" s="232">
        <f t="shared" si="49"/>
        <v>0.10246152072584949</v>
      </c>
      <c r="N99" s="233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0"/>
        <v>Construction cash income -- see Data2</v>
      </c>
      <c r="B100" s="75">
        <f t="shared" si="51"/>
        <v>0.12672872300302437</v>
      </c>
      <c r="C100" s="75">
        <f t="shared" si="51"/>
        <v>0</v>
      </c>
      <c r="D100" s="24">
        <f t="shared" si="52"/>
        <v>0.12672872300302437</v>
      </c>
      <c r="H100" s="24">
        <f t="shared" si="53"/>
        <v>1</v>
      </c>
      <c r="I100" s="22">
        <f t="shared" si="54"/>
        <v>0.12672872300302437</v>
      </c>
      <c r="J100" s="24">
        <f>IF(I$32&lt;=1+I131,I100,L100+J$33*(I100-L100))</f>
        <v>0.12672872300302437</v>
      </c>
      <c r="K100" s="22">
        <f t="shared" si="56"/>
        <v>0.12672872300302437</v>
      </c>
      <c r="L100" s="22">
        <f t="shared" si="57"/>
        <v>0.12672872300302437</v>
      </c>
      <c r="M100" s="232">
        <f t="shared" si="49"/>
        <v>0.12672872300302437</v>
      </c>
      <c r="N100" s="233">
        <v>7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0"/>
        <v>Domestic work cash income -- see Data2</v>
      </c>
      <c r="B101" s="75">
        <f t="shared" si="51"/>
        <v>0.64712539405799685</v>
      </c>
      <c r="C101" s="75">
        <f t="shared" si="51"/>
        <v>0</v>
      </c>
      <c r="D101" s="24">
        <f t="shared" si="52"/>
        <v>0.64712539405799685</v>
      </c>
      <c r="H101" s="24">
        <f t="shared" si="53"/>
        <v>1</v>
      </c>
      <c r="I101" s="22">
        <f t="shared" si="54"/>
        <v>0.64712539405799685</v>
      </c>
      <c r="J101" s="24">
        <f>IF(I$32&lt;=1+I131,I101,L101+J$33*(I101-L101))</f>
        <v>0.64712539405799685</v>
      </c>
      <c r="K101" s="22">
        <f t="shared" si="56"/>
        <v>0.64712539405799685</v>
      </c>
      <c r="L101" s="22">
        <f t="shared" si="57"/>
        <v>0.64712539405799685</v>
      </c>
      <c r="M101" s="231">
        <f t="shared" si="49"/>
        <v>0.64712539405799685</v>
      </c>
      <c r="N101" s="233">
        <v>7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0"/>
        <v>Labour migration(formal employment): no. people per HH</v>
      </c>
      <c r="B102" s="75">
        <f t="shared" si="51"/>
        <v>0</v>
      </c>
      <c r="C102" s="75">
        <f t="shared" si="51"/>
        <v>0</v>
      </c>
      <c r="D102" s="24">
        <f t="shared" si="52"/>
        <v>0</v>
      </c>
      <c r="H102" s="24">
        <f t="shared" si="53"/>
        <v>1</v>
      </c>
      <c r="I102" s="22">
        <f t="shared" si="54"/>
        <v>0</v>
      </c>
      <c r="J102" s="24">
        <f>IF(I$32&lt;=1+I131,I102,L102+J$33*(I102-L102))</f>
        <v>0</v>
      </c>
      <c r="K102" s="22">
        <f t="shared" si="56"/>
        <v>0</v>
      </c>
      <c r="L102" s="22">
        <f t="shared" si="57"/>
        <v>0</v>
      </c>
      <c r="M102" s="232">
        <f t="shared" si="49"/>
        <v>0</v>
      </c>
      <c r="N102" s="233">
        <v>8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0"/>
        <v>Small business -- see Data2</v>
      </c>
      <c r="B103" s="75">
        <f t="shared" si="51"/>
        <v>0</v>
      </c>
      <c r="C103" s="75">
        <f t="shared" si="51"/>
        <v>0</v>
      </c>
      <c r="D103" s="24">
        <f t="shared" si="52"/>
        <v>0</v>
      </c>
      <c r="H103" s="24">
        <f t="shared" si="53"/>
        <v>1</v>
      </c>
      <c r="I103" s="22">
        <f t="shared" si="54"/>
        <v>0</v>
      </c>
      <c r="J103" s="24">
        <f>IF(I$32&lt;=1+I131,I103,L103+J$33*(I103-L103))</f>
        <v>0</v>
      </c>
      <c r="K103" s="22">
        <f t="shared" si="56"/>
        <v>0</v>
      </c>
      <c r="L103" s="22">
        <f t="shared" si="57"/>
        <v>0</v>
      </c>
      <c r="M103" s="232">
        <f t="shared" si="49"/>
        <v>0</v>
      </c>
      <c r="N103" s="233">
        <v>11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0"/>
        <v>Social development -- see Data2</v>
      </c>
      <c r="B104" s="75">
        <f t="shared" si="51"/>
        <v>2.7260157224693118</v>
      </c>
      <c r="C104" s="75">
        <f t="shared" si="51"/>
        <v>0</v>
      </c>
      <c r="D104" s="24">
        <f t="shared" si="52"/>
        <v>2.7260157224693118</v>
      </c>
      <c r="H104" s="24">
        <f t="shared" si="53"/>
        <v>1</v>
      </c>
      <c r="I104" s="22">
        <f t="shared" si="54"/>
        <v>2.7260157224693118</v>
      </c>
      <c r="J104" s="24">
        <f>IF(I$32&lt;=1+I131,I104,L104+J$33*(I104-L104))</f>
        <v>2.7260157224693118</v>
      </c>
      <c r="K104" s="22">
        <f t="shared" si="56"/>
        <v>2.7260157224693118</v>
      </c>
      <c r="L104" s="22">
        <f t="shared" si="57"/>
        <v>2.7260157224693118</v>
      </c>
      <c r="M104" s="232">
        <f t="shared" si="49"/>
        <v>2.7260157224693118</v>
      </c>
      <c r="N104" s="233">
        <v>14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0"/>
        <v>Public works -- see Data2</v>
      </c>
      <c r="B105" s="75">
        <f t="shared" si="51"/>
        <v>0</v>
      </c>
      <c r="C105" s="75">
        <f t="shared" si="51"/>
        <v>0</v>
      </c>
      <c r="D105" s="24">
        <f t="shared" si="52"/>
        <v>0</v>
      </c>
      <c r="H105" s="24">
        <f t="shared" si="53"/>
        <v>1</v>
      </c>
      <c r="I105" s="22">
        <f t="shared" si="54"/>
        <v>0</v>
      </c>
      <c r="J105" s="24">
        <f>IF(I$32&lt;=1+I131,I105,L105+J$33*(I105-L105))</f>
        <v>0</v>
      </c>
      <c r="K105" s="22">
        <f t="shared" si="56"/>
        <v>0</v>
      </c>
      <c r="L105" s="22">
        <f t="shared" si="57"/>
        <v>0</v>
      </c>
      <c r="M105" s="232">
        <f t="shared" si="49"/>
        <v>0</v>
      </c>
      <c r="N105" s="233">
        <v>9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0"/>
        <v>Gifts/social support: type (Child support, Pension and Foster Care)</v>
      </c>
      <c r="B106" s="75">
        <f t="shared" si="51"/>
        <v>0</v>
      </c>
      <c r="C106" s="75">
        <f t="shared" si="51"/>
        <v>0</v>
      </c>
      <c r="D106" s="24">
        <f t="shared" si="52"/>
        <v>0</v>
      </c>
      <c r="H106" s="24">
        <f t="shared" si="53"/>
        <v>1</v>
      </c>
      <c r="I106" s="22">
        <f t="shared" si="54"/>
        <v>0</v>
      </c>
      <c r="J106" s="24">
        <f>IF(I$32&lt;=1+I132,I106,L106+J$33*(I106-L106))</f>
        <v>0</v>
      </c>
      <c r="K106" s="22">
        <f t="shared" si="56"/>
        <v>0</v>
      </c>
      <c r="L106" s="22">
        <f t="shared" si="57"/>
        <v>0</v>
      </c>
      <c r="M106" s="232">
        <f>(J106)</f>
        <v>0</v>
      </c>
      <c r="N106" s="233">
        <v>15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8">IF(A53="","",A53)</f>
        <v>Remittances: no. times per year</v>
      </c>
      <c r="B107" s="75">
        <f t="shared" si="51"/>
        <v>0</v>
      </c>
      <c r="C107" s="75">
        <f t="shared" si="51"/>
        <v>0</v>
      </c>
      <c r="D107" s="24">
        <f t="shared" ref="D107:D118" si="59">(B107+C107)</f>
        <v>0</v>
      </c>
      <c r="H107" s="24">
        <f t="shared" ref="H107:H118" si="60">(E53*F53/G53*F$7/F$9)</f>
        <v>1</v>
      </c>
      <c r="I107" s="22">
        <f t="shared" ref="I107:I118" si="61">(D107*H107)</f>
        <v>0</v>
      </c>
      <c r="J107" s="24">
        <f t="shared" ref="J107:J118" si="62">IF(I$32&lt;=1+I133,I107,L107+J$33*(I107-L107))</f>
        <v>0</v>
      </c>
      <c r="K107" s="22">
        <f t="shared" ref="K107:K118" si="63">(B107)</f>
        <v>0</v>
      </c>
      <c r="L107" s="22">
        <f t="shared" ref="L107:L118" si="64">(K107*H107)</f>
        <v>0</v>
      </c>
      <c r="M107" s="232">
        <f t="shared" ref="M107:M118" si="65">(J107)</f>
        <v>0</v>
      </c>
      <c r="N107" s="233">
        <v>15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8"/>
        <v/>
      </c>
      <c r="B108" s="75">
        <f t="shared" si="51"/>
        <v>0</v>
      </c>
      <c r="C108" s="75">
        <f t="shared" si="51"/>
        <v>0</v>
      </c>
      <c r="D108" s="24">
        <f t="shared" si="59"/>
        <v>0</v>
      </c>
      <c r="H108" s="24">
        <f t="shared" si="60"/>
        <v>1</v>
      </c>
      <c r="I108" s="22">
        <f t="shared" si="61"/>
        <v>0</v>
      </c>
      <c r="J108" s="24">
        <f t="shared" si="62"/>
        <v>0</v>
      </c>
      <c r="K108" s="22">
        <f t="shared" si="63"/>
        <v>0</v>
      </c>
      <c r="L108" s="22">
        <f t="shared" si="64"/>
        <v>0</v>
      </c>
      <c r="M108" s="232">
        <f t="shared" si="65"/>
        <v>0</v>
      </c>
      <c r="N108" s="233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8"/>
        <v/>
      </c>
      <c r="B109" s="75">
        <f t="shared" si="51"/>
        <v>0</v>
      </c>
      <c r="C109" s="75">
        <f t="shared" si="51"/>
        <v>0</v>
      </c>
      <c r="D109" s="24">
        <f t="shared" si="59"/>
        <v>0</v>
      </c>
      <c r="H109" s="24">
        <f t="shared" si="60"/>
        <v>1</v>
      </c>
      <c r="I109" s="22">
        <f t="shared" si="61"/>
        <v>0</v>
      </c>
      <c r="J109" s="24">
        <f t="shared" si="62"/>
        <v>0</v>
      </c>
      <c r="K109" s="22">
        <f t="shared" si="63"/>
        <v>0</v>
      </c>
      <c r="L109" s="22">
        <f t="shared" si="64"/>
        <v>0</v>
      </c>
      <c r="M109" s="232">
        <f t="shared" si="65"/>
        <v>0</v>
      </c>
      <c r="N109" s="233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8"/>
        <v/>
      </c>
      <c r="B110" s="75">
        <f t="shared" si="51"/>
        <v>0</v>
      </c>
      <c r="C110" s="75">
        <f t="shared" si="51"/>
        <v>0</v>
      </c>
      <c r="D110" s="24">
        <f t="shared" si="59"/>
        <v>0</v>
      </c>
      <c r="H110" s="24">
        <f t="shared" si="60"/>
        <v>1</v>
      </c>
      <c r="I110" s="22">
        <f t="shared" si="61"/>
        <v>0</v>
      </c>
      <c r="J110" s="24">
        <f t="shared" si="62"/>
        <v>0</v>
      </c>
      <c r="K110" s="22">
        <f t="shared" si="63"/>
        <v>0</v>
      </c>
      <c r="L110" s="22">
        <f t="shared" si="64"/>
        <v>0</v>
      </c>
      <c r="M110" s="232">
        <f t="shared" si="65"/>
        <v>0</v>
      </c>
      <c r="N110" s="233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8"/>
        <v/>
      </c>
      <c r="B111" s="75">
        <f t="shared" si="51"/>
        <v>0</v>
      </c>
      <c r="C111" s="75">
        <f t="shared" si="51"/>
        <v>0</v>
      </c>
      <c r="D111" s="24">
        <f t="shared" si="59"/>
        <v>0</v>
      </c>
      <c r="H111" s="24">
        <f t="shared" si="60"/>
        <v>1</v>
      </c>
      <c r="I111" s="22">
        <f t="shared" si="61"/>
        <v>0</v>
      </c>
      <c r="J111" s="24">
        <f t="shared" si="62"/>
        <v>0</v>
      </c>
      <c r="K111" s="22">
        <f t="shared" si="63"/>
        <v>0</v>
      </c>
      <c r="L111" s="22">
        <f t="shared" si="64"/>
        <v>0</v>
      </c>
      <c r="M111" s="232">
        <f t="shared" si="65"/>
        <v>0</v>
      </c>
      <c r="N111" s="233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8"/>
        <v/>
      </c>
      <c r="B112" s="75">
        <f t="shared" si="51"/>
        <v>0</v>
      </c>
      <c r="C112" s="75">
        <f t="shared" si="51"/>
        <v>0</v>
      </c>
      <c r="D112" s="24">
        <f t="shared" si="59"/>
        <v>0</v>
      </c>
      <c r="H112" s="24">
        <f t="shared" si="60"/>
        <v>1</v>
      </c>
      <c r="I112" s="22">
        <f t="shared" si="61"/>
        <v>0</v>
      </c>
      <c r="J112" s="24">
        <f t="shared" si="62"/>
        <v>0</v>
      </c>
      <c r="K112" s="22">
        <f t="shared" si="63"/>
        <v>0</v>
      </c>
      <c r="L112" s="22">
        <f t="shared" si="64"/>
        <v>0</v>
      </c>
      <c r="M112" s="232">
        <f t="shared" si="65"/>
        <v>0</v>
      </c>
      <c r="N112" s="233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8"/>
        <v/>
      </c>
      <c r="B113" s="75">
        <f t="shared" si="51"/>
        <v>0</v>
      </c>
      <c r="C113" s="75">
        <f t="shared" si="51"/>
        <v>0</v>
      </c>
      <c r="D113" s="24">
        <f t="shared" si="59"/>
        <v>0</v>
      </c>
      <c r="H113" s="24">
        <f t="shared" si="60"/>
        <v>1</v>
      </c>
      <c r="I113" s="22">
        <f t="shared" si="61"/>
        <v>0</v>
      </c>
      <c r="J113" s="24">
        <f t="shared" si="62"/>
        <v>0</v>
      </c>
      <c r="K113" s="22">
        <f t="shared" si="63"/>
        <v>0</v>
      </c>
      <c r="L113" s="22">
        <f t="shared" si="64"/>
        <v>0</v>
      </c>
      <c r="M113" s="232">
        <f t="shared" si="65"/>
        <v>0</v>
      </c>
      <c r="N113" s="233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8"/>
        <v/>
      </c>
      <c r="B114" s="75">
        <f t="shared" si="51"/>
        <v>0</v>
      </c>
      <c r="C114" s="75">
        <f t="shared" si="51"/>
        <v>0</v>
      </c>
      <c r="D114" s="24">
        <f t="shared" si="59"/>
        <v>0</v>
      </c>
      <c r="H114" s="24">
        <f t="shared" si="60"/>
        <v>1</v>
      </c>
      <c r="I114" s="22">
        <f t="shared" si="61"/>
        <v>0</v>
      </c>
      <c r="J114" s="24">
        <f t="shared" si="62"/>
        <v>0</v>
      </c>
      <c r="K114" s="22">
        <f t="shared" si="63"/>
        <v>0</v>
      </c>
      <c r="L114" s="22">
        <f t="shared" si="64"/>
        <v>0</v>
      </c>
      <c r="M114" s="232">
        <f t="shared" si="65"/>
        <v>0</v>
      </c>
      <c r="N114" s="233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8"/>
        <v/>
      </c>
      <c r="B115" s="75">
        <f t="shared" si="51"/>
        <v>0</v>
      </c>
      <c r="C115" s="75">
        <f t="shared" si="51"/>
        <v>0</v>
      </c>
      <c r="D115" s="24">
        <f t="shared" si="59"/>
        <v>0</v>
      </c>
      <c r="H115" s="24">
        <f t="shared" si="60"/>
        <v>1</v>
      </c>
      <c r="I115" s="22">
        <f t="shared" si="61"/>
        <v>0</v>
      </c>
      <c r="J115" s="24">
        <f t="shared" si="62"/>
        <v>0</v>
      </c>
      <c r="K115" s="22">
        <f t="shared" si="63"/>
        <v>0</v>
      </c>
      <c r="L115" s="22">
        <f t="shared" si="64"/>
        <v>0</v>
      </c>
      <c r="M115" s="232">
        <f t="shared" si="65"/>
        <v>0</v>
      </c>
      <c r="N115" s="233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8"/>
        <v/>
      </c>
      <c r="B116" s="75">
        <f t="shared" si="51"/>
        <v>0</v>
      </c>
      <c r="C116" s="75">
        <f t="shared" si="51"/>
        <v>0</v>
      </c>
      <c r="D116" s="24">
        <f t="shared" si="59"/>
        <v>0</v>
      </c>
      <c r="H116" s="24">
        <f t="shared" si="60"/>
        <v>1</v>
      </c>
      <c r="I116" s="22">
        <f t="shared" si="61"/>
        <v>0</v>
      </c>
      <c r="J116" s="24">
        <f t="shared" si="62"/>
        <v>0</v>
      </c>
      <c r="K116" s="22">
        <f t="shared" si="63"/>
        <v>0</v>
      </c>
      <c r="L116" s="22">
        <f t="shared" si="64"/>
        <v>0</v>
      </c>
      <c r="M116" s="232">
        <f t="shared" si="65"/>
        <v>0</v>
      </c>
      <c r="N116" s="233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8"/>
        <v/>
      </c>
      <c r="B117" s="75">
        <f t="shared" si="51"/>
        <v>0</v>
      </c>
      <c r="C117" s="75">
        <f t="shared" si="51"/>
        <v>0</v>
      </c>
      <c r="D117" s="24">
        <f t="shared" si="59"/>
        <v>0</v>
      </c>
      <c r="H117" s="24">
        <f t="shared" si="60"/>
        <v>1</v>
      </c>
      <c r="I117" s="22">
        <f t="shared" si="61"/>
        <v>0</v>
      </c>
      <c r="J117" s="24">
        <f t="shared" si="62"/>
        <v>0</v>
      </c>
      <c r="K117" s="22">
        <f t="shared" si="63"/>
        <v>0</v>
      </c>
      <c r="L117" s="22">
        <f t="shared" si="64"/>
        <v>0</v>
      </c>
      <c r="M117" s="232">
        <f t="shared" si="65"/>
        <v>0</v>
      </c>
      <c r="N117" s="233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8"/>
        <v/>
      </c>
      <c r="B118" s="75">
        <f t="shared" si="51"/>
        <v>0</v>
      </c>
      <c r="C118" s="75">
        <f t="shared" si="51"/>
        <v>0</v>
      </c>
      <c r="D118" s="24">
        <f t="shared" si="59"/>
        <v>0</v>
      </c>
      <c r="H118" s="24">
        <f t="shared" si="60"/>
        <v>1</v>
      </c>
      <c r="I118" s="22">
        <f t="shared" si="61"/>
        <v>0</v>
      </c>
      <c r="J118" s="24">
        <f t="shared" si="62"/>
        <v>0</v>
      </c>
      <c r="K118" s="22">
        <f t="shared" si="63"/>
        <v>0</v>
      </c>
      <c r="L118" s="22">
        <f t="shared" si="64"/>
        <v>0</v>
      </c>
      <c r="M118" s="232">
        <f t="shared" si="65"/>
        <v>0</v>
      </c>
      <c r="N118" s="233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3.7540013744885257</v>
      </c>
      <c r="C119" s="22">
        <f>SUM(C91:C118)</f>
        <v>0.10111334282156201</v>
      </c>
      <c r="D119" s="24">
        <f>SUM(D91:D118)</f>
        <v>3.8551147173100873</v>
      </c>
      <c r="E119" s="22"/>
      <c r="F119" s="2"/>
      <c r="G119" s="2"/>
      <c r="H119" s="31"/>
      <c r="I119" s="22">
        <f>SUM(I91:I118)</f>
        <v>3.8551147173100873</v>
      </c>
      <c r="J119" s="24">
        <f>SUM(J91:J118)</f>
        <v>3.8551147173100873</v>
      </c>
      <c r="K119" s="22">
        <f>SUM(K91:K118)</f>
        <v>3.7540013744885257</v>
      </c>
      <c r="L119" s="22">
        <f>SUM(L91:L118)</f>
        <v>3.7540013744885257</v>
      </c>
      <c r="M119" s="57">
        <f t="shared" si="49"/>
        <v>3.8551147173100873</v>
      </c>
      <c r="N119" s="227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6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6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1.7619146217812882</v>
      </c>
      <c r="C124" s="2"/>
      <c r="D124" s="24"/>
      <c r="H124" s="96">
        <f>(E70*F70/G$37*F$7/F$9)</f>
        <v>1</v>
      </c>
      <c r="I124" s="29">
        <f>IF(SUMPRODUCT($B$124:$B124,$H$124:$H124)&lt;I$119,($B124*$H124),I$119)</f>
        <v>1.7619146217812882</v>
      </c>
      <c r="J124" s="241">
        <f>IF(SUMPRODUCT($B$124:$B124,$H$124:$H124)&lt;J$119,($B124*$H124),J$119)</f>
        <v>1.7619146217812882</v>
      </c>
      <c r="K124" s="29">
        <f>(B124)</f>
        <v>1.7619146217812882</v>
      </c>
      <c r="L124" s="29">
        <f>IF(SUMPRODUCT($B$124:$B124,$H$124:$H124)&lt;L$119,($B124*$H124),L$119)</f>
        <v>1.7619146217812882</v>
      </c>
      <c r="M124" s="244">
        <f t="shared" si="66"/>
        <v>1.7619146217812882</v>
      </c>
      <c r="N124" s="58"/>
      <c r="O124" s="174">
        <f>B124*H124</f>
        <v>1.7619146217812882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1.8377462405977585</v>
      </c>
      <c r="C125" s="2"/>
      <c r="D125" s="24"/>
      <c r="H125" s="96">
        <f>(E71*F71/G$37*F$7/F$9)</f>
        <v>1</v>
      </c>
      <c r="I125" s="29">
        <f>IF(SUMPRODUCT($B$124:$B125,$H$124:$H125)&lt;I$119,($B125*$H125),IF(SUMPRODUCT($B$124:$B124,$H$124:$H124)&lt;I$119,I$119-SUMPRODUCT($B$124:$B124,$H$124:$H124),0))</f>
        <v>1.8377462405977585</v>
      </c>
      <c r="J125" s="241">
        <f>IF(SUMPRODUCT($B$124:$B125,$H$124:$H125)&lt;J$119,($B125*$H125),IF(SUMPRODUCT($B$124:$B124,$H$124:$H124)&lt;J$119,J$119-SUMPRODUCT($B$124:$B124,$H$124:$H124),0))</f>
        <v>1.8377462405977585</v>
      </c>
      <c r="K125" s="29">
        <f>(B125)</f>
        <v>1.8377462405977585</v>
      </c>
      <c r="L125" s="29">
        <f>IF(SUMPRODUCT($B$124:$B125,$H$124:$H125)&lt;L$119,($B125*$H125),IF(SUMPRODUCT($B$124:$B124,$H$124:$H124)&lt;L$119,L$119-SUMPRODUCT($B$124:$B124,$H$124:$H124),0))</f>
        <v>1.8377462405977585</v>
      </c>
      <c r="M125" s="244">
        <f t="shared" si="66"/>
        <v>1.8377462405977585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3.2728366804483189</v>
      </c>
      <c r="C126" s="2"/>
      <c r="D126" s="24"/>
      <c r="H126" s="96">
        <f>(E72*F72/G$37*F$7/F$9)</f>
        <v>1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41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67">(B126)</f>
        <v>3.2728366804483189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44">
        <f t="shared" si="66"/>
        <v>0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0.54911286041629603</v>
      </c>
      <c r="C127" s="2"/>
      <c r="D127" s="24"/>
      <c r="H127" s="96">
        <f>(E73*F73/G$37*F$7/F$9)</f>
        <v>1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41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7"/>
        <v>0.54911286041629603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4">
        <f t="shared" si="66"/>
        <v>0</v>
      </c>
      <c r="N127" s="58"/>
      <c r="O127" s="174">
        <f>B127*H127</f>
        <v>0.54911286041629603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0.48547811848425548</v>
      </c>
      <c r="C128" s="2"/>
      <c r="D128" s="31"/>
      <c r="E128" s="2"/>
      <c r="F128" s="2"/>
      <c r="G128" s="2"/>
      <c r="H128" s="24"/>
      <c r="I128" s="29">
        <f>(I30)</f>
        <v>2.093200095528799</v>
      </c>
      <c r="J128" s="232">
        <f>(J30)</f>
        <v>0.42800456576528534</v>
      </c>
      <c r="K128" s="29">
        <f>(B128)</f>
        <v>0.48547811848425548</v>
      </c>
      <c r="L128" s="29">
        <f>IF(L124=L119,0,(L119-L124)/(B119-B124)*K128)</f>
        <v>0.48547811848425548</v>
      </c>
      <c r="M128" s="244">
        <f t="shared" si="66"/>
        <v>0.42800456576528534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32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4">
        <f t="shared" si="66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3.7540013744885257</v>
      </c>
      <c r="C130" s="2"/>
      <c r="D130" s="31"/>
      <c r="E130" s="2"/>
      <c r="F130" s="2"/>
      <c r="G130" s="2"/>
      <c r="H130" s="24"/>
      <c r="I130" s="29">
        <f>(I119)</f>
        <v>3.8551147173100873</v>
      </c>
      <c r="J130" s="232">
        <f>(J119)</f>
        <v>3.8551147173100873</v>
      </c>
      <c r="K130" s="29">
        <f>(B130)</f>
        <v>3.7540013744885257</v>
      </c>
      <c r="L130" s="29">
        <f>(L119)</f>
        <v>3.7540013744885257</v>
      </c>
      <c r="M130" s="244">
        <f t="shared" si="66"/>
        <v>3.8551147173100873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1.8377462405977578</v>
      </c>
      <c r="J131" s="241">
        <f>IF(SUMPRODUCT($B124:$B125,$H124:$H125)&gt;(J119-J128),SUMPRODUCT($B124:$B125,$H124:$H125)+J128-J119,0)</f>
        <v>0.17255071083424411</v>
      </c>
      <c r="K131" s="29"/>
      <c r="L131" s="29">
        <f>IF(I131&lt;SUM(L126:L127),0,I131-(SUM(L126:L127)))</f>
        <v>1.8377462405977578</v>
      </c>
      <c r="M131" s="241">
        <f>IF(I131&lt;SUM(M126:M127),0,I131-(SUM(M126:M127)))</f>
        <v>1.8377462405977578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formatCells="0" formatColumns="0" formatRow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623" priority="97" operator="equal">
      <formula>16</formula>
    </cfRule>
    <cfRule type="cellIs" dxfId="622" priority="98" operator="equal">
      <formula>15</formula>
    </cfRule>
    <cfRule type="cellIs" dxfId="621" priority="99" operator="equal">
      <formula>14</formula>
    </cfRule>
    <cfRule type="cellIs" dxfId="620" priority="100" operator="equal">
      <formula>13</formula>
    </cfRule>
    <cfRule type="cellIs" dxfId="619" priority="101" operator="equal">
      <formula>12</formula>
    </cfRule>
    <cfRule type="cellIs" dxfId="618" priority="102" operator="equal">
      <formula>11</formula>
    </cfRule>
    <cfRule type="cellIs" dxfId="617" priority="103" operator="equal">
      <formula>10</formula>
    </cfRule>
    <cfRule type="cellIs" dxfId="616" priority="104" operator="equal">
      <formula>9</formula>
    </cfRule>
    <cfRule type="cellIs" dxfId="615" priority="105" operator="equal">
      <formula>8</formula>
    </cfRule>
    <cfRule type="cellIs" dxfId="614" priority="106" operator="equal">
      <formula>7</formula>
    </cfRule>
    <cfRule type="cellIs" dxfId="613" priority="107" operator="equal">
      <formula>6</formula>
    </cfRule>
    <cfRule type="cellIs" dxfId="612" priority="108" operator="equal">
      <formula>5</formula>
    </cfRule>
    <cfRule type="cellIs" dxfId="611" priority="109" operator="equal">
      <formula>4</formula>
    </cfRule>
    <cfRule type="cellIs" dxfId="610" priority="110" operator="equal">
      <formula>3</formula>
    </cfRule>
    <cfRule type="cellIs" dxfId="609" priority="111" operator="equal">
      <formula>2</formula>
    </cfRule>
    <cfRule type="cellIs" dxfId="608" priority="112" operator="equal">
      <formula>1</formula>
    </cfRule>
  </conditionalFormatting>
  <conditionalFormatting sqref="N29">
    <cfRule type="cellIs" dxfId="607" priority="81" operator="equal">
      <formula>16</formula>
    </cfRule>
    <cfRule type="cellIs" dxfId="606" priority="82" operator="equal">
      <formula>15</formula>
    </cfRule>
    <cfRule type="cellIs" dxfId="605" priority="83" operator="equal">
      <formula>14</formula>
    </cfRule>
    <cfRule type="cellIs" dxfId="604" priority="84" operator="equal">
      <formula>13</formula>
    </cfRule>
    <cfRule type="cellIs" dxfId="603" priority="85" operator="equal">
      <formula>12</formula>
    </cfRule>
    <cfRule type="cellIs" dxfId="602" priority="86" operator="equal">
      <formula>11</formula>
    </cfRule>
    <cfRule type="cellIs" dxfId="601" priority="87" operator="equal">
      <formula>10</formula>
    </cfRule>
    <cfRule type="cellIs" dxfId="600" priority="88" operator="equal">
      <formula>9</formula>
    </cfRule>
    <cfRule type="cellIs" dxfId="599" priority="89" operator="equal">
      <formula>8</formula>
    </cfRule>
    <cfRule type="cellIs" dxfId="598" priority="90" operator="equal">
      <formula>7</formula>
    </cfRule>
    <cfRule type="cellIs" dxfId="597" priority="91" operator="equal">
      <formula>6</formula>
    </cfRule>
    <cfRule type="cellIs" dxfId="596" priority="92" operator="equal">
      <formula>5</formula>
    </cfRule>
    <cfRule type="cellIs" dxfId="595" priority="93" operator="equal">
      <formula>4</formula>
    </cfRule>
    <cfRule type="cellIs" dxfId="594" priority="94" operator="equal">
      <formula>3</formula>
    </cfRule>
    <cfRule type="cellIs" dxfId="593" priority="95" operator="equal">
      <formula>2</formula>
    </cfRule>
    <cfRule type="cellIs" dxfId="592" priority="96" operator="equal">
      <formula>1</formula>
    </cfRule>
  </conditionalFormatting>
  <conditionalFormatting sqref="N113:N119">
    <cfRule type="cellIs" dxfId="591" priority="65" operator="equal">
      <formula>16</formula>
    </cfRule>
    <cfRule type="cellIs" dxfId="590" priority="66" operator="equal">
      <formula>15</formula>
    </cfRule>
    <cfRule type="cellIs" dxfId="589" priority="67" operator="equal">
      <formula>14</formula>
    </cfRule>
    <cfRule type="cellIs" dxfId="588" priority="68" operator="equal">
      <formula>13</formula>
    </cfRule>
    <cfRule type="cellIs" dxfId="587" priority="69" operator="equal">
      <formula>12</formula>
    </cfRule>
    <cfRule type="cellIs" dxfId="586" priority="70" operator="equal">
      <formula>11</formula>
    </cfRule>
    <cfRule type="cellIs" dxfId="585" priority="71" operator="equal">
      <formula>10</formula>
    </cfRule>
    <cfRule type="cellIs" dxfId="584" priority="72" operator="equal">
      <formula>9</formula>
    </cfRule>
    <cfRule type="cellIs" dxfId="583" priority="73" operator="equal">
      <formula>8</formula>
    </cfRule>
    <cfRule type="cellIs" dxfId="582" priority="74" operator="equal">
      <formula>7</formula>
    </cfRule>
    <cfRule type="cellIs" dxfId="581" priority="75" operator="equal">
      <formula>6</formula>
    </cfRule>
    <cfRule type="cellIs" dxfId="580" priority="76" operator="equal">
      <formula>5</formula>
    </cfRule>
    <cfRule type="cellIs" dxfId="579" priority="77" operator="equal">
      <formula>4</formula>
    </cfRule>
    <cfRule type="cellIs" dxfId="578" priority="78" operator="equal">
      <formula>3</formula>
    </cfRule>
    <cfRule type="cellIs" dxfId="577" priority="79" operator="equal">
      <formula>2</formula>
    </cfRule>
    <cfRule type="cellIs" dxfId="576" priority="80" operator="equal">
      <formula>1</formula>
    </cfRule>
  </conditionalFormatting>
  <conditionalFormatting sqref="N91:N104">
    <cfRule type="cellIs" dxfId="575" priority="49" operator="equal">
      <formula>16</formula>
    </cfRule>
    <cfRule type="cellIs" dxfId="574" priority="50" operator="equal">
      <formula>15</formula>
    </cfRule>
    <cfRule type="cellIs" dxfId="573" priority="51" operator="equal">
      <formula>14</formula>
    </cfRule>
    <cfRule type="cellIs" dxfId="572" priority="52" operator="equal">
      <formula>13</formula>
    </cfRule>
    <cfRule type="cellIs" dxfId="571" priority="53" operator="equal">
      <formula>12</formula>
    </cfRule>
    <cfRule type="cellIs" dxfId="570" priority="54" operator="equal">
      <formula>11</formula>
    </cfRule>
    <cfRule type="cellIs" dxfId="569" priority="55" operator="equal">
      <formula>10</formula>
    </cfRule>
    <cfRule type="cellIs" dxfId="568" priority="56" operator="equal">
      <formula>9</formula>
    </cfRule>
    <cfRule type="cellIs" dxfId="567" priority="57" operator="equal">
      <formula>8</formula>
    </cfRule>
    <cfRule type="cellIs" dxfId="566" priority="58" operator="equal">
      <formula>7</formula>
    </cfRule>
    <cfRule type="cellIs" dxfId="565" priority="59" operator="equal">
      <formula>6</formula>
    </cfRule>
    <cfRule type="cellIs" dxfId="564" priority="60" operator="equal">
      <formula>5</formula>
    </cfRule>
    <cfRule type="cellIs" dxfId="563" priority="61" operator="equal">
      <formula>4</formula>
    </cfRule>
    <cfRule type="cellIs" dxfId="562" priority="62" operator="equal">
      <formula>3</formula>
    </cfRule>
    <cfRule type="cellIs" dxfId="561" priority="63" operator="equal">
      <formula>2</formula>
    </cfRule>
    <cfRule type="cellIs" dxfId="560" priority="64" operator="equal">
      <formula>1</formula>
    </cfRule>
  </conditionalFormatting>
  <conditionalFormatting sqref="N105:N112">
    <cfRule type="cellIs" dxfId="559" priority="33" operator="equal">
      <formula>16</formula>
    </cfRule>
    <cfRule type="cellIs" dxfId="558" priority="34" operator="equal">
      <formula>15</formula>
    </cfRule>
    <cfRule type="cellIs" dxfId="557" priority="35" operator="equal">
      <formula>14</formula>
    </cfRule>
    <cfRule type="cellIs" dxfId="556" priority="36" operator="equal">
      <formula>13</formula>
    </cfRule>
    <cfRule type="cellIs" dxfId="555" priority="37" operator="equal">
      <formula>12</formula>
    </cfRule>
    <cfRule type="cellIs" dxfId="554" priority="38" operator="equal">
      <formula>11</formula>
    </cfRule>
    <cfRule type="cellIs" dxfId="553" priority="39" operator="equal">
      <formula>10</formula>
    </cfRule>
    <cfRule type="cellIs" dxfId="552" priority="40" operator="equal">
      <formula>9</formula>
    </cfRule>
    <cfRule type="cellIs" dxfId="551" priority="41" operator="equal">
      <formula>8</formula>
    </cfRule>
    <cfRule type="cellIs" dxfId="550" priority="42" operator="equal">
      <formula>7</formula>
    </cfRule>
    <cfRule type="cellIs" dxfId="549" priority="43" operator="equal">
      <formula>6</formula>
    </cfRule>
    <cfRule type="cellIs" dxfId="548" priority="44" operator="equal">
      <formula>5</formula>
    </cfRule>
    <cfRule type="cellIs" dxfId="547" priority="45" operator="equal">
      <formula>4</formula>
    </cfRule>
    <cfRule type="cellIs" dxfId="546" priority="46" operator="equal">
      <formula>3</formula>
    </cfRule>
    <cfRule type="cellIs" dxfId="545" priority="47" operator="equal">
      <formula>2</formula>
    </cfRule>
    <cfRule type="cellIs" dxfId="544" priority="48" operator="equal">
      <formula>1</formula>
    </cfRule>
  </conditionalFormatting>
  <conditionalFormatting sqref="N27:N28">
    <cfRule type="cellIs" dxfId="543" priority="17" operator="equal">
      <formula>16</formula>
    </cfRule>
    <cfRule type="cellIs" dxfId="542" priority="18" operator="equal">
      <formula>15</formula>
    </cfRule>
    <cfRule type="cellIs" dxfId="541" priority="19" operator="equal">
      <formula>14</formula>
    </cfRule>
    <cfRule type="cellIs" dxfId="540" priority="20" operator="equal">
      <formula>13</formula>
    </cfRule>
    <cfRule type="cellIs" dxfId="539" priority="21" operator="equal">
      <formula>12</formula>
    </cfRule>
    <cfRule type="cellIs" dxfId="538" priority="22" operator="equal">
      <formula>11</formula>
    </cfRule>
    <cfRule type="cellIs" dxfId="537" priority="23" operator="equal">
      <formula>10</formula>
    </cfRule>
    <cfRule type="cellIs" dxfId="536" priority="24" operator="equal">
      <formula>9</formula>
    </cfRule>
    <cfRule type="cellIs" dxfId="535" priority="25" operator="equal">
      <formula>8</formula>
    </cfRule>
    <cfRule type="cellIs" dxfId="534" priority="26" operator="equal">
      <formula>7</formula>
    </cfRule>
    <cfRule type="cellIs" dxfId="533" priority="27" operator="equal">
      <formula>6</formula>
    </cfRule>
    <cfRule type="cellIs" dxfId="532" priority="28" operator="equal">
      <formula>5</formula>
    </cfRule>
    <cfRule type="cellIs" dxfId="531" priority="29" operator="equal">
      <formula>4</formula>
    </cfRule>
    <cfRule type="cellIs" dxfId="530" priority="30" operator="equal">
      <formula>3</formula>
    </cfRule>
    <cfRule type="cellIs" dxfId="529" priority="31" operator="equal">
      <formula>2</formula>
    </cfRule>
    <cfRule type="cellIs" dxfId="528" priority="32" operator="equal">
      <formula>1</formula>
    </cfRule>
  </conditionalFormatting>
  <conditionalFormatting sqref="N6:N26">
    <cfRule type="cellIs" dxfId="31" priority="1" operator="equal">
      <formula>16</formula>
    </cfRule>
    <cfRule type="cellIs" dxfId="30" priority="2" operator="equal">
      <formula>15</formula>
    </cfRule>
    <cfRule type="cellIs" dxfId="29" priority="3" operator="equal">
      <formula>14</formula>
    </cfRule>
    <cfRule type="cellIs" dxfId="28" priority="4" operator="equal">
      <formula>13</formula>
    </cfRule>
    <cfRule type="cellIs" dxfId="27" priority="5" operator="equal">
      <formula>12</formula>
    </cfRule>
    <cfRule type="cellIs" dxfId="26" priority="6" operator="equal">
      <formula>11</formula>
    </cfRule>
    <cfRule type="cellIs" dxfId="25" priority="7" operator="equal">
      <formula>10</formula>
    </cfRule>
    <cfRule type="cellIs" dxfId="24" priority="8" operator="equal">
      <formula>9</formula>
    </cfRule>
    <cfRule type="cellIs" dxfId="23" priority="9" operator="equal">
      <formula>8</formula>
    </cfRule>
    <cfRule type="cellIs" dxfId="22" priority="10" operator="equal">
      <formula>7</formula>
    </cfRule>
    <cfRule type="cellIs" dxfId="21" priority="11" operator="equal">
      <formula>6</formula>
    </cfRule>
    <cfRule type="cellIs" dxfId="20" priority="12" operator="equal">
      <formula>5</formula>
    </cfRule>
    <cfRule type="cellIs" dxfId="19" priority="13" operator="equal">
      <formula>4</formula>
    </cfRule>
    <cfRule type="cellIs" dxfId="18" priority="14" operator="equal">
      <formula>3</formula>
    </cfRule>
    <cfRule type="cellIs" dxfId="17" priority="15" operator="equal">
      <formula>2</formula>
    </cfRule>
    <cfRule type="cellIs" dxfId="16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8" sqref="G38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[1]WB!$B$1 &amp; ": " &amp; [1]WB!$D1</f>
        <v>ZAKHC: 59208</v>
      </c>
      <c r="B1" s="261" t="str">
        <f>[1]WB!$A$2</f>
        <v>Okhahlamba open access intense crops and livestock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55" t="s">
        <v>105</v>
      </c>
      <c r="AA1" s="256"/>
      <c r="AB1" s="255" t="s">
        <v>106</v>
      </c>
      <c r="AC1" s="256"/>
      <c r="AD1" s="255" t="s">
        <v>107</v>
      </c>
      <c r="AE1" s="256"/>
      <c r="AF1" s="255" t="s">
        <v>108</v>
      </c>
      <c r="AG1" s="256"/>
      <c r="AH1" s="117"/>
      <c r="AI1" s="110"/>
      <c r="AJ1" s="200" t="str">
        <f>LEFT(Z1,4) &amp; MID(AB1,5,3)</f>
        <v>Apr-Sep</v>
      </c>
      <c r="AK1" s="20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53" t="s">
        <v>109</v>
      </c>
      <c r="AA2" s="257"/>
      <c r="AB2" s="253" t="s">
        <v>110</v>
      </c>
      <c r="AC2" s="257"/>
      <c r="AD2" s="253" t="s">
        <v>111</v>
      </c>
      <c r="AE2" s="257"/>
      <c r="AF2" s="253" t="s">
        <v>112</v>
      </c>
      <c r="AG2" s="257"/>
      <c r="AH2" s="117"/>
      <c r="AI2" s="110"/>
      <c r="AJ2" s="198" t="s">
        <v>113</v>
      </c>
      <c r="AK2" s="199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IF([1]Summ!$A1044="","",[1]Summ!$A1044)</f>
        <v>Cows' milk - season 1</v>
      </c>
      <c r="B6" s="216">
        <f>IF([1]Summ!E1044="",0,[1]Summ!E1044)</f>
        <v>2.3466687422166871E-2</v>
      </c>
      <c r="C6" s="216">
        <f>IF([1]Summ!F1044="",0,[1]Summ!F1044)</f>
        <v>0</v>
      </c>
      <c r="D6" s="24">
        <f t="shared" ref="D6:D16" si="0">SUM(B6,C6)</f>
        <v>2.3466687422166871E-2</v>
      </c>
      <c r="E6" s="26">
        <v>1</v>
      </c>
      <c r="F6" s="2" t="s">
        <v>21</v>
      </c>
      <c r="H6" s="24">
        <f t="shared" ref="H6:H29" si="1">(E6*F$7/F$9)</f>
        <v>1</v>
      </c>
      <c r="I6" s="22">
        <f t="shared" ref="I6:I29" si="2">(D6*H6)</f>
        <v>2.3466687422166871E-2</v>
      </c>
      <c r="J6" s="24">
        <f t="shared" ref="J6:J13" si="3">IF(I$32&lt;=1+I$131,I6,B6*H6+J$33*(I6-B6*H6))</f>
        <v>2.3466687422166871E-2</v>
      </c>
      <c r="K6" s="22">
        <f t="shared" ref="K6:K31" si="4">B6</f>
        <v>2.3466687422166871E-2</v>
      </c>
      <c r="L6" s="22">
        <f t="shared" ref="L6:L29" si="5">IF(K6="","",K6*H6)</f>
        <v>2.3466687422166871E-2</v>
      </c>
      <c r="M6" s="228">
        <f t="shared" ref="M6:M31" si="6">J6</f>
        <v>2.3466687422166871E-2</v>
      </c>
      <c r="N6" s="233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4">
        <f>M6*4</f>
        <v>9.3866749688667483E-2</v>
      </c>
      <c r="Z6" s="116">
        <v>0.17</v>
      </c>
      <c r="AA6" s="121">
        <f>$M6*Z6*4</f>
        <v>1.5957347447073472E-2</v>
      </c>
      <c r="AB6" s="116">
        <v>0.17</v>
      </c>
      <c r="AC6" s="121">
        <f t="shared" ref="AC6:AC29" si="7">$M6*AB6*4</f>
        <v>1.5957347447073472E-2</v>
      </c>
      <c r="AD6" s="116">
        <v>0.33</v>
      </c>
      <c r="AE6" s="121">
        <f t="shared" ref="AE6:AE29" si="8">$M6*AD6*4</f>
        <v>3.097602739726027E-2</v>
      </c>
      <c r="AF6" s="122">
        <f>1-SUM(Z6,AB6,AD6)</f>
        <v>0.32999999999999996</v>
      </c>
      <c r="AG6" s="121">
        <f>$M6*AF6*4</f>
        <v>3.0976027397260266E-2</v>
      </c>
      <c r="AH6" s="123">
        <f>SUM(Z6,AB6,AD6,AF6)</f>
        <v>1</v>
      </c>
      <c r="AI6" s="184">
        <f>SUM(AA6,AC6,AE6,AG6)/4</f>
        <v>2.3466687422166871E-2</v>
      </c>
      <c r="AJ6" s="120">
        <f>(AA6+AC6)/2</f>
        <v>1.5957347447073472E-2</v>
      </c>
      <c r="AK6" s="119">
        <f>(AE6+AG6)/2</f>
        <v>3.097602739726027E-2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IF([1]Summ!$A1045="","",[1]Summ!$A1045)</f>
        <v>Own meat</v>
      </c>
      <c r="B7" s="216">
        <f>IF([1]Summ!E1045="",0,[1]Summ!E1045)</f>
        <v>2.4994361768368618E-2</v>
      </c>
      <c r="C7" s="216">
        <f>IF([1]Summ!F1045="",0,[1]Summ!F1045)</f>
        <v>0</v>
      </c>
      <c r="D7" s="24">
        <f t="shared" si="0"/>
        <v>2.4994361768368618E-2</v>
      </c>
      <c r="E7" s="26">
        <v>1</v>
      </c>
      <c r="F7" s="27">
        <f>[1]Summ!$P$1</f>
        <v>8800</v>
      </c>
      <c r="H7" s="24">
        <f t="shared" si="1"/>
        <v>1</v>
      </c>
      <c r="I7" s="22">
        <f t="shared" si="2"/>
        <v>2.4994361768368618E-2</v>
      </c>
      <c r="J7" s="24">
        <f t="shared" si="3"/>
        <v>2.4994361768368618E-2</v>
      </c>
      <c r="K7" s="22">
        <f t="shared" si="4"/>
        <v>2.4994361768368618E-2</v>
      </c>
      <c r="L7" s="22">
        <f t="shared" si="5"/>
        <v>2.4994361768368618E-2</v>
      </c>
      <c r="M7" s="228">
        <f t="shared" si="6"/>
        <v>2.4994361768368618E-2</v>
      </c>
      <c r="N7" s="233">
        <v>3</v>
      </c>
      <c r="O7" s="2"/>
      <c r="P7" s="22"/>
      <c r="Q7" s="59" t="s">
        <v>71</v>
      </c>
      <c r="R7" s="226">
        <f>IF($B$81=0,0,(SUMIF($N$6:$N$28,$U7,K$6:K$28)+SUMIF($N$91:$N$118,$U7,K$91:K$118))*$B$83*$H$84*Poor!$B$81/$B$81)</f>
        <v>1947.5138121546961</v>
      </c>
      <c r="S7" s="226">
        <f>IF($B$81=0,0,(SUMIF($N$6:$N$28,$U7,L$6:L$28)+SUMIF($N$91:$N$118,$U7,L$91:L$118))*$B$83*$H$84*Poor!$B$81/$B$81)</f>
        <v>1947.5138121546961</v>
      </c>
      <c r="T7" s="226">
        <f>IF($B$81=0,0,(SUMIF($N$6:$N$28,$U7,M$6:M$28)+SUMIF($N$91:$N$118,$U7,M$91:M$118))*$B$83*$H$84*Poor!$B$81/$B$81)</f>
        <v>1963.4079509528715</v>
      </c>
      <c r="U7" s="227">
        <v>1</v>
      </c>
      <c r="V7" s="56"/>
      <c r="W7" s="115"/>
      <c r="X7" s="124">
        <v>4</v>
      </c>
      <c r="Y7" s="184">
        <f t="shared" ref="Y7:Y29" si="9">M7*4</f>
        <v>9.9977447073474474E-2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9.9977447073474474E-2</v>
      </c>
      <c r="AH7" s="123">
        <f t="shared" ref="AH7:AH30" si="12">SUM(Z7,AB7,AD7,AF7)</f>
        <v>1</v>
      </c>
      <c r="AI7" s="184">
        <f t="shared" ref="AI7:AI30" si="13">SUM(AA7,AC7,AE7,AG7)/4</f>
        <v>2.4994361768368618E-2</v>
      </c>
      <c r="AJ7" s="120">
        <f t="shared" ref="AJ7:AJ31" si="14">(AA7+AC7)/2</f>
        <v>0</v>
      </c>
      <c r="AK7" s="119">
        <f t="shared" ref="AK7:AK31" si="15">(AE7+AG7)/2</f>
        <v>4.9988723536737237E-2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IF([1]Summ!$A1046="","",[1]Summ!$A1046)</f>
        <v>Maize: kg produced</v>
      </c>
      <c r="B8" s="216">
        <f>IF([1]Summ!E1046="",0,[1]Summ!E1046)</f>
        <v>0.19281504452054793</v>
      </c>
      <c r="C8" s="216">
        <f>IF([1]Summ!F1046="",0,[1]Summ!F1046)</f>
        <v>0</v>
      </c>
      <c r="D8" s="24">
        <f t="shared" si="0"/>
        <v>0.19281504452054793</v>
      </c>
      <c r="E8" s="26">
        <v>1</v>
      </c>
      <c r="F8" s="22" t="s">
        <v>23</v>
      </c>
      <c r="H8" s="24">
        <f t="shared" si="1"/>
        <v>1</v>
      </c>
      <c r="I8" s="22">
        <f t="shared" si="2"/>
        <v>0.19281504452054793</v>
      </c>
      <c r="J8" s="24">
        <f t="shared" si="3"/>
        <v>0.19281504452054793</v>
      </c>
      <c r="K8" s="22">
        <f t="shared" si="4"/>
        <v>0.19281504452054793</v>
      </c>
      <c r="L8" s="22">
        <f t="shared" si="5"/>
        <v>0.19281504452054793</v>
      </c>
      <c r="M8" s="228">
        <f t="shared" si="6"/>
        <v>0.19281504452054793</v>
      </c>
      <c r="N8" s="233">
        <v>1</v>
      </c>
      <c r="O8" s="2"/>
      <c r="P8" s="22"/>
      <c r="Q8" s="59" t="s">
        <v>72</v>
      </c>
      <c r="R8" s="226">
        <f>IF($B$81=0,0,(SUMIF($N$6:$N$28,$U8,K$6:K$28)+SUMIF($N$91:$N$118,$U8,K$91:K$118))*$B$83*$H$84*Poor!$B$81/$B$81)</f>
        <v>1660.0000000000002</v>
      </c>
      <c r="S8" s="226">
        <f>IF($B$81=0,0,(SUMIF($N$6:$N$28,$U8,L$6:L$28)+SUMIF($N$91:$N$118,$U8,L$91:L$118))*$B$83*$H$84*Poor!$B$81/$B$81)</f>
        <v>1660.0000000000002</v>
      </c>
      <c r="T8" s="226">
        <f>IF($B$81=0,0,(SUMIF($N$6:$N$28,$U8,M$6:M$28)+SUMIF($N$91:$N$118,$U8,M$91:M$118))*$B$83*$H$84*Poor!$B$81/$B$81)</f>
        <v>1646.3007660834776</v>
      </c>
      <c r="U8" s="227">
        <v>2</v>
      </c>
      <c r="V8" s="185"/>
      <c r="W8" s="115"/>
      <c r="X8" s="124">
        <v>1</v>
      </c>
      <c r="Y8" s="184">
        <f t="shared" si="9"/>
        <v>0.77126017808219172</v>
      </c>
      <c r="Z8" s="125">
        <f>IF($Y8=0,0,AA8/$Y8)</f>
        <v>0.54240246312756391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0.4183334203039844</v>
      </c>
      <c r="AB8" s="125">
        <f>IF($Y8=0,0,AC8/$Y8)</f>
        <v>0.45759753687243604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0.35292675777820731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4">
        <f t="shared" si="13"/>
        <v>0.19281504452054793</v>
      </c>
      <c r="AJ8" s="120">
        <f t="shared" si="14"/>
        <v>0.38563008904109586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IF([1]Summ!$A1047="","",[1]Summ!$A1047)</f>
        <v>Beans: kg produced</v>
      </c>
      <c r="B9" s="216">
        <f>IF([1]Summ!E1047="",0,[1]Summ!E1047)</f>
        <v>2.761762920298879E-2</v>
      </c>
      <c r="C9" s="216">
        <f>IF([1]Summ!F1047="",0,[1]Summ!F1047)</f>
        <v>0</v>
      </c>
      <c r="D9" s="24">
        <f t="shared" si="0"/>
        <v>2.761762920298879E-2</v>
      </c>
      <c r="E9" s="26">
        <v>1</v>
      </c>
      <c r="F9" s="28">
        <v>8800</v>
      </c>
      <c r="H9" s="24">
        <f t="shared" si="1"/>
        <v>1</v>
      </c>
      <c r="I9" s="22">
        <f t="shared" si="2"/>
        <v>2.761762920298879E-2</v>
      </c>
      <c r="J9" s="24">
        <f t="shared" si="3"/>
        <v>2.761762920298879E-2</v>
      </c>
      <c r="K9" s="22">
        <f t="shared" si="4"/>
        <v>2.761762920298879E-2</v>
      </c>
      <c r="L9" s="22">
        <f t="shared" si="5"/>
        <v>2.761762920298879E-2</v>
      </c>
      <c r="M9" s="228">
        <f t="shared" si="6"/>
        <v>2.761762920298879E-2</v>
      </c>
      <c r="N9" s="233">
        <v>1</v>
      </c>
      <c r="O9" s="2"/>
      <c r="P9" s="22"/>
      <c r="Q9" s="59" t="s">
        <v>73</v>
      </c>
      <c r="R9" s="226">
        <f>IF($B$81=0,0,(SUMIF($N$6:$N$28,$U9,K$6:K$28)+SUMIF($N$91:$N$118,$U9,K$91:K$118))*$B$83*$H$84*Poor!$B$81/$B$81)</f>
        <v>410.80673434582877</v>
      </c>
      <c r="S9" s="226">
        <f>IF($B$81=0,0,(SUMIF($N$6:$N$28,$U9,L$6:L$28)+SUMIF($N$91:$N$118,$U9,L$91:L$118))*$B$83*$H$84*Poor!$B$81/$B$81)</f>
        <v>410.80673434582877</v>
      </c>
      <c r="T9" s="226">
        <f>IF($B$81=0,0,(SUMIF($N$6:$N$28,$U9,M$6:M$28)+SUMIF($N$91:$N$118,$U9,M$91:M$118))*$B$83*$H$84*Poor!$B$81/$B$81)</f>
        <v>410.80673434582877</v>
      </c>
      <c r="U9" s="227">
        <v>3</v>
      </c>
      <c r="V9" s="56"/>
      <c r="W9" s="115"/>
      <c r="X9" s="124">
        <v>1</v>
      </c>
      <c r="Y9" s="184">
        <f t="shared" si="9"/>
        <v>0.11047051681195516</v>
      </c>
      <c r="Z9" s="125">
        <f>IF($Y9=0,0,AA9/$Y9)</f>
        <v>0.54240246312756402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5.9919480421779449E-2</v>
      </c>
      <c r="AB9" s="125">
        <f>IF($Y9=0,0,AC9/$Y9)</f>
        <v>0.45759753687243598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5.0551036390175712E-2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4">
        <f t="shared" si="13"/>
        <v>2.761762920298879E-2</v>
      </c>
      <c r="AJ9" s="120">
        <f t="shared" si="14"/>
        <v>5.523525840597758E-2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IF([1]Summ!$A1048="","",[1]Summ!$A1048)</f>
        <v>potatoes: kg produced</v>
      </c>
      <c r="B10" s="216">
        <f>IF([1]Summ!E1048="",0,[1]Summ!E1048)</f>
        <v>9.3068966376089659E-3</v>
      </c>
      <c r="C10" s="216">
        <f>IF([1]Summ!F1048="",0,[1]Summ!F1048)</f>
        <v>2.1898580323785805E-2</v>
      </c>
      <c r="D10" s="24">
        <f t="shared" si="0"/>
        <v>3.1205476961394772E-2</v>
      </c>
      <c r="E10" s="26">
        <v>1</v>
      </c>
      <c r="H10" s="24">
        <f t="shared" si="1"/>
        <v>1</v>
      </c>
      <c r="I10" s="22">
        <f t="shared" si="2"/>
        <v>3.1205476961394772E-2</v>
      </c>
      <c r="J10" s="24">
        <f t="shared" si="3"/>
        <v>1.1181857726954599E-2</v>
      </c>
      <c r="K10" s="22">
        <f t="shared" si="4"/>
        <v>9.3068966376089659E-3</v>
      </c>
      <c r="L10" s="22">
        <f t="shared" si="5"/>
        <v>9.3068966376089659E-3</v>
      </c>
      <c r="M10" s="228">
        <f t="shared" si="6"/>
        <v>1.1181857726954599E-2</v>
      </c>
      <c r="N10" s="233">
        <v>1</v>
      </c>
      <c r="O10" s="2"/>
      <c r="P10" s="22"/>
      <c r="Q10" s="59" t="s">
        <v>74</v>
      </c>
      <c r="R10" s="226">
        <f>IF($B$81=0,0,(SUMIF($N$6:$N$28,$U10,K$6:K$28)+SUMIF($N$91:$N$118,$U10,K$91:K$118))*$B$83*$H$84*Poor!$B$81/$B$81)</f>
        <v>0</v>
      </c>
      <c r="S10" s="226">
        <f>IF($B$81=0,0,(SUMIF($N$6:$N$28,$U10,L$6:L$28)+SUMIF($N$91:$N$118,$U10,L$91:L$118))*$B$83*$H$84*Poor!$B$81/$B$81)</f>
        <v>0</v>
      </c>
      <c r="T10" s="226">
        <f>IF($B$81=0,0,(SUMIF($N$6:$N$28,$U10,M$6:M$28)+SUMIF($N$91:$N$118,$U10,M$91:M$118))*$B$83*$H$84*Poor!$B$81/$B$81)</f>
        <v>0</v>
      </c>
      <c r="U10" s="227">
        <v>4</v>
      </c>
      <c r="V10" s="56"/>
      <c r="W10" s="115"/>
      <c r="X10" s="124">
        <v>1</v>
      </c>
      <c r="Y10" s="184">
        <f t="shared" si="9"/>
        <v>4.4727430907818395E-2</v>
      </c>
      <c r="Z10" s="125">
        <f>IF($Y10=0,0,AA10/$Y10)</f>
        <v>0.54240246312756402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2.4260268693768634E-2</v>
      </c>
      <c r="AB10" s="125">
        <f>IF($Y10=0,0,AC10/$Y10)</f>
        <v>0.45759753687243598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2.0467162214049761E-2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4">
        <f t="shared" si="13"/>
        <v>1.1181857726954599E-2</v>
      </c>
      <c r="AJ10" s="120">
        <f t="shared" si="14"/>
        <v>2.2363715453909198E-2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IF([1]Summ!$A1049="","",[1]Summ!$A1049)</f>
        <v>WILD FOODS -- see worksheet Data 3</v>
      </c>
      <c r="B11" s="216">
        <f>IF([1]Summ!E1049="",0,[1]Summ!E1049)</f>
        <v>0</v>
      </c>
      <c r="C11" s="216">
        <f>IF([1]Summ!F1049="",0,[1]Summ!F1049)</f>
        <v>0.05</v>
      </c>
      <c r="D11" s="24">
        <f t="shared" si="0"/>
        <v>0.05</v>
      </c>
      <c r="E11" s="26">
        <v>1</v>
      </c>
      <c r="H11" s="24">
        <f t="shared" si="1"/>
        <v>1</v>
      </c>
      <c r="I11" s="22">
        <f t="shared" si="2"/>
        <v>0.05</v>
      </c>
      <c r="J11" s="24">
        <f t="shared" si="3"/>
        <v>4.2810105989133157E-3</v>
      </c>
      <c r="K11" s="22">
        <f t="shared" si="4"/>
        <v>0</v>
      </c>
      <c r="L11" s="22">
        <f t="shared" si="5"/>
        <v>0</v>
      </c>
      <c r="M11" s="228">
        <f t="shared" si="6"/>
        <v>4.2810105989133157E-3</v>
      </c>
      <c r="N11" s="233">
        <v>6</v>
      </c>
      <c r="O11" s="2"/>
      <c r="P11" s="22"/>
      <c r="Q11" s="59" t="s">
        <v>75</v>
      </c>
      <c r="R11" s="226">
        <f>IF($B$81=0,0,(SUMIF($N$6:$N$28,$U11,K$6:K$28)+SUMIF($N$91:$N$118,$U11,K$91:K$118))*$B$83*$H$84*Poor!$B$81/$B$81)</f>
        <v>9749.9999999999982</v>
      </c>
      <c r="S11" s="226">
        <f>IF($B$81=0,0,(SUMIF($N$6:$N$28,$U11,L$6:L$28)+SUMIF($N$91:$N$118,$U11,L$91:L$118))*$B$83*$H$84*Poor!$B$81/$B$81)</f>
        <v>9749.9999999999982</v>
      </c>
      <c r="T11" s="226">
        <f>IF($B$81=0,0,(SUMIF($N$6:$N$28,$U11,M$6:M$28)+SUMIF($N$91:$N$118,$U11,M$91:M$118))*$B$83*$H$84*Poor!$B$81/$B$81)</f>
        <v>9535.9494700543346</v>
      </c>
      <c r="U11" s="227">
        <v>5</v>
      </c>
      <c r="V11" s="56"/>
      <c r="W11" s="115"/>
      <c r="X11" s="124">
        <v>1</v>
      </c>
      <c r="Y11" s="184">
        <f t="shared" si="9"/>
        <v>1.7124042395653263E-2</v>
      </c>
      <c r="Z11" s="125">
        <f>IF($Y11=0,0,AA11/$Y11)</f>
        <v>0.54240246312756402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9.2881227741031611E-3</v>
      </c>
      <c r="AB11" s="125">
        <f>IF($Y11=0,0,AC11/$Y11)</f>
        <v>0.45759753687243604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7.8359196215501015E-3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4">
        <f t="shared" si="13"/>
        <v>4.2810105989133157E-3</v>
      </c>
      <c r="AJ11" s="120">
        <f t="shared" si="14"/>
        <v>8.5620211978266313E-3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IF([1]Summ!$A1050="","",[1]Summ!$A1050)</f>
        <v/>
      </c>
      <c r="B12" s="216">
        <f>IF([1]Summ!E1050="",0,[1]Summ!E1050)</f>
        <v>0</v>
      </c>
      <c r="C12" s="216">
        <f>IF([1]Summ!F1050="",0,[1]Summ!F1050)</f>
        <v>0</v>
      </c>
      <c r="D12" s="24">
        <f t="shared" si="0"/>
        <v>0</v>
      </c>
      <c r="E12" s="26">
        <v>1</v>
      </c>
      <c r="H12" s="24">
        <f t="shared" si="1"/>
        <v>1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8">
        <f t="shared" si="6"/>
        <v>0</v>
      </c>
      <c r="N12" s="233"/>
      <c r="O12" s="2"/>
      <c r="P12" s="22"/>
      <c r="Q12" s="126" t="s">
        <v>124</v>
      </c>
      <c r="R12" s="226">
        <f>IF($B$81=0,0,(SUMIF($N$6:$N$28,$U12,K$6:K$28)+SUMIF($N$91:$N$118,$U12,K$91:K$118))*$B$83*$H$84*Poor!$B$81/$B$81)</f>
        <v>0</v>
      </c>
      <c r="S12" s="226">
        <f>IF($B$81=0,0,(SUMIF($N$6:$N$28,$U12,L$6:L$28)+SUMIF($N$91:$N$118,$U12,L$91:L$118))*$B$83*$H$84*Poor!$B$81/$B$81)</f>
        <v>0</v>
      </c>
      <c r="T12" s="226">
        <f>IF($B$81=0,0,(SUMIF($N$6:$N$28,$U12,M$6:M$28)+SUMIF($N$91:$N$118,$U12,M$91:M$118))*$B$83*$H$84*Poor!$B$81/$B$81)</f>
        <v>100.50549964316137</v>
      </c>
      <c r="U12" s="227">
        <v>6</v>
      </c>
      <c r="V12" s="56"/>
      <c r="W12" s="117"/>
      <c r="X12" s="118"/>
      <c r="Y12" s="184">
        <f t="shared" si="9"/>
        <v>0</v>
      </c>
      <c r="Z12" s="116">
        <v>0</v>
      </c>
      <c r="AA12" s="121">
        <f>$M12*Z12*4</f>
        <v>0</v>
      </c>
      <c r="AB12" s="116">
        <v>0</v>
      </c>
      <c r="AC12" s="121">
        <f>$M12*AB12*4</f>
        <v>0</v>
      </c>
      <c r="AD12" s="116">
        <v>0.67</v>
      </c>
      <c r="AE12" s="121">
        <f>$M12*AD12*4</f>
        <v>0</v>
      </c>
      <c r="AF12" s="122">
        <f>1-SUM(Z12,AB12,AD12)</f>
        <v>0.32999999999999996</v>
      </c>
      <c r="AG12" s="121">
        <f>$M12*AF12*4</f>
        <v>0</v>
      </c>
      <c r="AH12" s="123">
        <f t="shared" si="12"/>
        <v>1</v>
      </c>
      <c r="AI12" s="184">
        <f t="shared" si="13"/>
        <v>0</v>
      </c>
      <c r="AJ12" s="120">
        <f t="shared" si="14"/>
        <v>0</v>
      </c>
      <c r="AK12" s="119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IF([1]Summ!$A1051="","",[1]Summ!$A1051)</f>
        <v/>
      </c>
      <c r="B13" s="216">
        <f>IF([1]Summ!E1051="",0,[1]Summ!E1051)</f>
        <v>0</v>
      </c>
      <c r="C13" s="216">
        <f>IF([1]Summ!F1051="",0,[1]Summ!F1051)</f>
        <v>0</v>
      </c>
      <c r="D13" s="24">
        <f t="shared" si="0"/>
        <v>0</v>
      </c>
      <c r="E13" s="26"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9">
        <f t="shared" si="6"/>
        <v>0</v>
      </c>
      <c r="N13" s="233"/>
      <c r="O13" s="2"/>
      <c r="P13" s="22"/>
      <c r="Q13" s="59" t="s">
        <v>76</v>
      </c>
      <c r="R13" s="226">
        <f>IF($B$81=0,0,(SUMIF($N$6:$N$28,$U13,K$6:K$28)+SUMIF($N$91:$N$118,$U13,K$91:K$118))*$B$83*$H$84*Poor!$B$81/$B$81)</f>
        <v>4959.9999999999991</v>
      </c>
      <c r="S13" s="226">
        <f>IF($B$81=0,0,(SUMIF($N$6:$N$28,$U13,L$6:L$28)+SUMIF($N$91:$N$118,$U13,L$91:L$118))*$B$83*$H$84*Poor!$B$81/$B$81)</f>
        <v>4959.9999999999991</v>
      </c>
      <c r="T13" s="226">
        <f>IF($B$81=0,0,(SUMIF($N$6:$N$28,$U13,M$6:M$28)+SUMIF($N$91:$N$118,$U13,M$91:M$118))*$B$83*$H$84*Poor!$B$81/$B$81)</f>
        <v>4959.9999999999991</v>
      </c>
      <c r="U13" s="227">
        <v>7</v>
      </c>
      <c r="V13" s="56"/>
      <c r="W13" s="110"/>
      <c r="X13" s="118"/>
      <c r="Y13" s="184">
        <f t="shared" si="9"/>
        <v>0</v>
      </c>
      <c r="Z13" s="116">
        <v>1</v>
      </c>
      <c r="AA13" s="121">
        <f>$M13*Z13*4</f>
        <v>0</v>
      </c>
      <c r="AB13" s="116">
        <v>0</v>
      </c>
      <c r="AC13" s="121">
        <f>$M13*AB13*4</f>
        <v>0</v>
      </c>
      <c r="AD13" s="116"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4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IF([1]Summ!$A1052="","",[1]Summ!$A1052)</f>
        <v/>
      </c>
      <c r="B14" s="216">
        <f>IF([1]Summ!E1052="",0,[1]Summ!E1052)</f>
        <v>0</v>
      </c>
      <c r="C14" s="216">
        <f>IF([1]Summ!F1052="",0,[1]Summ!F1052)</f>
        <v>0</v>
      </c>
      <c r="D14" s="24">
        <f t="shared" si="0"/>
        <v>0</v>
      </c>
      <c r="E14" s="26"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9">
        <f t="shared" si="6"/>
        <v>0</v>
      </c>
      <c r="N14" s="233"/>
      <c r="O14" s="2"/>
      <c r="P14" s="22"/>
      <c r="Q14" s="126" t="s">
        <v>77</v>
      </c>
      <c r="R14" s="226">
        <f>IF($B$81=0,0,(SUMIF($N$6:$N$28,$U14,K$6:K$28)+SUMIF($N$91:$N$118,$U14,K$91:K$118))*$B$83*$H$84*Poor!$B$81/$B$81)</f>
        <v>0</v>
      </c>
      <c r="S14" s="226">
        <f>IF($B$81=0,0,(SUMIF($N$6:$N$28,$U14,L$6:L$28)+SUMIF($N$91:$N$118,$U14,L$91:L$118))*$B$83*$H$84*Poor!$B$81/$B$81)</f>
        <v>0</v>
      </c>
      <c r="T14" s="226">
        <f>IF($B$81=0,0,(SUMIF($N$6:$N$28,$U14,M$6:M$28)+SUMIF($N$91:$N$118,$U14,M$91:M$118))*$B$83*$H$84*Poor!$B$81/$B$81)</f>
        <v>0</v>
      </c>
      <c r="U14" s="227">
        <v>8</v>
      </c>
      <c r="V14" s="56"/>
      <c r="W14" s="110"/>
      <c r="X14" s="118"/>
      <c r="Y14" s="184">
        <f>M14*4</f>
        <v>0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7"/>
        <v>0</v>
      </c>
      <c r="AD14" s="116"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4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IF([1]Summ!$A1053="","",[1]Summ!$A1053)</f>
        <v/>
      </c>
      <c r="B15" s="216">
        <f>IF([1]Summ!E1053="",0,[1]Summ!E1053)</f>
        <v>0</v>
      </c>
      <c r="C15" s="216">
        <f>IF([1]Summ!F1053="",0,[1]Summ!F1053)</f>
        <v>0</v>
      </c>
      <c r="D15" s="24">
        <f t="shared" si="0"/>
        <v>0</v>
      </c>
      <c r="E15" s="26"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30">
        <f t="shared" si="6"/>
        <v>0</v>
      </c>
      <c r="N15" s="233"/>
      <c r="O15" s="2"/>
      <c r="P15" s="22"/>
      <c r="Q15" s="59" t="s">
        <v>127</v>
      </c>
      <c r="R15" s="226">
        <f>IF($B$81=0,0,(SUMIF($N$6:$N$28,$U15,K$6:K$28)+SUMIF($N$91:$N$118,$U15,K$91:K$118))*$B$83*$H$84*Poor!$B$81/$B$81)</f>
        <v>14916</v>
      </c>
      <c r="S15" s="226">
        <f>IF($B$81=0,0,(SUMIF($N$6:$N$28,$U15,L$6:L$28)+SUMIF($N$91:$N$118,$U15,L$91:L$118))*$B$83*$H$84*Poor!$B$81/$B$81)</f>
        <v>14916</v>
      </c>
      <c r="T15" s="226">
        <f>IF($B$81=0,0,(SUMIF($N$6:$N$28,$U15,M$6:M$28)+SUMIF($N$91:$N$118,$U15,M$91:M$118))*$B$83*$H$84*Poor!$B$81/$B$81)</f>
        <v>14916</v>
      </c>
      <c r="U15" s="227">
        <v>9</v>
      </c>
      <c r="V15" s="56"/>
      <c r="W15" s="110"/>
      <c r="X15" s="118"/>
      <c r="Y15" s="184">
        <f t="shared" si="9"/>
        <v>0</v>
      </c>
      <c r="Z15" s="116">
        <v>0.25</v>
      </c>
      <c r="AA15" s="121">
        <f t="shared" si="16"/>
        <v>0</v>
      </c>
      <c r="AB15" s="116">
        <v>0.25</v>
      </c>
      <c r="AC15" s="121">
        <f t="shared" si="7"/>
        <v>0</v>
      </c>
      <c r="AD15" s="116"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4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IF([1]Summ!$A1054="","",[1]Summ!$A1054)</f>
        <v/>
      </c>
      <c r="B16" s="216">
        <f>IF([1]Summ!E1054="",0,[1]Summ!E1054)</f>
        <v>0</v>
      </c>
      <c r="C16" s="216">
        <f>IF([1]Summ!F1054="",0,[1]Summ!F1054)</f>
        <v>0</v>
      </c>
      <c r="D16" s="24">
        <f t="shared" si="0"/>
        <v>0</v>
      </c>
      <c r="E16" s="26">
        <v>1</v>
      </c>
      <c r="F16" s="22"/>
      <c r="H16" s="24">
        <f t="shared" si="1"/>
        <v>1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28">
        <f t="shared" si="6"/>
        <v>0</v>
      </c>
      <c r="N16" s="233"/>
      <c r="O16" s="2"/>
      <c r="P16" s="22"/>
      <c r="Q16" s="126" t="s">
        <v>78</v>
      </c>
      <c r="R16" s="226">
        <f>IF($B$81=0,0,(SUMIF($N$6:$N$28,$U16,K$6:K$28)+SUMIF($N$91:$N$118,$U16,K$91:K$118))*$B$83*$H$84*Poor!$B$81/$B$81)</f>
        <v>0</v>
      </c>
      <c r="S16" s="226">
        <f>IF($B$81=0,0,(SUMIF($N$6:$N$28,$U16,L$6:L$28)+SUMIF($N$91:$N$118,$U16,L$91:L$118))*$B$83*$H$84*Poor!$B$81/$B$81)</f>
        <v>0</v>
      </c>
      <c r="T16" s="226">
        <f>IF($B$81=0,0,(SUMIF($N$6:$N$28,$U16,M$6:M$28)+SUMIF($N$91:$N$118,$U16,M$91:M$118))*$B$83*$H$84*Poor!$B$81/$B$81)</f>
        <v>0</v>
      </c>
      <c r="U16" s="227">
        <v>10</v>
      </c>
      <c r="V16" s="56"/>
      <c r="W16" s="110"/>
      <c r="X16" s="118"/>
      <c r="Y16" s="184">
        <f t="shared" si="9"/>
        <v>0</v>
      </c>
      <c r="Z16" s="116">
        <v>0</v>
      </c>
      <c r="AA16" s="121">
        <f t="shared" si="16"/>
        <v>0</v>
      </c>
      <c r="AB16" s="116">
        <v>0</v>
      </c>
      <c r="AC16" s="121">
        <f t="shared" si="7"/>
        <v>0</v>
      </c>
      <c r="AD16" s="116"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4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IF([1]Summ!$A1055="","",[1]Summ!$A1055)</f>
        <v/>
      </c>
      <c r="B17" s="216">
        <f>IF([1]Summ!E1055="",0,[1]Summ!E1055)</f>
        <v>0</v>
      </c>
      <c r="C17" s="216">
        <f>IF([1]Summ!F1055="",0,[1]Summ!F1055)</f>
        <v>0</v>
      </c>
      <c r="D17" s="24">
        <f>SUM(B17,C17)</f>
        <v>0</v>
      </c>
      <c r="E17" s="26">
        <v>1</v>
      </c>
      <c r="F17" s="22"/>
      <c r="H17" s="24">
        <f t="shared" si="1"/>
        <v>1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9">
        <f t="shared" si="6"/>
        <v>0</v>
      </c>
      <c r="N17" s="233"/>
      <c r="O17" s="2"/>
      <c r="P17" s="22"/>
      <c r="Q17" s="126" t="s">
        <v>125</v>
      </c>
      <c r="R17" s="226">
        <f>IF($B$81=0,0,(SUMIF($N$6:$N$28,$U17,K$6:K$28)+SUMIF($N$91:$N$118,$U17,K$91:K$118))*$B$83*$H$84*Poor!$B$81/$B$81)</f>
        <v>0</v>
      </c>
      <c r="S17" s="226">
        <f>IF($B$81=0,0,(SUMIF($N$6:$N$28,$U17,L$6:L$28)+SUMIF($N$91:$N$118,$U17,L$91:L$118))*$B$83*$H$84*Poor!$B$81/$B$81)</f>
        <v>0</v>
      </c>
      <c r="T17" s="226">
        <f>IF($B$81=0,0,(SUMIF($N$6:$N$28,$U17,M$6:M$28)+SUMIF($N$91:$N$118,$U17,M$91:M$118))*$B$83*$H$84*Poor!$B$81/$B$81)</f>
        <v>0</v>
      </c>
      <c r="U17" s="227">
        <v>11</v>
      </c>
      <c r="V17" s="56"/>
      <c r="W17" s="110"/>
      <c r="X17" s="118"/>
      <c r="Y17" s="184">
        <f t="shared" si="9"/>
        <v>0</v>
      </c>
      <c r="Z17" s="116">
        <v>0.29409999999999997</v>
      </c>
      <c r="AA17" s="121">
        <f t="shared" si="16"/>
        <v>0</v>
      </c>
      <c r="AB17" s="116">
        <v>0.17649999999999999</v>
      </c>
      <c r="AC17" s="121">
        <f t="shared" si="7"/>
        <v>0</v>
      </c>
      <c r="AD17" s="116"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4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IF([1]Summ!$A1056="","",[1]Summ!$A1056)</f>
        <v/>
      </c>
      <c r="B18" s="216">
        <f>IF([1]Summ!E1056="",0,[1]Summ!E1056)</f>
        <v>0</v>
      </c>
      <c r="C18" s="216">
        <f>IF([1]Summ!F1056="",0,[1]Summ!F1056)</f>
        <v>0</v>
      </c>
      <c r="D18" s="24">
        <f t="shared" ref="D18:D20" si="18">SUM(B18,C18)</f>
        <v>0</v>
      </c>
      <c r="E18" s="26">
        <v>1</v>
      </c>
      <c r="F18" s="22"/>
      <c r="H18" s="24">
        <f t="shared" ref="H18:H20" si="19">(E18*F$7/F$9)</f>
        <v>1</v>
      </c>
      <c r="I18" s="22">
        <f t="shared" ref="I18:I20" si="20">(D18*H18)</f>
        <v>0</v>
      </c>
      <c r="J18" s="24">
        <f t="shared" si="17"/>
        <v>0</v>
      </c>
      <c r="K18" s="22">
        <f t="shared" ref="K18:K20" si="21">B18</f>
        <v>0</v>
      </c>
      <c r="L18" s="22">
        <f t="shared" ref="L18:L20" si="22">IF(K18="","",K18*H18)</f>
        <v>0</v>
      </c>
      <c r="M18" s="229">
        <f t="shared" ref="M18:M20" si="23">J18</f>
        <v>0</v>
      </c>
      <c r="N18" s="233"/>
      <c r="O18" s="2"/>
      <c r="P18" s="22"/>
      <c r="Q18" s="59" t="s">
        <v>79</v>
      </c>
      <c r="R18" s="226">
        <f>IF($B$81=0,0,(SUMIF($N$6:$N$28,$U18,K$6:K$28)+SUMIF($N$91:$N$118,$U18,K$91:K$118))*$B$83*$H$84*Poor!$B$81/$B$81)</f>
        <v>1009.1726124276729</v>
      </c>
      <c r="S18" s="226">
        <f>IF($B$81=0,0,(SUMIF($N$6:$N$28,$U18,L$6:L$28)+SUMIF($N$91:$N$118,$U18,L$91:L$118))*$B$83*$H$84*Poor!$B$81/$B$81)</f>
        <v>1009.1726124276729</v>
      </c>
      <c r="T18" s="226">
        <f>IF($B$81=0,0,(SUMIF($N$6:$N$28,$U18,M$6:M$28)+SUMIF($N$91:$N$118,$U18,M$91:M$118))*$B$83*$H$84*Poor!$B$81/$B$81)</f>
        <v>1009.1726124276729</v>
      </c>
      <c r="U18" s="227">
        <v>12</v>
      </c>
      <c r="V18" s="56"/>
      <c r="W18" s="110"/>
      <c r="X18" s="118"/>
      <c r="Y18" s="184">
        <f t="shared" ref="Y18:Y20" si="24">M18*4</f>
        <v>0</v>
      </c>
      <c r="Z18" s="116">
        <v>1.2941</v>
      </c>
      <c r="AA18" s="121">
        <f t="shared" ref="AA18:AA20" si="25">$M18*Z18*4</f>
        <v>0</v>
      </c>
      <c r="AB18" s="116">
        <v>1.1765000000000001</v>
      </c>
      <c r="AC18" s="121">
        <f t="shared" ref="AC18:AC20" si="26">$M18*AB18*4</f>
        <v>0</v>
      </c>
      <c r="AD18" s="116">
        <v>1.2353000000000001</v>
      </c>
      <c r="AE18" s="121">
        <f t="shared" ref="AE18:AE20" si="27">$M18*AD18*4</f>
        <v>0</v>
      </c>
      <c r="AF18" s="122">
        <f t="shared" ref="AF18:AF20" si="28">1-SUM(Z18,AB18,AD18)</f>
        <v>-2.7059000000000002</v>
      </c>
      <c r="AG18" s="121">
        <f t="shared" ref="AG18:AG20" si="29">$M18*AF18*4</f>
        <v>0</v>
      </c>
      <c r="AH18" s="123">
        <f t="shared" ref="AH18:AH20" si="30">SUM(Z18,AB18,AD18,AF18)</f>
        <v>1</v>
      </c>
      <c r="AI18" s="184">
        <f t="shared" ref="AI18:AI20" si="31">SUM(AA18,AC18,AE18,AG18)/4</f>
        <v>0</v>
      </c>
      <c r="AJ18" s="120">
        <f t="shared" ref="AJ18:AJ20" si="32">(AA18+AC18)/2</f>
        <v>0</v>
      </c>
      <c r="AK18" s="119">
        <f t="shared" ref="AK18:AK20" si="33">(AE18+AG18)/2</f>
        <v>0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IF([1]Summ!$A1057="","",[1]Summ!$A1057)</f>
        <v/>
      </c>
      <c r="B19" s="216">
        <f>IF([1]Summ!E1057="",0,[1]Summ!E1057)</f>
        <v>0</v>
      </c>
      <c r="C19" s="216">
        <f>IF([1]Summ!F1057="",0,[1]Summ!F1057)</f>
        <v>0</v>
      </c>
      <c r="D19" s="24">
        <f t="shared" si="18"/>
        <v>0</v>
      </c>
      <c r="E19" s="26"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9">
        <f t="shared" si="23"/>
        <v>0</v>
      </c>
      <c r="N19" s="233"/>
      <c r="O19" s="2"/>
      <c r="P19" s="22"/>
      <c r="Q19" s="59" t="s">
        <v>80</v>
      </c>
      <c r="R19" s="226">
        <f>IF($B$81=0,0,(SUMIF($N$6:$N$28,$U19,K$6:K$28)+SUMIF($N$91:$N$118,$U19,K$91:K$118))*$B$83*$H$84*Poor!$B$81/$B$81)</f>
        <v>0</v>
      </c>
      <c r="S19" s="226">
        <f>IF($B$81=0,0,(SUMIF($N$6:$N$28,$U19,L$6:L$28)+SUMIF($N$91:$N$118,$U19,L$91:L$118))*$B$83*$H$84*Poor!$B$81/$B$81)</f>
        <v>0</v>
      </c>
      <c r="T19" s="226">
        <f>IF($B$81=0,0,(SUMIF($N$6:$N$28,$U19,M$6:M$28)+SUMIF($N$91:$N$118,$U19,M$91:M$118))*$B$83*$H$84*Poor!$B$81/$B$81)</f>
        <v>0</v>
      </c>
      <c r="U19" s="227">
        <v>13</v>
      </c>
      <c r="V19" s="56"/>
      <c r="W19" s="110"/>
      <c r="X19" s="118"/>
      <c r="Y19" s="184">
        <f t="shared" si="24"/>
        <v>0</v>
      </c>
      <c r="Z19" s="116">
        <v>2.2940999999999998</v>
      </c>
      <c r="AA19" s="121">
        <f t="shared" si="25"/>
        <v>0</v>
      </c>
      <c r="AB19" s="116">
        <v>2.1764999999999999</v>
      </c>
      <c r="AC19" s="121">
        <f t="shared" si="26"/>
        <v>0</v>
      </c>
      <c r="AD19" s="116">
        <v>2.2353000000000001</v>
      </c>
      <c r="AE19" s="121">
        <f t="shared" si="27"/>
        <v>0</v>
      </c>
      <c r="AF19" s="122">
        <f t="shared" si="28"/>
        <v>-5.7058999999999997</v>
      </c>
      <c r="AG19" s="121">
        <f t="shared" si="29"/>
        <v>0</v>
      </c>
      <c r="AH19" s="123">
        <f t="shared" si="30"/>
        <v>1</v>
      </c>
      <c r="AI19" s="184">
        <f t="shared" si="31"/>
        <v>0</v>
      </c>
      <c r="AJ19" s="120">
        <f t="shared" si="32"/>
        <v>0</v>
      </c>
      <c r="AK19" s="119">
        <f t="shared" si="33"/>
        <v>0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IF([1]Summ!$A1058="","",[1]Summ!$A1058)</f>
        <v/>
      </c>
      <c r="B20" s="216">
        <f>IF([1]Summ!E1058="",0,[1]Summ!E1058)</f>
        <v>0</v>
      </c>
      <c r="C20" s="216">
        <f>IF([1]Summ!F1058="",0,[1]Summ!F1058)</f>
        <v>0</v>
      </c>
      <c r="D20" s="24">
        <f t="shared" si="18"/>
        <v>0</v>
      </c>
      <c r="E20" s="26"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9">
        <f t="shared" si="23"/>
        <v>0</v>
      </c>
      <c r="N20" s="233"/>
      <c r="O20" s="2"/>
      <c r="P20" s="22"/>
      <c r="Q20" s="59" t="s">
        <v>81</v>
      </c>
      <c r="R20" s="226">
        <f>IF($B$81=0,0,(SUMIF($N$6:$N$28,$U20,K$6:K$28)+SUMIF($N$91:$N$118,$U20,K$91:K$118))*$B$83*$H$84*Poor!$B$81/$B$81)</f>
        <v>22020</v>
      </c>
      <c r="S20" s="226">
        <f>IF($B$81=0,0,(SUMIF($N$6:$N$28,$U20,L$6:L$28)+SUMIF($N$91:$N$118,$U20,L$91:L$118))*$B$83*$H$84*Poor!$B$81/$B$81)</f>
        <v>22020</v>
      </c>
      <c r="T20" s="226">
        <f>IF($B$81=0,0,(SUMIF($N$6:$N$28,$U20,M$6:M$28)+SUMIF($N$91:$N$118,$U20,M$91:M$118))*$B$83*$H$84*Poor!$B$81/$B$81)</f>
        <v>22020</v>
      </c>
      <c r="U20" s="227">
        <v>14</v>
      </c>
      <c r="V20" s="56"/>
      <c r="W20" s="110"/>
      <c r="X20" s="118"/>
      <c r="Y20" s="184">
        <f t="shared" si="24"/>
        <v>0</v>
      </c>
      <c r="Z20" s="116">
        <v>3.2940999999999998</v>
      </c>
      <c r="AA20" s="121">
        <f t="shared" si="25"/>
        <v>0</v>
      </c>
      <c r="AB20" s="116">
        <v>3.1764999999999999</v>
      </c>
      <c r="AC20" s="121">
        <f t="shared" si="26"/>
        <v>0</v>
      </c>
      <c r="AD20" s="116">
        <v>3.2353000000000001</v>
      </c>
      <c r="AE20" s="121">
        <f t="shared" si="27"/>
        <v>0</v>
      </c>
      <c r="AF20" s="122">
        <f t="shared" si="28"/>
        <v>-8.7058999999999997</v>
      </c>
      <c r="AG20" s="121">
        <f t="shared" si="29"/>
        <v>0</v>
      </c>
      <c r="AH20" s="123">
        <f t="shared" si="30"/>
        <v>1</v>
      </c>
      <c r="AI20" s="184">
        <f t="shared" si="31"/>
        <v>0</v>
      </c>
      <c r="AJ20" s="120">
        <f t="shared" si="32"/>
        <v>0</v>
      </c>
      <c r="AK20" s="119">
        <f t="shared" si="33"/>
        <v>0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IF([1]Summ!$A1059="","",[1]Summ!$A1059)</f>
        <v/>
      </c>
      <c r="B21" s="216">
        <f>IF([1]Summ!E1059="",0,[1]Summ!E1059)</f>
        <v>0</v>
      </c>
      <c r="C21" s="216">
        <f>IF([1]Summ!F1059="",0,[1]Summ!F1059)</f>
        <v>0</v>
      </c>
      <c r="D21" s="24">
        <f t="shared" ref="D21:D25" si="34">SUM(B21,C21)</f>
        <v>0</v>
      </c>
      <c r="E21" s="26">
        <v>1</v>
      </c>
      <c r="F21" s="22"/>
      <c r="H21" s="24">
        <f t="shared" ref="H21:H25" si="35">(E21*F$7/F$9)</f>
        <v>1</v>
      </c>
      <c r="I21" s="22">
        <f t="shared" ref="I21:I25" si="36">(D21*H21)</f>
        <v>0</v>
      </c>
      <c r="J21" s="24">
        <f t="shared" si="17"/>
        <v>0</v>
      </c>
      <c r="K21" s="22">
        <f t="shared" ref="K21:K25" si="37">B21</f>
        <v>0</v>
      </c>
      <c r="L21" s="22">
        <f t="shared" ref="L21:L25" si="38">IF(K21="","",K21*H21)</f>
        <v>0</v>
      </c>
      <c r="M21" s="229">
        <f t="shared" ref="M21:M25" si="39">J21</f>
        <v>0</v>
      </c>
      <c r="N21" s="233"/>
      <c r="O21" s="2"/>
      <c r="P21" s="22"/>
      <c r="Q21" s="59" t="s">
        <v>82</v>
      </c>
      <c r="R21" s="226">
        <f>IF($B$81=0,0,(SUMIF($N$6:$N$28,$U21,K$6:K$28)+SUMIF($N$91:$N$118,$U21,K$91:K$118))*$B$83*$H$84*Poor!$B$81/$B$81)</f>
        <v>0</v>
      </c>
      <c r="S21" s="226">
        <f>IF($B$81=0,0,(SUMIF($N$6:$N$28,$U21,L$6:L$28)+SUMIF($N$91:$N$118,$U21,L$91:L$118))*$B$83*$H$84*Poor!$B$81/$B$81)</f>
        <v>0</v>
      </c>
      <c r="T21" s="226">
        <f>IF($B$81=0,0,(SUMIF($N$6:$N$28,$U21,M$6:M$28)+SUMIF($N$91:$N$118,$U21,M$91:M$118))*$B$83*$H$84*Poor!$B$81/$B$81)</f>
        <v>0</v>
      </c>
      <c r="U21" s="227">
        <v>15</v>
      </c>
      <c r="V21" s="56"/>
      <c r="W21" s="110"/>
      <c r="X21" s="118"/>
      <c r="Y21" s="184">
        <f t="shared" ref="Y21:Y25" si="40">M21*4</f>
        <v>0</v>
      </c>
      <c r="Z21" s="116">
        <v>4.2941000000000003</v>
      </c>
      <c r="AA21" s="121">
        <f t="shared" ref="AA21:AA25" si="41">$M21*Z21*4</f>
        <v>0</v>
      </c>
      <c r="AB21" s="116">
        <v>4.1764999999999999</v>
      </c>
      <c r="AC21" s="121">
        <f t="shared" ref="AC21:AC25" si="42">$M21*AB21*4</f>
        <v>0</v>
      </c>
      <c r="AD21" s="116">
        <v>4.2352999999999996</v>
      </c>
      <c r="AE21" s="121">
        <f t="shared" ref="AE21:AE25" si="43">$M21*AD21*4</f>
        <v>0</v>
      </c>
      <c r="AF21" s="122">
        <f t="shared" ref="AF21:AF25" si="44">1-SUM(Z21,AB21,AD21)</f>
        <v>-11.7059</v>
      </c>
      <c r="AG21" s="121">
        <f t="shared" ref="AG21:AG25" si="45">$M21*AF21*4</f>
        <v>0</v>
      </c>
      <c r="AH21" s="123">
        <f t="shared" ref="AH21:AH25" si="46">SUM(Z21,AB21,AD21,AF21)</f>
        <v>1</v>
      </c>
      <c r="AI21" s="184">
        <f t="shared" ref="AI21:AI25" si="47">SUM(AA21,AC21,AE21,AG21)/4</f>
        <v>0</v>
      </c>
      <c r="AJ21" s="120">
        <f t="shared" ref="AJ21:AJ25" si="48">(AA21+AC21)/2</f>
        <v>0</v>
      </c>
      <c r="AK21" s="119">
        <f t="shared" ref="AK21:AK25" si="49">(AE21+AG21)/2</f>
        <v>0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IF([1]Summ!$A1060="","",[1]Summ!$A1060)</f>
        <v/>
      </c>
      <c r="B22" s="216">
        <f>IF([1]Summ!E1060="",0,[1]Summ!E1060)</f>
        <v>0</v>
      </c>
      <c r="C22" s="216">
        <f>IF([1]Summ!F1060="",0,[1]Summ!F1060)</f>
        <v>0</v>
      </c>
      <c r="D22" s="24">
        <f t="shared" si="34"/>
        <v>0</v>
      </c>
      <c r="E22" s="26">
        <v>1</v>
      </c>
      <c r="F22" s="22"/>
      <c r="H22" s="24">
        <f t="shared" si="35"/>
        <v>1</v>
      </c>
      <c r="I22" s="22">
        <f t="shared" si="36"/>
        <v>0</v>
      </c>
      <c r="J22" s="24">
        <f t="shared" si="17"/>
        <v>0</v>
      </c>
      <c r="K22" s="22">
        <f t="shared" si="37"/>
        <v>0</v>
      </c>
      <c r="L22" s="22">
        <f t="shared" si="38"/>
        <v>0</v>
      </c>
      <c r="M22" s="229">
        <f t="shared" si="39"/>
        <v>0</v>
      </c>
      <c r="N22" s="233"/>
      <c r="O22" s="2"/>
      <c r="P22" s="22"/>
      <c r="Q22" s="59" t="s">
        <v>83</v>
      </c>
      <c r="R22" s="226">
        <f>IF($B$81=0,0,(SUMIF($N$6:$N$28,$U22,K$6:K$28)+SUMIF($N$91:$N$118,$U22,K$91:K$118))*$B$83*$H$84*Poor!$B$81/$B$81)</f>
        <v>0</v>
      </c>
      <c r="S22" s="226">
        <f>IF($B$81=0,0,(SUMIF($N$6:$N$28,$U22,L$6:L$28)+SUMIF($N$91:$N$118,$U22,L$91:L$118))*$B$83*$H$84*Poor!$B$81/$B$81)</f>
        <v>0</v>
      </c>
      <c r="T22" s="226">
        <f>IF($B$81=0,0,(SUMIF($N$6:$N$28,$U22,M$6:M$28)+SUMIF($N$91:$N$118,$U22,M$91:M$118))*$B$83*$H$84*Poor!$B$81/$B$81)</f>
        <v>0</v>
      </c>
      <c r="U22" s="227">
        <v>16</v>
      </c>
      <c r="V22" s="56"/>
      <c r="W22" s="110"/>
      <c r="X22" s="118"/>
      <c r="Y22" s="184">
        <f t="shared" si="40"/>
        <v>0</v>
      </c>
      <c r="Z22" s="116">
        <v>5.2941000000000003</v>
      </c>
      <c r="AA22" s="121">
        <f t="shared" si="41"/>
        <v>0</v>
      </c>
      <c r="AB22" s="116">
        <v>5.1764999999999999</v>
      </c>
      <c r="AC22" s="121">
        <f t="shared" si="42"/>
        <v>0</v>
      </c>
      <c r="AD22" s="116">
        <v>5.2352999999999996</v>
      </c>
      <c r="AE22" s="121">
        <f t="shared" si="43"/>
        <v>0</v>
      </c>
      <c r="AF22" s="122">
        <f t="shared" si="44"/>
        <v>-14.7059</v>
      </c>
      <c r="AG22" s="121">
        <f t="shared" si="45"/>
        <v>0</v>
      </c>
      <c r="AH22" s="123">
        <f t="shared" si="46"/>
        <v>1</v>
      </c>
      <c r="AI22" s="184">
        <f t="shared" si="47"/>
        <v>0</v>
      </c>
      <c r="AJ22" s="120">
        <f t="shared" si="48"/>
        <v>0</v>
      </c>
      <c r="AK22" s="119">
        <f t="shared" si="49"/>
        <v>0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IF([1]Summ!$A1061="","",[1]Summ!$A1061)</f>
        <v/>
      </c>
      <c r="B23" s="216">
        <f>IF([1]Summ!E1061="",0,[1]Summ!E1061)</f>
        <v>0</v>
      </c>
      <c r="C23" s="216">
        <f>IF([1]Summ!F1061="",0,[1]Summ!F1061)</f>
        <v>0</v>
      </c>
      <c r="D23" s="24">
        <f t="shared" si="34"/>
        <v>0</v>
      </c>
      <c r="E23" s="26">
        <v>1</v>
      </c>
      <c r="F23" s="22"/>
      <c r="H23" s="24">
        <f t="shared" si="35"/>
        <v>1</v>
      </c>
      <c r="I23" s="22">
        <f t="shared" si="36"/>
        <v>0</v>
      </c>
      <c r="J23" s="24">
        <f t="shared" si="17"/>
        <v>0</v>
      </c>
      <c r="K23" s="22">
        <f t="shared" si="37"/>
        <v>0</v>
      </c>
      <c r="L23" s="22">
        <f t="shared" si="38"/>
        <v>0</v>
      </c>
      <c r="M23" s="229">
        <f t="shared" si="39"/>
        <v>0</v>
      </c>
      <c r="N23" s="233"/>
      <c r="O23" s="2"/>
      <c r="P23" s="22"/>
      <c r="Q23" s="171" t="s">
        <v>100</v>
      </c>
      <c r="R23" s="179">
        <f>SUM(R7:R22)</f>
        <v>56673.493158928199</v>
      </c>
      <c r="S23" s="179">
        <f>SUM(S7:S22)</f>
        <v>56673.493158928199</v>
      </c>
      <c r="T23" s="179">
        <f>SUM(T7:T22)</f>
        <v>56562.143033507353</v>
      </c>
      <c r="U23" s="56"/>
      <c r="V23" s="56"/>
      <c r="W23" s="110"/>
      <c r="X23" s="118"/>
      <c r="Y23" s="184">
        <f t="shared" si="40"/>
        <v>0</v>
      </c>
      <c r="Z23" s="116">
        <v>6.2941000000000003</v>
      </c>
      <c r="AA23" s="121">
        <f t="shared" si="41"/>
        <v>0</v>
      </c>
      <c r="AB23" s="116">
        <v>6.1764999999999999</v>
      </c>
      <c r="AC23" s="121">
        <f t="shared" si="42"/>
        <v>0</v>
      </c>
      <c r="AD23" s="116">
        <v>6.2352999999999996</v>
      </c>
      <c r="AE23" s="121">
        <f t="shared" si="43"/>
        <v>0</v>
      </c>
      <c r="AF23" s="122">
        <f t="shared" si="44"/>
        <v>-17.7059</v>
      </c>
      <c r="AG23" s="121">
        <f t="shared" si="45"/>
        <v>0</v>
      </c>
      <c r="AH23" s="123">
        <f t="shared" si="46"/>
        <v>1</v>
      </c>
      <c r="AI23" s="184">
        <f t="shared" si="47"/>
        <v>0</v>
      </c>
      <c r="AJ23" s="120">
        <f t="shared" si="48"/>
        <v>0</v>
      </c>
      <c r="AK23" s="119">
        <f t="shared" si="49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IF([1]Summ!$A1062="","",[1]Summ!$A1062)</f>
        <v/>
      </c>
      <c r="B24" s="216">
        <f>IF([1]Summ!E1062="",0,[1]Summ!E1062)</f>
        <v>0</v>
      </c>
      <c r="C24" s="216">
        <f>IF([1]Summ!F1062="",0,[1]Summ!F1062)</f>
        <v>0</v>
      </c>
      <c r="D24" s="24">
        <f t="shared" si="34"/>
        <v>0</v>
      </c>
      <c r="E24" s="26">
        <v>1</v>
      </c>
      <c r="F24" s="22"/>
      <c r="H24" s="24">
        <f t="shared" si="35"/>
        <v>1</v>
      </c>
      <c r="I24" s="22">
        <f t="shared" si="36"/>
        <v>0</v>
      </c>
      <c r="J24" s="24">
        <f t="shared" si="17"/>
        <v>0</v>
      </c>
      <c r="K24" s="22">
        <f t="shared" si="37"/>
        <v>0</v>
      </c>
      <c r="L24" s="22">
        <f t="shared" si="38"/>
        <v>0</v>
      </c>
      <c r="M24" s="229">
        <f t="shared" si="39"/>
        <v>0</v>
      </c>
      <c r="N24" s="233"/>
      <c r="O24" s="2"/>
      <c r="P24" s="22"/>
      <c r="Q24" s="59" t="s">
        <v>137</v>
      </c>
      <c r="R24" s="41">
        <f>IF($B$81=0,0,($B$124*$H$124)+1-($D$29*$H$29)-($D$28*$H$28))*$I$83*Poor!$B$81/$B$81</f>
        <v>19286.708587419431</v>
      </c>
      <c r="S24" s="41">
        <f>IF($B$81=0,0,($B$124*($H$124)+1-($D$29*$H$29)-($D$28*$H$28))*$I$83*Poor!$B$81/$B$81)</f>
        <v>19286.708587419431</v>
      </c>
      <c r="T24" s="41">
        <f>IF($B$81=0,0,($B$124*($H$124)+1-($D$29*$H$29)-($D$28*$H$28))*$I$83*Poor!$B$81/$B$81)</f>
        <v>19286.708587419431</v>
      </c>
      <c r="U24" s="56"/>
      <c r="V24" s="56"/>
      <c r="W24" s="110"/>
      <c r="X24" s="118"/>
      <c r="Y24" s="184">
        <f t="shared" si="40"/>
        <v>0</v>
      </c>
      <c r="Z24" s="116">
        <v>7.2941000000000003</v>
      </c>
      <c r="AA24" s="121">
        <f t="shared" si="41"/>
        <v>0</v>
      </c>
      <c r="AB24" s="116">
        <v>7.1764999999999999</v>
      </c>
      <c r="AC24" s="121">
        <f t="shared" si="42"/>
        <v>0</v>
      </c>
      <c r="AD24" s="116">
        <v>7.2352999999999996</v>
      </c>
      <c r="AE24" s="121">
        <f t="shared" si="43"/>
        <v>0</v>
      </c>
      <c r="AF24" s="122">
        <f t="shared" si="44"/>
        <v>-20.7059</v>
      </c>
      <c r="AG24" s="121">
        <f t="shared" si="45"/>
        <v>0</v>
      </c>
      <c r="AH24" s="123">
        <f t="shared" si="46"/>
        <v>1</v>
      </c>
      <c r="AI24" s="184">
        <f t="shared" si="47"/>
        <v>0</v>
      </c>
      <c r="AJ24" s="120">
        <f t="shared" si="48"/>
        <v>0</v>
      </c>
      <c r="AK24" s="119">
        <f t="shared" si="49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IF([1]Summ!$A1063="","",[1]Summ!$A1063)</f>
        <v/>
      </c>
      <c r="B25" s="216">
        <f>IF([1]Summ!E1063="",0,[1]Summ!E1063)</f>
        <v>0</v>
      </c>
      <c r="C25" s="216">
        <f>IF([1]Summ!F1063="",0,[1]Summ!F1063)</f>
        <v>0</v>
      </c>
      <c r="D25" s="24">
        <f t="shared" si="34"/>
        <v>0</v>
      </c>
      <c r="E25" s="26">
        <v>1</v>
      </c>
      <c r="F25" s="22"/>
      <c r="H25" s="24">
        <f t="shared" si="35"/>
        <v>1</v>
      </c>
      <c r="I25" s="22">
        <f t="shared" si="36"/>
        <v>0</v>
      </c>
      <c r="J25" s="24">
        <f t="shared" si="17"/>
        <v>0</v>
      </c>
      <c r="K25" s="22">
        <f t="shared" si="37"/>
        <v>0</v>
      </c>
      <c r="L25" s="22">
        <f t="shared" si="38"/>
        <v>0</v>
      </c>
      <c r="M25" s="229">
        <f t="shared" si="39"/>
        <v>0</v>
      </c>
      <c r="N25" s="233"/>
      <c r="O25" s="2"/>
      <c r="P25" s="22"/>
      <c r="Q25" s="142" t="s">
        <v>138</v>
      </c>
      <c r="R25" s="41">
        <f>IF($B$81=0,0,($B$124*$H$124)+($B$125*$H$125*$H$84)+1-($D$29*$H$29)-($D$28*$H$28))*$I$83*Poor!$B$81/$B$81</f>
        <v>34865.375254086095</v>
      </c>
      <c r="S25" s="41">
        <f>IF($B$81=0,0,($B$124*$H$124)+($B$125*$H$125*$H$84)+1-($D$29*$H$29)-($D$28*$H$28))*$I$83*Poor!$B$81/$B$81</f>
        <v>34865.375254086095</v>
      </c>
      <c r="T25" s="41">
        <f>IF($B$81=0,0,($B$124*$H$124)+($B$125*$H$125*$H$84)+1-($D$29*$H$29)-($D$28*$H$28))*$I$83*Poor!$B$81/$B$81</f>
        <v>34865.375254086095</v>
      </c>
      <c r="U25" s="56"/>
      <c r="V25" s="56"/>
      <c r="W25" s="110"/>
      <c r="X25" s="118"/>
      <c r="Y25" s="184">
        <f t="shared" si="40"/>
        <v>0</v>
      </c>
      <c r="Z25" s="116">
        <v>8.2941000000000003</v>
      </c>
      <c r="AA25" s="121">
        <f t="shared" si="41"/>
        <v>0</v>
      </c>
      <c r="AB25" s="116">
        <v>8.1765000000000008</v>
      </c>
      <c r="AC25" s="121">
        <f t="shared" si="42"/>
        <v>0</v>
      </c>
      <c r="AD25" s="116">
        <v>8.2353000000000005</v>
      </c>
      <c r="AE25" s="121">
        <f t="shared" si="43"/>
        <v>0</v>
      </c>
      <c r="AF25" s="122">
        <f t="shared" si="44"/>
        <v>-23.7059</v>
      </c>
      <c r="AG25" s="121">
        <f t="shared" si="45"/>
        <v>0</v>
      </c>
      <c r="AH25" s="123">
        <f t="shared" si="46"/>
        <v>1</v>
      </c>
      <c r="AI25" s="184">
        <f t="shared" si="47"/>
        <v>0</v>
      </c>
      <c r="AJ25" s="120">
        <f t="shared" si="48"/>
        <v>0</v>
      </c>
      <c r="AK25" s="119">
        <f t="shared" si="49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IF([1]Summ!$A1064="","",[1]Summ!$A1064)</f>
        <v>Food aid</v>
      </c>
      <c r="B26" s="216">
        <f>IF([1]Summ!E1064="",0,[1]Summ!E1064)</f>
        <v>0.11904761904761904</v>
      </c>
      <c r="C26" s="216">
        <f>IF([1]Summ!F1064="",0,[1]Summ!F1064)</f>
        <v>0</v>
      </c>
      <c r="D26" s="24">
        <f>SUM(B26,C26)</f>
        <v>0.11904761904761904</v>
      </c>
      <c r="E26" s="26">
        <v>1</v>
      </c>
      <c r="F26" s="22"/>
      <c r="H26" s="24">
        <f t="shared" si="1"/>
        <v>1</v>
      </c>
      <c r="I26" s="22">
        <f t="shared" si="2"/>
        <v>0.11904761904761904</v>
      </c>
      <c r="J26" s="24">
        <f>IF(I$32&lt;=1+I131,I26,B26*H26+J$33*(I26-B26*H26))</f>
        <v>0.11904761904761904</v>
      </c>
      <c r="K26" s="22">
        <f t="shared" si="4"/>
        <v>0.11904761904761904</v>
      </c>
      <c r="L26" s="22">
        <f t="shared" si="5"/>
        <v>0.11904761904761904</v>
      </c>
      <c r="M26" s="228">
        <f t="shared" si="6"/>
        <v>0.11904761904761904</v>
      </c>
      <c r="N26" s="233">
        <v>12</v>
      </c>
      <c r="O26" s="2"/>
      <c r="P26" s="22"/>
      <c r="Q26" s="59" t="s">
        <v>139</v>
      </c>
      <c r="R26" s="41">
        <f>IF($B$81=0,0,($B$124*$H$124)+($B$125*$H$125*$H$84)+($B$126*$H$126*$H$84)+1-($D$29*$H$29)-($D$28*$H$28))*$I$83*Poor!$B$81/$B$81</f>
        <v>62609.375254086095</v>
      </c>
      <c r="S26" s="41">
        <f>IF($B$81=0,0,($B$124*$H$124)+($B$125*$H$125*$H$84)+($B$126*$H$126*$H$84)+1-($D$29*$H$29)-($D$28*$H$28))*$I$83*Poor!$B$81/$B$81</f>
        <v>62609.375254086095</v>
      </c>
      <c r="T26" s="41">
        <f>IF($B$81=0,0,($B$124*$H$124)+($B$125*$H$125*$H$84)+($B$126*$H$126*$H$84)+1-($D$29*$H$29)-($D$28*$H$28))*$I$83*Poor!$B$81/$B$81</f>
        <v>62609.375254086095</v>
      </c>
      <c r="U26" s="56"/>
      <c r="V26" s="56"/>
      <c r="W26" s="110"/>
      <c r="X26" s="118"/>
      <c r="Y26" s="184">
        <f t="shared" si="9"/>
        <v>0.47619047619047616</v>
      </c>
      <c r="Z26" s="116">
        <v>0.25</v>
      </c>
      <c r="AA26" s="121">
        <f t="shared" si="16"/>
        <v>0.11904761904761904</v>
      </c>
      <c r="AB26" s="116">
        <v>0.25</v>
      </c>
      <c r="AC26" s="121">
        <f t="shared" si="7"/>
        <v>0.11904761904761904</v>
      </c>
      <c r="AD26" s="116">
        <v>0.25</v>
      </c>
      <c r="AE26" s="121">
        <f t="shared" si="8"/>
        <v>0.11904761904761904</v>
      </c>
      <c r="AF26" s="122">
        <f t="shared" si="10"/>
        <v>0.25</v>
      </c>
      <c r="AG26" s="121">
        <f t="shared" si="11"/>
        <v>0.11904761904761904</v>
      </c>
      <c r="AH26" s="123">
        <f t="shared" si="12"/>
        <v>1</v>
      </c>
      <c r="AI26" s="184">
        <f t="shared" si="13"/>
        <v>0.11904761904761904</v>
      </c>
      <c r="AJ26" s="120">
        <f t="shared" si="14"/>
        <v>0.11904761904761904</v>
      </c>
      <c r="AK26" s="119">
        <f t="shared" si="15"/>
        <v>0.11904761904761904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IF([1]Summ!$A1065="","",[1]Summ!$A1065)</f>
        <v>Purchase - other</v>
      </c>
      <c r="B27" s="216">
        <f>IF([1]Summ!E1065="",0,[1]Summ!E1065)</f>
        <v>1.2151756849315068E-2</v>
      </c>
      <c r="C27" s="216">
        <f>IF([1]Summ!F1065="",0,[1]Summ!F1065)</f>
        <v>-1.2151756849315068E-2</v>
      </c>
      <c r="D27" s="24">
        <f>SUM(B27,C27)</f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1.1111320851968361E-2</v>
      </c>
      <c r="K27" s="22">
        <f t="shared" si="4"/>
        <v>1.2151756849315068E-2</v>
      </c>
      <c r="L27" s="22">
        <f t="shared" si="5"/>
        <v>1.2151756849315068E-2</v>
      </c>
      <c r="M27" s="230">
        <f t="shared" si="6"/>
        <v>1.1111320851968361E-2</v>
      </c>
      <c r="N27" s="233"/>
      <c r="O27" s="2"/>
      <c r="P27" s="22"/>
      <c r="Q27" s="126" t="s">
        <v>140</v>
      </c>
      <c r="R27" s="41">
        <f>IF($B$81=0,0,($B$124*$H$124)+($B$125*$H$125*$H$84)+($B$126*$H$126*$H$84)+($B$127*$H$127*$H$84)+1-($D$29*$H$29)-($D$28*$H$28))*$I$83*Poor!$B$81/$B$81</f>
        <v>67265.375254086102</v>
      </c>
      <c r="S27" s="41">
        <f>IF($B$81=0,0,($B$124*$H$124)+($B$125*$H$125*$H$84)+($B$126*$H$126*$H$84)+($B$127*$H$127*$H$84)+1-($D$29*$H$29)-($D$28*$H$28))*$I$83*Poor!$B$81/$B$81</f>
        <v>67265.375254086102</v>
      </c>
      <c r="T27" s="41">
        <f>IF($B$81=0,0,($B$124*$H$124)+($B$125*$H$125*$H$84)+($B$126*$H$126*$H$84)+($B$127*$H$127*$H$84)+1-($D$29*$H$29)-($D$28*$H$28))*$I$83*Poor!$B$81/$B$81</f>
        <v>67265.375254086102</v>
      </c>
      <c r="U27" s="56"/>
      <c r="V27" s="56"/>
      <c r="W27" s="110"/>
      <c r="X27" s="118"/>
      <c r="Y27" s="184">
        <f t="shared" si="9"/>
        <v>4.4445283407873445E-2</v>
      </c>
      <c r="Z27" s="116">
        <v>0.25</v>
      </c>
      <c r="AA27" s="121">
        <f t="shared" si="16"/>
        <v>1.1111320851968361E-2</v>
      </c>
      <c r="AB27" s="116">
        <v>0.25</v>
      </c>
      <c r="AC27" s="121">
        <f t="shared" si="7"/>
        <v>1.1111320851968361E-2</v>
      </c>
      <c r="AD27" s="116">
        <v>0.25</v>
      </c>
      <c r="AE27" s="121">
        <f t="shared" si="8"/>
        <v>1.1111320851968361E-2</v>
      </c>
      <c r="AF27" s="122">
        <f t="shared" si="10"/>
        <v>0.25</v>
      </c>
      <c r="AG27" s="121">
        <f t="shared" si="11"/>
        <v>1.1111320851968361E-2</v>
      </c>
      <c r="AH27" s="123">
        <f t="shared" si="12"/>
        <v>1</v>
      </c>
      <c r="AI27" s="184">
        <f t="shared" si="13"/>
        <v>1.1111320851968361E-2</v>
      </c>
      <c r="AJ27" s="120">
        <f t="shared" si="14"/>
        <v>1.1111320851968361E-2</v>
      </c>
      <c r="AK27" s="119">
        <f t="shared" si="15"/>
        <v>1.1111320851968361E-2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IF([1]Summ!$A1066="","",[1]Summ!$A1066)</f>
        <v>Purchase - desirable</v>
      </c>
      <c r="B28" s="216">
        <f>IF([1]Summ!E1066="",0,[1]Summ!E1066)</f>
        <v>6.7650971357409703E-2</v>
      </c>
      <c r="C28" s="216">
        <f>IF([1]Summ!F1066="",0,[1]Summ!F1066)</f>
        <v>-6.7650971357409703E-2</v>
      </c>
      <c r="D28" s="24">
        <f>SUM(B28,C28)</f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6.185868084925266E-2</v>
      </c>
      <c r="K28" s="22">
        <f t="shared" si="4"/>
        <v>6.7650971357409703E-2</v>
      </c>
      <c r="L28" s="22">
        <f t="shared" si="5"/>
        <v>6.7650971357409703E-2</v>
      </c>
      <c r="M28" s="228">
        <f t="shared" si="6"/>
        <v>6.185868084925266E-2</v>
      </c>
      <c r="N28" s="233"/>
      <c r="O28" s="2"/>
      <c r="P28" s="22"/>
      <c r="V28" s="56"/>
      <c r="W28" s="110"/>
      <c r="X28" s="118"/>
      <c r="Y28" s="184">
        <f t="shared" si="9"/>
        <v>0.24743472339701064</v>
      </c>
      <c r="Z28" s="116">
        <v>0</v>
      </c>
      <c r="AA28" s="121">
        <f t="shared" si="16"/>
        <v>0</v>
      </c>
      <c r="AB28" s="116">
        <v>0</v>
      </c>
      <c r="AC28" s="121">
        <f t="shared" si="7"/>
        <v>0</v>
      </c>
      <c r="AD28" s="116">
        <v>0.5</v>
      </c>
      <c r="AE28" s="121">
        <f t="shared" si="8"/>
        <v>0.12371736169850532</v>
      </c>
      <c r="AF28" s="122">
        <f t="shared" si="10"/>
        <v>0.5</v>
      </c>
      <c r="AG28" s="121">
        <f t="shared" si="11"/>
        <v>0.12371736169850532</v>
      </c>
      <c r="AH28" s="123">
        <f t="shared" si="12"/>
        <v>1</v>
      </c>
      <c r="AI28" s="184">
        <f t="shared" si="13"/>
        <v>6.185868084925266E-2</v>
      </c>
      <c r="AJ28" s="120">
        <f t="shared" si="14"/>
        <v>0</v>
      </c>
      <c r="AK28" s="119">
        <f t="shared" si="15"/>
        <v>0.12371736169850532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IF([1]Summ!$A1067="","",[1]Summ!$A1067)</f>
        <v>Purchase - fpl non staple</v>
      </c>
      <c r="B29" s="216">
        <f>IF([1]Summ!E1067="",0,[1]Summ!E1067)</f>
        <v>0.32853638415317549</v>
      </c>
      <c r="C29" s="216">
        <f>IF([1]Summ!F1067="",0,[1]Summ!F1067)</f>
        <v>0.15821073077892389</v>
      </c>
      <c r="D29" s="24">
        <f>SUM(B29,C29)</f>
        <v>0.48674711493209938</v>
      </c>
      <c r="E29" s="26">
        <v>1</v>
      </c>
      <c r="F29" s="22"/>
      <c r="H29" s="24">
        <f t="shared" si="1"/>
        <v>1</v>
      </c>
      <c r="I29" s="22">
        <f t="shared" si="2"/>
        <v>0.48674711493209938</v>
      </c>
      <c r="J29" s="24">
        <f>IF(I$32&lt;=1+I131,I29,B29*H29+J$33*(I29-B29*H29))</f>
        <v>0.34208242045970338</v>
      </c>
      <c r="K29" s="22">
        <f t="shared" si="4"/>
        <v>0.32853638415317549</v>
      </c>
      <c r="L29" s="22">
        <f t="shared" si="5"/>
        <v>0.32853638415317549</v>
      </c>
      <c r="M29" s="228">
        <f t="shared" si="6"/>
        <v>0.34208242045970338</v>
      </c>
      <c r="N29" s="233"/>
      <c r="P29" s="22"/>
      <c r="V29" s="56"/>
      <c r="W29" s="110"/>
      <c r="X29" s="118"/>
      <c r="Y29" s="184">
        <f t="shared" si="9"/>
        <v>1.3683296818388135</v>
      </c>
      <c r="Z29" s="116">
        <v>0.25</v>
      </c>
      <c r="AA29" s="121">
        <f t="shared" si="16"/>
        <v>0.34208242045970338</v>
      </c>
      <c r="AB29" s="116">
        <v>0.25</v>
      </c>
      <c r="AC29" s="121">
        <f t="shared" si="7"/>
        <v>0.34208242045970338</v>
      </c>
      <c r="AD29" s="116">
        <v>0.25</v>
      </c>
      <c r="AE29" s="121">
        <f t="shared" si="8"/>
        <v>0.34208242045970338</v>
      </c>
      <c r="AF29" s="122">
        <f t="shared" si="10"/>
        <v>0.25</v>
      </c>
      <c r="AG29" s="121">
        <f t="shared" si="11"/>
        <v>0.34208242045970338</v>
      </c>
      <c r="AH29" s="123">
        <f t="shared" si="12"/>
        <v>1</v>
      </c>
      <c r="AI29" s="184">
        <f t="shared" si="13"/>
        <v>0.34208242045970338</v>
      </c>
      <c r="AJ29" s="120">
        <f t="shared" si="14"/>
        <v>0.34208242045970338</v>
      </c>
      <c r="AK29" s="119">
        <f t="shared" si="15"/>
        <v>0.34208242045970338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tr">
        <f>IF([1]Summ!$A1068="","",[1]Summ!$A1068)</f>
        <v>Purchase - staple</v>
      </c>
      <c r="B30" s="216">
        <f>IF([1]Summ!E1068="",0,[1]Summ!E1068)</f>
        <v>0.39648161768368617</v>
      </c>
      <c r="C30" s="103"/>
      <c r="D30" s="24">
        <f>(D119-B124)</f>
        <v>4.3010436404852124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4.3010436404852124</v>
      </c>
      <c r="J30" s="235">
        <f>IF(I$32&lt;=$B$32,I30,$B$32-SUM(J6:J29))</f>
        <v>0.38361233619440305</v>
      </c>
      <c r="K30" s="22">
        <f t="shared" si="4"/>
        <v>0.39648161768368617</v>
      </c>
      <c r="L30" s="22">
        <f>IF(L124=L119,0,IF(K30="",0,(L119-L124)/(B119-B124)*K30))</f>
        <v>0.39648161768368617</v>
      </c>
      <c r="M30" s="175">
        <f t="shared" si="6"/>
        <v>0.38361233619440305</v>
      </c>
      <c r="N30" s="166" t="s">
        <v>86</v>
      </c>
      <c r="O30" s="2"/>
      <c r="P30" s="22"/>
      <c r="Q30" s="238" t="s">
        <v>141</v>
      </c>
      <c r="R30" s="238">
        <f t="shared" ref="R30:T33" si="50">IF(R24&gt;R$23,R24-R$23,0)</f>
        <v>0</v>
      </c>
      <c r="S30" s="238">
        <f t="shared" si="50"/>
        <v>0</v>
      </c>
      <c r="T30" s="238">
        <f t="shared" si="50"/>
        <v>0</v>
      </c>
      <c r="V30" s="56"/>
      <c r="W30" s="110"/>
      <c r="X30" s="118"/>
      <c r="Y30" s="184">
        <f>M30*4</f>
        <v>1.5344493447776122</v>
      </c>
      <c r="Z30" s="122">
        <f>IF($Y30=0,0,AA30/($Y$30))</f>
        <v>0</v>
      </c>
      <c r="AA30" s="188">
        <f>IF(AA79*4/$I$83+SUM(AA6:AA29)&lt;1,AA79*4/$I$83,1-SUM(AA6:AA29))</f>
        <v>0</v>
      </c>
      <c r="AB30" s="122">
        <f>IF($Y30=0,0,AC30/($Y$30))</f>
        <v>5.2149271960000868E-2</v>
      </c>
      <c r="AC30" s="188">
        <f>IF(AC79*4/$I$83+SUM(AC6:AC29)&lt;1,AC79*4/$I$83,1-SUM(AC6:AC29))</f>
        <v>8.0020416189652832E-2</v>
      </c>
      <c r="AD30" s="122">
        <f>IF($Y30=0,0,AE30/($Y$30))</f>
        <v>0.24312646866750237</v>
      </c>
      <c r="AE30" s="188">
        <f>IF(AE79*4/$I$83+SUM(AE6:AE29)&lt;1,AE79*4/$I$83,1-SUM(AE6:AE29))</f>
        <v>0.37306525054494366</v>
      </c>
      <c r="AF30" s="122">
        <f>IF($Y30=0,0,AG30/($Y$30))</f>
        <v>9.5457917815739965E-2</v>
      </c>
      <c r="AG30" s="188">
        <f>IF(AG79*4/$I$83+SUM(AG6:AG29)&lt;1,AG79*4/$I$83,1-SUM(AG6:AG29))</f>
        <v>0.14647533944619734</v>
      </c>
      <c r="AH30" s="123">
        <f t="shared" si="12"/>
        <v>0.3907336584432432</v>
      </c>
      <c r="AI30" s="184">
        <f t="shared" si="13"/>
        <v>0.14989025154519847</v>
      </c>
      <c r="AJ30" s="120">
        <f t="shared" si="14"/>
        <v>4.0010208094826416E-2</v>
      </c>
      <c r="AK30" s="119">
        <f t="shared" si="15"/>
        <v>0.25977029499557047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6">
        <f>($B$32-SUM(J6:J30))</f>
        <v>0</v>
      </c>
      <c r="K31" s="22" t="str">
        <f t="shared" si="4"/>
        <v/>
      </c>
      <c r="L31" s="22">
        <f>(1-SUM(L6:L30))</f>
        <v>-0.2020689686428867</v>
      </c>
      <c r="M31" s="178">
        <f t="shared" si="6"/>
        <v>0</v>
      </c>
      <c r="N31" s="167">
        <f>M31*I83</f>
        <v>0</v>
      </c>
      <c r="P31" s="22"/>
      <c r="Q31" s="242" t="s">
        <v>142</v>
      </c>
      <c r="R31" s="238">
        <f t="shared" si="50"/>
        <v>0</v>
      </c>
      <c r="S31" s="238">
        <f t="shared" si="50"/>
        <v>0</v>
      </c>
      <c r="T31" s="238">
        <f t="shared" si="50"/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0.12661246402527193</v>
      </c>
      <c r="AH31" s="123"/>
      <c r="AI31" s="183">
        <f>SUM(AA31,AC31,AE31,AG31)/4</f>
        <v>3.1653116006317983E-2</v>
      </c>
      <c r="AJ31" s="135">
        <f t="shared" si="14"/>
        <v>0</v>
      </c>
      <c r="AK31" s="136">
        <f t="shared" si="15"/>
        <v>6.3306232012635966E-2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1.2020689686428867</v>
      </c>
      <c r="C32" s="29">
        <f>SUM(C6:C31)</f>
        <v>0.15030658289598492</v>
      </c>
      <c r="D32" s="24">
        <f>SUM(D6:D30)</f>
        <v>5.2569375743403981</v>
      </c>
      <c r="E32" s="2"/>
      <c r="F32" s="2"/>
      <c r="H32" s="17"/>
      <c r="I32" s="22">
        <f>SUM(I6:I30)</f>
        <v>5.2569375743403981</v>
      </c>
      <c r="J32" s="17"/>
      <c r="L32" s="22">
        <f>SUM(L6:L30)</f>
        <v>1.2020689686428867</v>
      </c>
      <c r="M32" s="23"/>
      <c r="N32" s="56"/>
      <c r="O32" s="2"/>
      <c r="P32" s="22"/>
      <c r="Q32" s="238" t="s">
        <v>143</v>
      </c>
      <c r="R32" s="238">
        <f t="shared" si="50"/>
        <v>5935.8820951578964</v>
      </c>
      <c r="S32" s="238">
        <f t="shared" si="50"/>
        <v>5935.8820951578964</v>
      </c>
      <c r="T32" s="238">
        <f t="shared" si="50"/>
        <v>6047.2322205787423</v>
      </c>
      <c r="V32" s="56"/>
      <c r="W32" s="110"/>
      <c r="X32" s="118"/>
      <c r="Y32" s="115">
        <f>SUM(Y6:Y31)</f>
        <v>4.8082758745715468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0.87338753597472807</v>
      </c>
      <c r="AH32" s="127"/>
      <c r="AI32" s="110"/>
      <c r="AJ32" s="140">
        <f>SUM(AJ6:AJ31)</f>
        <v>0.99999999999999978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8.5620211978266317E-2</v>
      </c>
      <c r="K33" s="14"/>
      <c r="L33" s="11"/>
      <c r="M33" s="30"/>
      <c r="N33" s="168" t="s">
        <v>87</v>
      </c>
      <c r="O33" s="2"/>
      <c r="P33" s="2"/>
      <c r="Q33" s="242" t="s">
        <v>144</v>
      </c>
      <c r="R33" s="238">
        <f t="shared" si="50"/>
        <v>10591.882095157904</v>
      </c>
      <c r="S33" s="238">
        <f t="shared" si="50"/>
        <v>10591.882095157904</v>
      </c>
      <c r="T33" s="238">
        <f t="shared" si="50"/>
        <v>10703.23222057875</v>
      </c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185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41"/>
      <c r="S36" s="180"/>
      <c r="T36" s="180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IF([1]Summ!$A1072="","",[1]Summ!$A1072)</f>
        <v>Cattle sales - local: no. sold</v>
      </c>
      <c r="B37" s="217">
        <f>IF([1]Summ!E1072="",0,[1]Summ!E1072)</f>
        <v>6750</v>
      </c>
      <c r="C37" s="217">
        <f>IF([1]Summ!F1072="",0,[1]Summ!F1072)</f>
        <v>0</v>
      </c>
      <c r="D37" s="38">
        <f>SUM(B37,C37)</f>
        <v>6750</v>
      </c>
      <c r="E37" s="237">
        <v>1</v>
      </c>
      <c r="F37" s="26">
        <v>1</v>
      </c>
      <c r="G37" s="26">
        <v>1</v>
      </c>
      <c r="H37" s="24">
        <f t="shared" ref="H37:H49" si="51">(E37*F37)</f>
        <v>1</v>
      </c>
      <c r="I37" s="39">
        <f t="shared" ref="I37:I49" si="52">D37*H37</f>
        <v>6750</v>
      </c>
      <c r="J37" s="38">
        <f t="shared" ref="J37:J49" si="53">J91*I$83</f>
        <v>6750</v>
      </c>
      <c r="K37" s="40">
        <f t="shared" ref="K37:K49" si="54">(B37/B$65)</f>
        <v>0.12662739654072713</v>
      </c>
      <c r="L37" s="22">
        <f t="shared" ref="L37:L49" si="55">(K37*H37)</f>
        <v>0.12662739654072713</v>
      </c>
      <c r="M37" s="24">
        <f t="shared" ref="M37:M49" si="56">J37/B$65</f>
        <v>0.12662739654072713</v>
      </c>
      <c r="N37" s="2"/>
      <c r="O37" s="2"/>
      <c r="Q37" s="2"/>
      <c r="R37" s="180">
        <v>28391</v>
      </c>
      <c r="S37" s="180">
        <v>32156</v>
      </c>
      <c r="T37" s="22">
        <f>S37/R37</f>
        <v>1.1326124476066359</v>
      </c>
      <c r="U37" s="56"/>
      <c r="V37" s="56"/>
      <c r="W37" s="115"/>
      <c r="X37" s="118"/>
      <c r="Y37" s="110"/>
      <c r="Z37" s="122">
        <f>IF($J37=0,0,AA37/($J37))</f>
        <v>0.21668849933306758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1462.6473704982061</v>
      </c>
      <c r="AB37" s="122">
        <f>IF($J37=0,0,AC37/($J37))</f>
        <v>0.27379705133020671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1848.1300964788954</v>
      </c>
      <c r="AD37" s="122">
        <f>IF($J37=0,0,AE37/($J37))</f>
        <v>0.26027337692201358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1756.8452942235917</v>
      </c>
      <c r="AF37" s="122">
        <f t="shared" ref="AF37:AF64" si="57">1-SUM(Z37,AB37,AD37)</f>
        <v>0.24924107241471216</v>
      </c>
      <c r="AG37" s="147">
        <f>$J37*AF37</f>
        <v>1682.3772387993072</v>
      </c>
      <c r="AH37" s="123">
        <f>SUM(Z37,AB37,AD37,AF37)</f>
        <v>1</v>
      </c>
      <c r="AI37" s="112">
        <f>SUM(AA37,AC37,AE37,AG37)</f>
        <v>6750</v>
      </c>
      <c r="AJ37" s="148">
        <f>(AA37+AC37)</f>
        <v>3310.7774669771015</v>
      </c>
      <c r="AK37" s="147">
        <f>(AE37+AG37)</f>
        <v>3439.2225330228989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IF([1]Summ!$A1073="","",[1]Summ!$A1073)</f>
        <v>Goat sales - local: no. sold</v>
      </c>
      <c r="B38" s="217">
        <f>IF([1]Summ!E1073="",0,[1]Summ!E1073)</f>
        <v>3000</v>
      </c>
      <c r="C38" s="217">
        <f>IF([1]Summ!F1073="",0,[1]Summ!F1073)</f>
        <v>-2500</v>
      </c>
      <c r="D38" s="38">
        <f t="shared" ref="D38:D47" si="58">SUM(B38,C38)</f>
        <v>500</v>
      </c>
      <c r="E38" s="26">
        <v>1</v>
      </c>
      <c r="F38" s="26">
        <v>1</v>
      </c>
      <c r="G38" s="22">
        <f t="shared" ref="G38:G64" si="59">(G$37)</f>
        <v>1</v>
      </c>
      <c r="H38" s="24">
        <f t="shared" si="51"/>
        <v>1</v>
      </c>
      <c r="I38" s="39">
        <f t="shared" si="52"/>
        <v>500</v>
      </c>
      <c r="J38" s="38">
        <f t="shared" si="53"/>
        <v>2785.9494700543346</v>
      </c>
      <c r="K38" s="40">
        <f t="shared" si="54"/>
        <v>5.6278842906989833E-2</v>
      </c>
      <c r="L38" s="22">
        <f t="shared" si="55"/>
        <v>5.6278842906989833E-2</v>
      </c>
      <c r="M38" s="24">
        <f t="shared" si="56"/>
        <v>5.2263337523999823E-2</v>
      </c>
      <c r="N38" s="2"/>
      <c r="O38" s="2"/>
      <c r="P38" s="2"/>
      <c r="Q38" s="59"/>
      <c r="R38" s="180">
        <v>17060</v>
      </c>
      <c r="S38" s="180">
        <v>19322</v>
      </c>
      <c r="T38" s="22">
        <f t="shared" ref="T38:T41" si="60">S38/R38</f>
        <v>1.132590855803048</v>
      </c>
      <c r="U38" s="56"/>
      <c r="V38" s="56"/>
      <c r="W38" s="115"/>
      <c r="X38" s="118"/>
      <c r="Y38" s="110"/>
      <c r="Z38" s="122">
        <f>IF($J38=0,0,AA38/($J38))</f>
        <v>0.21668849933306758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603.68320988382868</v>
      </c>
      <c r="AB38" s="122">
        <f>IF($J38=0,0,AC38/($J38))</f>
        <v>0.27379705133020676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762.78475005582891</v>
      </c>
      <c r="AD38" s="122">
        <f>IF($J38=0,0,AE38/($J38))</f>
        <v>0.26027337692201363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725.10847650513597</v>
      </c>
      <c r="AF38" s="122">
        <f t="shared" si="57"/>
        <v>0.24924107241471205</v>
      </c>
      <c r="AG38" s="147">
        <f t="shared" ref="AG38:AG64" si="61">$J38*AF38</f>
        <v>694.37303360954104</v>
      </c>
      <c r="AH38" s="123">
        <f t="shared" ref="AH38:AI58" si="62">SUM(Z38,AB38,AD38,AF38)</f>
        <v>1</v>
      </c>
      <c r="AI38" s="112">
        <f t="shared" si="62"/>
        <v>2785.9494700543346</v>
      </c>
      <c r="AJ38" s="148">
        <f t="shared" ref="AJ38:AJ64" si="63">(AA38+AC38)</f>
        <v>1366.4679599396577</v>
      </c>
      <c r="AK38" s="147">
        <f t="shared" ref="AK38:AK64" si="64">(AE38+AG38)</f>
        <v>1419.4815101146769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IF([1]Summ!$A1074="","",[1]Summ!$A1074)</f>
        <v>Sheep sales - local: no. sold</v>
      </c>
      <c r="B39" s="217">
        <f>IF([1]Summ!E1074="",0,[1]Summ!E1074)</f>
        <v>0</v>
      </c>
      <c r="C39" s="217">
        <f>IF([1]Summ!F1074="",0,[1]Summ!F1074)</f>
        <v>0</v>
      </c>
      <c r="D39" s="38">
        <f t="shared" si="58"/>
        <v>0</v>
      </c>
      <c r="E39" s="26">
        <v>1</v>
      </c>
      <c r="F39" s="26">
        <v>1</v>
      </c>
      <c r="G39" s="22">
        <f t="shared" si="59"/>
        <v>1</v>
      </c>
      <c r="H39" s="24">
        <f t="shared" si="51"/>
        <v>1</v>
      </c>
      <c r="I39" s="39">
        <f t="shared" si="52"/>
        <v>0</v>
      </c>
      <c r="J39" s="38">
        <f t="shared" si="53"/>
        <v>0</v>
      </c>
      <c r="K39" s="40">
        <f t="shared" si="54"/>
        <v>0</v>
      </c>
      <c r="L39" s="22">
        <f t="shared" si="55"/>
        <v>0</v>
      </c>
      <c r="M39" s="24">
        <f t="shared" si="56"/>
        <v>0</v>
      </c>
      <c r="N39" s="2"/>
      <c r="O39" s="2"/>
      <c r="P39" s="2"/>
      <c r="Q39" s="59"/>
      <c r="R39" s="180">
        <v>31038</v>
      </c>
      <c r="S39" s="180">
        <v>35155</v>
      </c>
      <c r="T39" s="22">
        <f t="shared" si="60"/>
        <v>1.1326438559185514</v>
      </c>
      <c r="U39" s="56"/>
      <c r="V39" s="56"/>
      <c r="W39" s="115"/>
      <c r="X39" s="118">
        <v>1</v>
      </c>
      <c r="Y39" s="110"/>
      <c r="Z39" s="122">
        <f>Z8</f>
        <v>0.54240246312756391</v>
      </c>
      <c r="AA39" s="147">
        <f t="shared" ref="AA39:AA64" si="65">$J39*Z39</f>
        <v>0</v>
      </c>
      <c r="AB39" s="122">
        <f>AB8</f>
        <v>0.45759753687243604</v>
      </c>
      <c r="AC39" s="147">
        <f t="shared" ref="AC39:AC64" si="66">$J39*AB39</f>
        <v>0</v>
      </c>
      <c r="AD39" s="122">
        <f>AD8</f>
        <v>0</v>
      </c>
      <c r="AE39" s="147">
        <f t="shared" ref="AE39:AE64" si="67">$J39*AD39</f>
        <v>0</v>
      </c>
      <c r="AF39" s="122">
        <f t="shared" si="57"/>
        <v>0</v>
      </c>
      <c r="AG39" s="147">
        <f t="shared" si="61"/>
        <v>0</v>
      </c>
      <c r="AH39" s="123">
        <f t="shared" si="62"/>
        <v>1</v>
      </c>
      <c r="AI39" s="112">
        <f t="shared" si="62"/>
        <v>0</v>
      </c>
      <c r="AJ39" s="148">
        <f t="shared" si="63"/>
        <v>0</v>
      </c>
      <c r="AK39" s="147">
        <f t="shared" si="64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IF([1]Summ!$A1075="","",[1]Summ!$A1075)</f>
        <v>Chicken sales: no. sold</v>
      </c>
      <c r="B40" s="217">
        <f>IF([1]Summ!E1075="",0,[1]Summ!E1075)</f>
        <v>0</v>
      </c>
      <c r="C40" s="217">
        <f>IF([1]Summ!F1075="",0,[1]Summ!F1075)</f>
        <v>0</v>
      </c>
      <c r="D40" s="38">
        <f t="shared" si="58"/>
        <v>0</v>
      </c>
      <c r="E40" s="75">
        <f>E10</f>
        <v>1</v>
      </c>
      <c r="F40" s="26">
        <v>1</v>
      </c>
      <c r="G40" s="22">
        <f t="shared" si="59"/>
        <v>1</v>
      </c>
      <c r="H40" s="24">
        <f t="shared" si="51"/>
        <v>1</v>
      </c>
      <c r="I40" s="39">
        <f t="shared" si="52"/>
        <v>0</v>
      </c>
      <c r="J40" s="38">
        <f t="shared" si="53"/>
        <v>0</v>
      </c>
      <c r="K40" s="40">
        <f t="shared" si="54"/>
        <v>0</v>
      </c>
      <c r="L40" s="22">
        <f t="shared" si="55"/>
        <v>0</v>
      </c>
      <c r="M40" s="24">
        <f t="shared" si="56"/>
        <v>0</v>
      </c>
      <c r="N40" s="2"/>
      <c r="O40" s="2"/>
      <c r="P40" s="2"/>
      <c r="Q40" s="56"/>
      <c r="R40" s="180">
        <v>58782</v>
      </c>
      <c r="S40" s="180">
        <v>66578</v>
      </c>
      <c r="T40" s="22">
        <f t="shared" si="60"/>
        <v>1.1326256336973903</v>
      </c>
      <c r="U40" s="56"/>
      <c r="V40" s="56"/>
      <c r="W40" s="115"/>
      <c r="X40" s="118">
        <v>1</v>
      </c>
      <c r="Y40" s="110"/>
      <c r="Z40" s="122">
        <f>Z9</f>
        <v>0.54240246312756402</v>
      </c>
      <c r="AA40" s="147">
        <f t="shared" si="65"/>
        <v>0</v>
      </c>
      <c r="AB40" s="122">
        <f>AB9</f>
        <v>0.45759753687243598</v>
      </c>
      <c r="AC40" s="147">
        <f t="shared" si="66"/>
        <v>0</v>
      </c>
      <c r="AD40" s="122">
        <f>AD9</f>
        <v>0</v>
      </c>
      <c r="AE40" s="147">
        <f t="shared" si="67"/>
        <v>0</v>
      </c>
      <c r="AF40" s="122">
        <f t="shared" si="57"/>
        <v>0</v>
      </c>
      <c r="AG40" s="147">
        <f t="shared" si="61"/>
        <v>0</v>
      </c>
      <c r="AH40" s="123">
        <f t="shared" si="62"/>
        <v>1</v>
      </c>
      <c r="AI40" s="112">
        <f t="shared" si="62"/>
        <v>0</v>
      </c>
      <c r="AJ40" s="148">
        <f t="shared" si="63"/>
        <v>0</v>
      </c>
      <c r="AK40" s="147">
        <f t="shared" si="64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IF([1]Summ!$A1076="","",[1]Summ!$A1076)</f>
        <v>Maize: kg produced</v>
      </c>
      <c r="B41" s="217">
        <f>IF([1]Summ!E1076="",0,[1]Summ!E1076)</f>
        <v>0</v>
      </c>
      <c r="C41" s="217">
        <f>IF([1]Summ!F1076="",0,[1]Summ!F1076)</f>
        <v>0</v>
      </c>
      <c r="D41" s="38">
        <f t="shared" si="58"/>
        <v>0</v>
      </c>
      <c r="E41" s="75">
        <f>E12</f>
        <v>1</v>
      </c>
      <c r="F41" s="26">
        <v>1</v>
      </c>
      <c r="G41" s="22">
        <f t="shared" si="59"/>
        <v>1</v>
      </c>
      <c r="H41" s="24">
        <f t="shared" si="51"/>
        <v>1</v>
      </c>
      <c r="I41" s="39">
        <f t="shared" si="52"/>
        <v>0</v>
      </c>
      <c r="J41" s="38">
        <f t="shared" si="53"/>
        <v>0</v>
      </c>
      <c r="K41" s="40">
        <f t="shared" si="54"/>
        <v>0</v>
      </c>
      <c r="L41" s="22">
        <f t="shared" si="55"/>
        <v>0</v>
      </c>
      <c r="M41" s="24">
        <f t="shared" si="56"/>
        <v>0</v>
      </c>
      <c r="N41" s="2"/>
      <c r="O41" s="2"/>
      <c r="P41" s="2"/>
      <c r="Q41" s="59"/>
      <c r="R41" s="180">
        <v>62522</v>
      </c>
      <c r="S41" s="180">
        <v>70814</v>
      </c>
      <c r="T41" s="224">
        <f t="shared" si="60"/>
        <v>1.1326253158888071</v>
      </c>
      <c r="U41" s="56"/>
      <c r="V41" s="56"/>
      <c r="W41" s="115"/>
      <c r="X41" s="118">
        <v>1</v>
      </c>
      <c r="Y41" s="110"/>
      <c r="Z41" s="122">
        <f>Z11</f>
        <v>0.54240246312756402</v>
      </c>
      <c r="AA41" s="147">
        <f t="shared" si="65"/>
        <v>0</v>
      </c>
      <c r="AB41" s="122">
        <f>AB11</f>
        <v>0.45759753687243604</v>
      </c>
      <c r="AC41" s="147">
        <f t="shared" si="66"/>
        <v>0</v>
      </c>
      <c r="AD41" s="122">
        <f>AD11</f>
        <v>0</v>
      </c>
      <c r="AE41" s="147">
        <f t="shared" si="67"/>
        <v>0</v>
      </c>
      <c r="AF41" s="122">
        <f t="shared" si="57"/>
        <v>0</v>
      </c>
      <c r="AG41" s="147">
        <f t="shared" si="61"/>
        <v>0</v>
      </c>
      <c r="AH41" s="123">
        <f t="shared" si="62"/>
        <v>1</v>
      </c>
      <c r="AI41" s="112">
        <f t="shared" si="62"/>
        <v>0</v>
      </c>
      <c r="AJ41" s="148">
        <f t="shared" si="63"/>
        <v>0</v>
      </c>
      <c r="AK41" s="147">
        <f t="shared" si="64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IF([1]Summ!$A1077="","",[1]Summ!$A1077)</f>
        <v>Beans: kg produced</v>
      </c>
      <c r="B42" s="217">
        <f>IF([1]Summ!E1077="",0,[1]Summ!E1077)</f>
        <v>1500</v>
      </c>
      <c r="C42" s="217">
        <f>IF([1]Summ!F1077="",0,[1]Summ!F1077)</f>
        <v>0</v>
      </c>
      <c r="D42" s="38">
        <f t="shared" si="58"/>
        <v>1500</v>
      </c>
      <c r="E42" s="75">
        <f>E14</f>
        <v>1</v>
      </c>
      <c r="F42" s="26">
        <v>1</v>
      </c>
      <c r="G42" s="22">
        <f t="shared" si="59"/>
        <v>1</v>
      </c>
      <c r="H42" s="24">
        <f t="shared" si="51"/>
        <v>1</v>
      </c>
      <c r="I42" s="39">
        <f t="shared" si="52"/>
        <v>1500</v>
      </c>
      <c r="J42" s="38">
        <f t="shared" si="53"/>
        <v>1500</v>
      </c>
      <c r="K42" s="40">
        <f t="shared" si="54"/>
        <v>2.8139421453494916E-2</v>
      </c>
      <c r="L42" s="22">
        <f t="shared" si="55"/>
        <v>2.8139421453494916E-2</v>
      </c>
      <c r="M42" s="24">
        <f t="shared" si="56"/>
        <v>2.8139421453494916E-2</v>
      </c>
      <c r="N42" s="2"/>
      <c r="O42" s="2"/>
      <c r="P42" s="56"/>
      <c r="Q42" s="41"/>
      <c r="R42" s="41"/>
      <c r="S42" s="247"/>
      <c r="T42" s="247"/>
      <c r="U42" s="56"/>
      <c r="V42" s="56"/>
      <c r="W42" s="115"/>
      <c r="X42" s="118"/>
      <c r="Y42" s="110"/>
      <c r="Z42" s="116">
        <v>0.25</v>
      </c>
      <c r="AA42" s="147">
        <f t="shared" si="65"/>
        <v>375</v>
      </c>
      <c r="AB42" s="116">
        <v>0</v>
      </c>
      <c r="AC42" s="147">
        <f t="shared" si="66"/>
        <v>0</v>
      </c>
      <c r="AD42" s="116">
        <v>0.5</v>
      </c>
      <c r="AE42" s="147">
        <f t="shared" si="67"/>
        <v>750</v>
      </c>
      <c r="AF42" s="122">
        <f t="shared" si="57"/>
        <v>0.25</v>
      </c>
      <c r="AG42" s="147">
        <f t="shared" si="61"/>
        <v>375</v>
      </c>
      <c r="AH42" s="123">
        <f t="shared" si="62"/>
        <v>1</v>
      </c>
      <c r="AI42" s="112">
        <f t="shared" si="62"/>
        <v>1500</v>
      </c>
      <c r="AJ42" s="148">
        <f t="shared" si="63"/>
        <v>375</v>
      </c>
      <c r="AK42" s="147">
        <f t="shared" si="64"/>
        <v>1125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IF([1]Summ!$A1078="","",[1]Summ!$A1078)</f>
        <v>potatoes: kg produced</v>
      </c>
      <c r="B43" s="217">
        <f>IF([1]Summ!E1078="",0,[1]Summ!E1078)</f>
        <v>160</v>
      </c>
      <c r="C43" s="217">
        <f>IF([1]Summ!F1078="",0,[1]Summ!F1078)</f>
        <v>-160</v>
      </c>
      <c r="D43" s="38">
        <f t="shared" si="58"/>
        <v>0</v>
      </c>
      <c r="E43" s="75">
        <f>E16</f>
        <v>1</v>
      </c>
      <c r="F43" s="26">
        <v>1</v>
      </c>
      <c r="G43" s="22">
        <f t="shared" si="59"/>
        <v>1</v>
      </c>
      <c r="H43" s="24">
        <f t="shared" si="51"/>
        <v>1</v>
      </c>
      <c r="I43" s="39">
        <f t="shared" si="52"/>
        <v>0</v>
      </c>
      <c r="J43" s="38">
        <f t="shared" si="53"/>
        <v>146.30076608347738</v>
      </c>
      <c r="K43" s="40">
        <f t="shared" si="54"/>
        <v>3.0015382883727911E-3</v>
      </c>
      <c r="L43" s="22">
        <f t="shared" si="55"/>
        <v>3.0015382883727911E-3</v>
      </c>
      <c r="M43" s="24">
        <f t="shared" si="56"/>
        <v>2.7445459438614301E-3</v>
      </c>
      <c r="N43" s="2"/>
      <c r="O43" s="2"/>
      <c r="P43" s="59"/>
      <c r="Q43" s="41"/>
      <c r="R43" s="41"/>
      <c r="S43" s="225"/>
      <c r="T43" s="225"/>
      <c r="U43" s="56"/>
      <c r="V43" s="56"/>
      <c r="W43" s="115"/>
      <c r="X43" s="118"/>
      <c r="Y43" s="110"/>
      <c r="Z43" s="116">
        <v>0.25</v>
      </c>
      <c r="AA43" s="147">
        <f t="shared" si="65"/>
        <v>36.575191520869346</v>
      </c>
      <c r="AB43" s="116">
        <v>0.25</v>
      </c>
      <c r="AC43" s="147">
        <f t="shared" si="66"/>
        <v>36.575191520869346</v>
      </c>
      <c r="AD43" s="116">
        <v>0.25</v>
      </c>
      <c r="AE43" s="147">
        <f t="shared" si="67"/>
        <v>36.575191520869346</v>
      </c>
      <c r="AF43" s="122">
        <f t="shared" si="57"/>
        <v>0.25</v>
      </c>
      <c r="AG43" s="147">
        <f t="shared" si="61"/>
        <v>36.575191520869346</v>
      </c>
      <c r="AH43" s="123">
        <f t="shared" si="62"/>
        <v>1</v>
      </c>
      <c r="AI43" s="112">
        <f t="shared" si="62"/>
        <v>146.30076608347738</v>
      </c>
      <c r="AJ43" s="148">
        <f t="shared" si="63"/>
        <v>73.150383041738692</v>
      </c>
      <c r="AK43" s="147">
        <f t="shared" si="64"/>
        <v>73.150383041738692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IF([1]Summ!$A1079="","",[1]Summ!$A1079)</f>
        <v>WILD FOODS -- see worksheet Data 3</v>
      </c>
      <c r="B44" s="217">
        <f>IF([1]Summ!E1079="",0,[1]Summ!E1079)</f>
        <v>0</v>
      </c>
      <c r="C44" s="217">
        <f>IF([1]Summ!F1079="",0,[1]Summ!F1079)</f>
        <v>750</v>
      </c>
      <c r="D44" s="38">
        <f t="shared" si="58"/>
        <v>750</v>
      </c>
      <c r="E44" s="75">
        <f>E17</f>
        <v>1</v>
      </c>
      <c r="F44" s="26">
        <v>1</v>
      </c>
      <c r="G44" s="22">
        <f t="shared" si="59"/>
        <v>1</v>
      </c>
      <c r="H44" s="24">
        <f t="shared" si="51"/>
        <v>1</v>
      </c>
      <c r="I44" s="39">
        <f t="shared" si="52"/>
        <v>750</v>
      </c>
      <c r="J44" s="38">
        <f t="shared" si="53"/>
        <v>64.215158983699752</v>
      </c>
      <c r="K44" s="40">
        <f t="shared" si="54"/>
        <v>0</v>
      </c>
      <c r="L44" s="22">
        <f t="shared" si="55"/>
        <v>0</v>
      </c>
      <c r="M44" s="24">
        <f t="shared" si="56"/>
        <v>1.204651614897005E-3</v>
      </c>
      <c r="N44" s="2"/>
      <c r="O44" s="2"/>
      <c r="P44" s="2"/>
      <c r="Q44" s="41"/>
      <c r="R44" s="41"/>
      <c r="S44" s="224"/>
      <c r="T44" s="224"/>
      <c r="U44" s="56"/>
      <c r="V44" s="56"/>
      <c r="W44" s="117"/>
      <c r="X44" s="118"/>
      <c r="Y44" s="110"/>
      <c r="Z44" s="116">
        <v>0.25</v>
      </c>
      <c r="AA44" s="147">
        <f t="shared" si="65"/>
        <v>16.053789745924938</v>
      </c>
      <c r="AB44" s="116">
        <v>0.25</v>
      </c>
      <c r="AC44" s="147">
        <f t="shared" si="66"/>
        <v>16.053789745924938</v>
      </c>
      <c r="AD44" s="116">
        <v>0.25</v>
      </c>
      <c r="AE44" s="147">
        <f t="shared" si="67"/>
        <v>16.053789745924938</v>
      </c>
      <c r="AF44" s="122">
        <f t="shared" si="57"/>
        <v>0.25</v>
      </c>
      <c r="AG44" s="147">
        <f t="shared" si="61"/>
        <v>16.053789745924938</v>
      </c>
      <c r="AH44" s="123">
        <f t="shared" si="62"/>
        <v>1</v>
      </c>
      <c r="AI44" s="112">
        <f t="shared" si="62"/>
        <v>64.215158983699752</v>
      </c>
      <c r="AJ44" s="148">
        <f t="shared" si="63"/>
        <v>32.107579491849876</v>
      </c>
      <c r="AK44" s="147">
        <f t="shared" si="64"/>
        <v>32.107579491849876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IF([1]Summ!$A1080="","",[1]Summ!$A1080)</f>
        <v>Agricultural cash income -- see Data2</v>
      </c>
      <c r="B45" s="217">
        <f>IF([1]Summ!E1080="",0,[1]Summ!E1080)</f>
        <v>2760</v>
      </c>
      <c r="C45" s="217">
        <f>IF([1]Summ!F1080="",0,[1]Summ!F1080)</f>
        <v>0</v>
      </c>
      <c r="D45" s="38">
        <f t="shared" si="58"/>
        <v>2760</v>
      </c>
      <c r="E45" s="75">
        <f>E18</f>
        <v>1</v>
      </c>
      <c r="F45" s="26">
        <v>1</v>
      </c>
      <c r="G45" s="22">
        <f t="shared" si="59"/>
        <v>1</v>
      </c>
      <c r="H45" s="24">
        <f t="shared" si="51"/>
        <v>1</v>
      </c>
      <c r="I45" s="39">
        <f t="shared" si="52"/>
        <v>2760</v>
      </c>
      <c r="J45" s="38">
        <f t="shared" si="53"/>
        <v>2760</v>
      </c>
      <c r="K45" s="40">
        <f t="shared" si="54"/>
        <v>5.1776535474430646E-2</v>
      </c>
      <c r="L45" s="22">
        <f t="shared" si="55"/>
        <v>5.1776535474430646E-2</v>
      </c>
      <c r="M45" s="24">
        <f t="shared" si="56"/>
        <v>5.1776535474430646E-2</v>
      </c>
      <c r="N45" s="2"/>
      <c r="O45" s="2"/>
      <c r="P45" s="56"/>
      <c r="Q45" s="41"/>
      <c r="R45" s="41"/>
      <c r="U45" s="56"/>
      <c r="V45" s="56"/>
      <c r="W45" s="110"/>
      <c r="X45" s="118"/>
      <c r="Y45" s="110"/>
      <c r="Z45" s="116">
        <v>0.25</v>
      </c>
      <c r="AA45" s="147">
        <f t="shared" si="65"/>
        <v>690</v>
      </c>
      <c r="AB45" s="116">
        <v>0.25</v>
      </c>
      <c r="AC45" s="147">
        <f t="shared" si="66"/>
        <v>690</v>
      </c>
      <c r="AD45" s="116">
        <v>0.25</v>
      </c>
      <c r="AE45" s="147">
        <f t="shared" si="67"/>
        <v>690</v>
      </c>
      <c r="AF45" s="122">
        <f t="shared" si="57"/>
        <v>0.25</v>
      </c>
      <c r="AG45" s="147">
        <f t="shared" si="61"/>
        <v>690</v>
      </c>
      <c r="AH45" s="123">
        <f t="shared" si="62"/>
        <v>1</v>
      </c>
      <c r="AI45" s="112">
        <f t="shared" si="62"/>
        <v>2760</v>
      </c>
      <c r="AJ45" s="148">
        <f t="shared" si="63"/>
        <v>1380</v>
      </c>
      <c r="AK45" s="147">
        <f t="shared" si="64"/>
        <v>1380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IF([1]Summ!$A1081="","",[1]Summ!$A1081)</f>
        <v>Construction cash income -- see Data2</v>
      </c>
      <c r="B46" s="217">
        <f>IF([1]Summ!E1081="",0,[1]Summ!E1081)</f>
        <v>0</v>
      </c>
      <c r="C46" s="217">
        <f>IF([1]Summ!F1081="",0,[1]Summ!F1081)</f>
        <v>0</v>
      </c>
      <c r="D46" s="38">
        <f t="shared" si="58"/>
        <v>0</v>
      </c>
      <c r="E46" s="75">
        <f>E19</f>
        <v>1</v>
      </c>
      <c r="F46" s="26">
        <v>1</v>
      </c>
      <c r="G46" s="22">
        <f t="shared" si="59"/>
        <v>1</v>
      </c>
      <c r="H46" s="24">
        <f t="shared" si="51"/>
        <v>1</v>
      </c>
      <c r="I46" s="39">
        <f t="shared" si="52"/>
        <v>0</v>
      </c>
      <c r="J46" s="38">
        <f t="shared" si="53"/>
        <v>0</v>
      </c>
      <c r="K46" s="40">
        <f t="shared" si="54"/>
        <v>0</v>
      </c>
      <c r="L46" s="22">
        <f t="shared" si="55"/>
        <v>0</v>
      </c>
      <c r="M46" s="24">
        <f t="shared" si="56"/>
        <v>0</v>
      </c>
      <c r="N46" s="2"/>
      <c r="O46" s="2"/>
      <c r="P46" s="2"/>
      <c r="U46" s="56"/>
      <c r="V46" s="56"/>
      <c r="W46" s="110"/>
      <c r="X46" s="118"/>
      <c r="Y46" s="110"/>
      <c r="Z46" s="116">
        <v>0.25</v>
      </c>
      <c r="AA46" s="147">
        <f t="shared" si="65"/>
        <v>0</v>
      </c>
      <c r="AB46" s="116">
        <v>0.25</v>
      </c>
      <c r="AC46" s="147">
        <f t="shared" si="66"/>
        <v>0</v>
      </c>
      <c r="AD46" s="116">
        <v>0.25</v>
      </c>
      <c r="AE46" s="147">
        <f t="shared" si="67"/>
        <v>0</v>
      </c>
      <c r="AF46" s="122">
        <f t="shared" si="57"/>
        <v>0.25</v>
      </c>
      <c r="AG46" s="147">
        <f t="shared" si="61"/>
        <v>0</v>
      </c>
      <c r="AH46" s="123">
        <f t="shared" si="62"/>
        <v>1</v>
      </c>
      <c r="AI46" s="112">
        <f t="shared" si="62"/>
        <v>0</v>
      </c>
      <c r="AJ46" s="148">
        <f t="shared" si="63"/>
        <v>0</v>
      </c>
      <c r="AK46" s="147">
        <f t="shared" si="64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IF([1]Summ!$A1082="","",[1]Summ!$A1082)</f>
        <v>Domestic work cash income -- see Data2</v>
      </c>
      <c r="B47" s="217">
        <f>IF([1]Summ!E1082="",0,[1]Summ!E1082)</f>
        <v>2200</v>
      </c>
      <c r="C47" s="217">
        <f>IF([1]Summ!F1082="",0,[1]Summ!F1082)</f>
        <v>0</v>
      </c>
      <c r="D47" s="38">
        <f t="shared" si="58"/>
        <v>2200</v>
      </c>
      <c r="E47" s="26">
        <v>1</v>
      </c>
      <c r="F47" s="26">
        <v>1</v>
      </c>
      <c r="G47" s="22">
        <f t="shared" si="59"/>
        <v>1</v>
      </c>
      <c r="H47" s="24">
        <f t="shared" si="51"/>
        <v>1</v>
      </c>
      <c r="I47" s="39">
        <f t="shared" si="52"/>
        <v>2200</v>
      </c>
      <c r="J47" s="38">
        <f t="shared" si="53"/>
        <v>2200</v>
      </c>
      <c r="K47" s="40">
        <f t="shared" si="54"/>
        <v>4.1271151465125874E-2</v>
      </c>
      <c r="L47" s="22">
        <f t="shared" si="55"/>
        <v>4.1271151465125874E-2</v>
      </c>
      <c r="M47" s="24">
        <f t="shared" si="56"/>
        <v>4.1271151465125874E-2</v>
      </c>
      <c r="N47" s="2"/>
      <c r="O47" s="2"/>
      <c r="P47" s="59"/>
      <c r="Q47" s="249"/>
      <c r="R47" s="249"/>
      <c r="U47" s="56"/>
      <c r="V47" s="56"/>
      <c r="W47" s="110"/>
      <c r="X47" s="118"/>
      <c r="Y47" s="110"/>
      <c r="Z47" s="116">
        <v>0.25</v>
      </c>
      <c r="AA47" s="147">
        <f t="shared" si="65"/>
        <v>550</v>
      </c>
      <c r="AB47" s="116">
        <v>0.25</v>
      </c>
      <c r="AC47" s="147">
        <f t="shared" si="66"/>
        <v>550</v>
      </c>
      <c r="AD47" s="116">
        <v>0.25</v>
      </c>
      <c r="AE47" s="147">
        <f t="shared" si="67"/>
        <v>550</v>
      </c>
      <c r="AF47" s="122">
        <f t="shared" si="57"/>
        <v>0.25</v>
      </c>
      <c r="AG47" s="147">
        <f t="shared" si="61"/>
        <v>550</v>
      </c>
      <c r="AH47" s="123">
        <f t="shared" si="62"/>
        <v>1</v>
      </c>
      <c r="AI47" s="112">
        <f t="shared" si="62"/>
        <v>2200</v>
      </c>
      <c r="AJ47" s="148">
        <f t="shared" si="63"/>
        <v>1100</v>
      </c>
      <c r="AK47" s="147">
        <f t="shared" si="64"/>
        <v>1100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IF([1]Summ!$A1083="","",[1]Summ!$A1083)</f>
        <v>Labour migration(formal employment): no. people per HH</v>
      </c>
      <c r="B48" s="217">
        <f>IF([1]Summ!E1083="",0,[1]Summ!E1083)</f>
        <v>0</v>
      </c>
      <c r="C48" s="217">
        <f>IF([1]Summ!F1083="",0,[1]Summ!F1083)</f>
        <v>0</v>
      </c>
      <c r="D48" s="38">
        <f>SUM(B48,C48)</f>
        <v>0</v>
      </c>
      <c r="E48" s="26">
        <v>1</v>
      </c>
      <c r="F48" s="26">
        <v>1</v>
      </c>
      <c r="G48" s="22">
        <f t="shared" si="59"/>
        <v>1</v>
      </c>
      <c r="H48" s="24">
        <f t="shared" si="51"/>
        <v>1</v>
      </c>
      <c r="I48" s="39">
        <f t="shared" si="52"/>
        <v>0</v>
      </c>
      <c r="J48" s="38">
        <f t="shared" si="53"/>
        <v>0</v>
      </c>
      <c r="K48" s="40">
        <f t="shared" si="54"/>
        <v>0</v>
      </c>
      <c r="L48" s="22">
        <f t="shared" si="55"/>
        <v>0</v>
      </c>
      <c r="M48" s="24">
        <f t="shared" si="56"/>
        <v>0</v>
      </c>
      <c r="N48" s="2"/>
      <c r="O48" s="2"/>
      <c r="P48" s="59"/>
      <c r="Q48" s="249"/>
      <c r="R48" s="249"/>
      <c r="U48" s="56"/>
      <c r="V48" s="56"/>
      <c r="W48" s="110"/>
      <c r="X48" s="118"/>
      <c r="Y48" s="110"/>
      <c r="Z48" s="116">
        <v>0.25</v>
      </c>
      <c r="AA48" s="147">
        <f t="shared" si="65"/>
        <v>0</v>
      </c>
      <c r="AB48" s="116">
        <v>0.25</v>
      </c>
      <c r="AC48" s="147">
        <f t="shared" si="66"/>
        <v>0</v>
      </c>
      <c r="AD48" s="116">
        <v>0.25</v>
      </c>
      <c r="AE48" s="147">
        <f t="shared" si="67"/>
        <v>0</v>
      </c>
      <c r="AF48" s="122">
        <f t="shared" si="57"/>
        <v>0.25</v>
      </c>
      <c r="AG48" s="147">
        <f t="shared" si="61"/>
        <v>0</v>
      </c>
      <c r="AH48" s="123">
        <f t="shared" si="62"/>
        <v>1</v>
      </c>
      <c r="AI48" s="112">
        <f t="shared" si="62"/>
        <v>0</v>
      </c>
      <c r="AJ48" s="148">
        <f t="shared" si="63"/>
        <v>0</v>
      </c>
      <c r="AK48" s="147">
        <f t="shared" si="64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IF([1]Summ!$A1084="","",[1]Summ!$A1084)</f>
        <v>Small business -- see Data2</v>
      </c>
      <c r="B49" s="217">
        <f>IF([1]Summ!E1084="",0,[1]Summ!E1084)</f>
        <v>0</v>
      </c>
      <c r="C49" s="217">
        <f>IF([1]Summ!F1084="",0,[1]Summ!F1084)</f>
        <v>0</v>
      </c>
      <c r="D49" s="38">
        <f t="shared" ref="D49:D64" si="68">SUM(B49,C49)</f>
        <v>0</v>
      </c>
      <c r="E49" s="26">
        <v>1</v>
      </c>
      <c r="F49" s="26">
        <v>1</v>
      </c>
      <c r="G49" s="22">
        <f t="shared" si="59"/>
        <v>1</v>
      </c>
      <c r="H49" s="24">
        <f t="shared" si="51"/>
        <v>1</v>
      </c>
      <c r="I49" s="39">
        <f t="shared" si="52"/>
        <v>0</v>
      </c>
      <c r="J49" s="38">
        <f t="shared" si="53"/>
        <v>0</v>
      </c>
      <c r="K49" s="40">
        <f t="shared" si="54"/>
        <v>0</v>
      </c>
      <c r="L49" s="22">
        <f t="shared" si="55"/>
        <v>0</v>
      </c>
      <c r="M49" s="24">
        <f t="shared" si="56"/>
        <v>0</v>
      </c>
      <c r="N49" s="2"/>
      <c r="O49" s="2"/>
      <c r="P49" s="56"/>
      <c r="Q49" s="56"/>
      <c r="R49" s="56"/>
      <c r="S49" s="56"/>
      <c r="T49" s="56"/>
      <c r="U49" s="56"/>
      <c r="V49" s="56"/>
      <c r="W49" s="110"/>
      <c r="X49" s="118"/>
      <c r="Y49" s="110"/>
      <c r="Z49" s="116">
        <v>0.25</v>
      </c>
      <c r="AA49" s="147">
        <f t="shared" si="65"/>
        <v>0</v>
      </c>
      <c r="AB49" s="116">
        <v>0.25</v>
      </c>
      <c r="AC49" s="147">
        <f t="shared" si="66"/>
        <v>0</v>
      </c>
      <c r="AD49" s="116">
        <v>0.25</v>
      </c>
      <c r="AE49" s="147">
        <f t="shared" si="67"/>
        <v>0</v>
      </c>
      <c r="AF49" s="122">
        <f t="shared" si="57"/>
        <v>0.25</v>
      </c>
      <c r="AG49" s="147">
        <f t="shared" si="61"/>
        <v>0</v>
      </c>
      <c r="AH49" s="123">
        <f t="shared" si="62"/>
        <v>1</v>
      </c>
      <c r="AI49" s="112">
        <f t="shared" si="62"/>
        <v>0</v>
      </c>
      <c r="AJ49" s="148">
        <f t="shared" si="63"/>
        <v>0</v>
      </c>
      <c r="AK49" s="147">
        <f t="shared" si="64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IF([1]Summ!$A1085="","",[1]Summ!$A1085)</f>
        <v>Social development -- see Data2</v>
      </c>
      <c r="B50" s="217">
        <f>IF([1]Summ!E1085="",0,[1]Summ!E1085)</f>
        <v>22020</v>
      </c>
      <c r="C50" s="217">
        <f>IF([1]Summ!F1085="",0,[1]Summ!F1085)</f>
        <v>0</v>
      </c>
      <c r="D50" s="38">
        <f t="shared" si="68"/>
        <v>22020</v>
      </c>
      <c r="E50" s="26">
        <v>1</v>
      </c>
      <c r="F50" s="26">
        <v>1</v>
      </c>
      <c r="G50" s="22">
        <f t="shared" si="59"/>
        <v>1</v>
      </c>
      <c r="H50" s="24">
        <f t="shared" ref="H50:H64" si="69">(E50*F50)</f>
        <v>1</v>
      </c>
      <c r="I50" s="39">
        <f t="shared" ref="I50:I64" si="70">D50*H50</f>
        <v>22020</v>
      </c>
      <c r="J50" s="38">
        <f t="shared" ref="J50:J64" si="71">J104*I$83</f>
        <v>22020</v>
      </c>
      <c r="K50" s="40">
        <f t="shared" ref="K50:K64" si="72">(B50/B$65)</f>
        <v>0.41308670693730537</v>
      </c>
      <c r="L50" s="22">
        <f t="shared" ref="L50:L64" si="73">(K50*H50)</f>
        <v>0.41308670693730537</v>
      </c>
      <c r="M50" s="24">
        <f t="shared" ref="M50:M64" si="74">J50/B$65</f>
        <v>0.41308670693730537</v>
      </c>
      <c r="N50" s="2"/>
      <c r="P50" s="64"/>
      <c r="Q50" s="41"/>
      <c r="R50" s="248"/>
      <c r="S50" s="41"/>
      <c r="T50" s="56"/>
      <c r="U50" s="56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IF([1]Summ!$A1086="","",[1]Summ!$A1086)</f>
        <v>Public works -- see Data2</v>
      </c>
      <c r="B51" s="217">
        <f>IF([1]Summ!E1086="",0,[1]Summ!E1086)</f>
        <v>14916</v>
      </c>
      <c r="C51" s="217">
        <f>IF([1]Summ!F1086="",0,[1]Summ!F1086)</f>
        <v>0</v>
      </c>
      <c r="D51" s="38">
        <f t="shared" si="68"/>
        <v>14916</v>
      </c>
      <c r="E51" s="26">
        <v>1</v>
      </c>
      <c r="F51" s="26">
        <v>1</v>
      </c>
      <c r="G51" s="22">
        <f t="shared" si="59"/>
        <v>1</v>
      </c>
      <c r="H51" s="24">
        <f t="shared" si="69"/>
        <v>1</v>
      </c>
      <c r="I51" s="39">
        <f t="shared" si="70"/>
        <v>14916</v>
      </c>
      <c r="J51" s="38">
        <f t="shared" si="71"/>
        <v>14916</v>
      </c>
      <c r="K51" s="40">
        <f t="shared" si="72"/>
        <v>0.27981840693355342</v>
      </c>
      <c r="L51" s="22">
        <f t="shared" si="73"/>
        <v>0.27981840693355342</v>
      </c>
      <c r="M51" s="24">
        <f t="shared" si="74"/>
        <v>0.27981840693355342</v>
      </c>
      <c r="N51" s="2"/>
      <c r="O51" s="2"/>
      <c r="P51" s="59"/>
      <c r="Q51" s="41"/>
      <c r="R51" s="250"/>
      <c r="S51" s="41"/>
      <c r="T51" s="56"/>
      <c r="U51" s="56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IF([1]Summ!$A1087="","",[1]Summ!$A1087)</f>
        <v>Gifts/social support: type (Child support, Pension and Foster Care)</v>
      </c>
      <c r="B52" s="217">
        <f>IF([1]Summ!E1087="",0,[1]Summ!E1087)</f>
        <v>0</v>
      </c>
      <c r="C52" s="217">
        <f>IF([1]Summ!F1087="",0,[1]Summ!F1087)</f>
        <v>0</v>
      </c>
      <c r="D52" s="38">
        <f t="shared" si="68"/>
        <v>0</v>
      </c>
      <c r="E52" s="26">
        <v>1</v>
      </c>
      <c r="F52" s="26">
        <v>1</v>
      </c>
      <c r="G52" s="22">
        <f t="shared" si="59"/>
        <v>1</v>
      </c>
      <c r="H52" s="24">
        <f t="shared" si="69"/>
        <v>1</v>
      </c>
      <c r="I52" s="39">
        <f t="shared" si="70"/>
        <v>0</v>
      </c>
      <c r="J52" s="38">
        <f t="shared" si="71"/>
        <v>0</v>
      </c>
      <c r="K52" s="40">
        <f t="shared" si="72"/>
        <v>0</v>
      </c>
      <c r="L52" s="22">
        <f t="shared" si="73"/>
        <v>0</v>
      </c>
      <c r="M52" s="24">
        <f t="shared" si="74"/>
        <v>0</v>
      </c>
      <c r="N52" s="2"/>
      <c r="O52" s="2"/>
      <c r="P52" s="59"/>
      <c r="Q52" s="41"/>
      <c r="R52" s="248"/>
      <c r="S52" s="56"/>
      <c r="T52" s="56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IF([1]Summ!$A1088="","",[1]Summ!$A1088)</f>
        <v>Remittances: no. times per year</v>
      </c>
      <c r="B53" s="217">
        <f>IF([1]Summ!E1088="",0,[1]Summ!E1088)</f>
        <v>0</v>
      </c>
      <c r="C53" s="217">
        <f>IF([1]Summ!F1088="",0,[1]Summ!F1088)</f>
        <v>0</v>
      </c>
      <c r="D53" s="38">
        <f t="shared" si="68"/>
        <v>0</v>
      </c>
      <c r="E53" s="26">
        <v>1</v>
      </c>
      <c r="F53" s="26">
        <v>1</v>
      </c>
      <c r="G53" s="22">
        <f t="shared" si="59"/>
        <v>1</v>
      </c>
      <c r="H53" s="24">
        <f t="shared" si="69"/>
        <v>1</v>
      </c>
      <c r="I53" s="39">
        <f t="shared" si="70"/>
        <v>0</v>
      </c>
      <c r="J53" s="38">
        <f t="shared" si="71"/>
        <v>0</v>
      </c>
      <c r="K53" s="40">
        <f t="shared" si="72"/>
        <v>0</v>
      </c>
      <c r="L53" s="22">
        <f t="shared" si="73"/>
        <v>0</v>
      </c>
      <c r="M53" s="24">
        <f t="shared" si="74"/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IF([1]Summ!$A1089="","",[1]Summ!$A1089)</f>
        <v/>
      </c>
      <c r="B54" s="217">
        <f>IF([1]Summ!E1089="",0,[1]Summ!E1089)</f>
        <v>0</v>
      </c>
      <c r="C54" s="217">
        <f>IF([1]Summ!F1089="",0,[1]Summ!F1089)</f>
        <v>0</v>
      </c>
      <c r="D54" s="38">
        <f t="shared" si="68"/>
        <v>0</v>
      </c>
      <c r="E54" s="26">
        <v>1</v>
      </c>
      <c r="F54" s="26">
        <v>1</v>
      </c>
      <c r="G54" s="22">
        <f t="shared" si="59"/>
        <v>1</v>
      </c>
      <c r="H54" s="24">
        <f t="shared" si="69"/>
        <v>1</v>
      </c>
      <c r="I54" s="39">
        <f t="shared" si="70"/>
        <v>0</v>
      </c>
      <c r="J54" s="38">
        <f t="shared" si="71"/>
        <v>0</v>
      </c>
      <c r="K54" s="40">
        <f t="shared" si="72"/>
        <v>0</v>
      </c>
      <c r="L54" s="22">
        <f t="shared" si="73"/>
        <v>0</v>
      </c>
      <c r="M54" s="24">
        <f t="shared" si="74"/>
        <v>0</v>
      </c>
      <c r="N54" s="2"/>
      <c r="O54" s="2"/>
      <c r="P54" s="2"/>
      <c r="Q54" s="56"/>
      <c r="R54" s="56"/>
      <c r="S54" s="56"/>
      <c r="T54" s="56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IF([1]Summ!$A1090="","",[1]Summ!$A1090)</f>
        <v/>
      </c>
      <c r="B55" s="217">
        <f>IF([1]Summ!E1090="",0,[1]Summ!E1090)</f>
        <v>0</v>
      </c>
      <c r="C55" s="217">
        <f>IF([1]Summ!F1090="",0,[1]Summ!F1090)</f>
        <v>0</v>
      </c>
      <c r="D55" s="38">
        <f t="shared" si="68"/>
        <v>0</v>
      </c>
      <c r="E55" s="26">
        <v>1</v>
      </c>
      <c r="F55" s="26">
        <v>1</v>
      </c>
      <c r="G55" s="22">
        <f t="shared" si="59"/>
        <v>1</v>
      </c>
      <c r="H55" s="24">
        <f t="shared" si="69"/>
        <v>1</v>
      </c>
      <c r="I55" s="39">
        <f t="shared" si="70"/>
        <v>0</v>
      </c>
      <c r="J55" s="38">
        <f t="shared" si="71"/>
        <v>0</v>
      </c>
      <c r="K55" s="40">
        <f t="shared" si="72"/>
        <v>0</v>
      </c>
      <c r="L55" s="22">
        <f t="shared" si="73"/>
        <v>0</v>
      </c>
      <c r="M55" s="24">
        <f t="shared" si="74"/>
        <v>0</v>
      </c>
      <c r="N55" s="2"/>
      <c r="O55" s="2"/>
      <c r="P55" s="2"/>
      <c r="Q55" s="56"/>
      <c r="R55" s="41"/>
      <c r="S55" s="56"/>
      <c r="T55" s="56"/>
      <c r="U55" s="56"/>
      <c r="V55" s="56"/>
      <c r="W55" s="110"/>
      <c r="X55" s="118"/>
      <c r="Y55" s="110"/>
      <c r="Z55" s="116">
        <v>0.25</v>
      </c>
      <c r="AA55" s="147">
        <f t="shared" si="65"/>
        <v>0</v>
      </c>
      <c r="AB55" s="116">
        <v>0.25</v>
      </c>
      <c r="AC55" s="147">
        <f t="shared" si="66"/>
        <v>0</v>
      </c>
      <c r="AD55" s="116">
        <v>0.25</v>
      </c>
      <c r="AE55" s="147">
        <f t="shared" si="67"/>
        <v>0</v>
      </c>
      <c r="AF55" s="122">
        <f t="shared" si="57"/>
        <v>0.25</v>
      </c>
      <c r="AG55" s="147">
        <f t="shared" si="61"/>
        <v>0</v>
      </c>
      <c r="AH55" s="123">
        <f t="shared" si="62"/>
        <v>1</v>
      </c>
      <c r="AI55" s="112">
        <f t="shared" si="62"/>
        <v>0</v>
      </c>
      <c r="AJ55" s="148">
        <f t="shared" si="63"/>
        <v>0</v>
      </c>
      <c r="AK55" s="147">
        <f t="shared" si="64"/>
        <v>0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IF([1]Summ!$A1091="","",[1]Summ!$A1091)</f>
        <v/>
      </c>
      <c r="B56" s="217">
        <f>IF([1]Summ!E1091="",0,[1]Summ!E1091)</f>
        <v>0</v>
      </c>
      <c r="C56" s="217">
        <f>IF([1]Summ!F1091="",0,[1]Summ!F1091)</f>
        <v>0</v>
      </c>
      <c r="D56" s="38">
        <f t="shared" si="68"/>
        <v>0</v>
      </c>
      <c r="E56" s="26">
        <v>1</v>
      </c>
      <c r="F56" s="26">
        <v>1</v>
      </c>
      <c r="G56" s="22">
        <f t="shared" si="59"/>
        <v>1</v>
      </c>
      <c r="H56" s="24">
        <f t="shared" si="69"/>
        <v>1</v>
      </c>
      <c r="I56" s="39">
        <f t="shared" si="70"/>
        <v>0</v>
      </c>
      <c r="J56" s="38">
        <f t="shared" si="71"/>
        <v>0</v>
      </c>
      <c r="K56" s="40">
        <f t="shared" si="72"/>
        <v>0</v>
      </c>
      <c r="L56" s="22">
        <f t="shared" si="73"/>
        <v>0</v>
      </c>
      <c r="M56" s="24">
        <f t="shared" si="74"/>
        <v>0</v>
      </c>
      <c r="N56" s="2"/>
      <c r="O56" s="2"/>
      <c r="P56" s="2"/>
      <c r="Q56" s="56"/>
      <c r="R56" s="56"/>
      <c r="S56" s="56"/>
      <c r="T56" s="56"/>
      <c r="U56" s="56"/>
      <c r="V56" s="56"/>
      <c r="W56" s="110"/>
      <c r="X56" s="118"/>
      <c r="Y56" s="110"/>
      <c r="Z56" s="116">
        <v>0.25</v>
      </c>
      <c r="AA56" s="147">
        <f t="shared" si="65"/>
        <v>0</v>
      </c>
      <c r="AB56" s="116">
        <v>0.25</v>
      </c>
      <c r="AC56" s="147">
        <f t="shared" si="66"/>
        <v>0</v>
      </c>
      <c r="AD56" s="116">
        <v>0.25</v>
      </c>
      <c r="AE56" s="147">
        <f t="shared" si="67"/>
        <v>0</v>
      </c>
      <c r="AF56" s="122">
        <f t="shared" si="57"/>
        <v>0.25</v>
      </c>
      <c r="AG56" s="147">
        <f t="shared" si="61"/>
        <v>0</v>
      </c>
      <c r="AH56" s="123">
        <f t="shared" si="62"/>
        <v>1</v>
      </c>
      <c r="AI56" s="112">
        <f t="shared" si="62"/>
        <v>0</v>
      </c>
      <c r="AJ56" s="148">
        <f t="shared" si="63"/>
        <v>0</v>
      </c>
      <c r="AK56" s="147">
        <f t="shared" si="64"/>
        <v>0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IF([1]Summ!$A1092="","",[1]Summ!$A1092)</f>
        <v/>
      </c>
      <c r="B57" s="217">
        <f>IF([1]Summ!E1092="",0,[1]Summ!E1092)</f>
        <v>0</v>
      </c>
      <c r="C57" s="217">
        <f>IF([1]Summ!F1092="",0,[1]Summ!F1092)</f>
        <v>0</v>
      </c>
      <c r="D57" s="38">
        <f t="shared" si="68"/>
        <v>0</v>
      </c>
      <c r="E57" s="26">
        <v>1</v>
      </c>
      <c r="F57" s="26">
        <v>1</v>
      </c>
      <c r="G57" s="22">
        <f t="shared" si="59"/>
        <v>1</v>
      </c>
      <c r="H57" s="24">
        <f t="shared" si="69"/>
        <v>1</v>
      </c>
      <c r="I57" s="39">
        <f t="shared" si="70"/>
        <v>0</v>
      </c>
      <c r="J57" s="38">
        <f t="shared" si="71"/>
        <v>0</v>
      </c>
      <c r="K57" s="40">
        <f t="shared" si="72"/>
        <v>0</v>
      </c>
      <c r="L57" s="22">
        <f t="shared" si="73"/>
        <v>0</v>
      </c>
      <c r="M57" s="24">
        <f t="shared" si="74"/>
        <v>0</v>
      </c>
      <c r="N57" s="2"/>
      <c r="O57" s="2"/>
      <c r="P57" s="2"/>
      <c r="Q57" s="56"/>
      <c r="R57" s="56"/>
      <c r="S57" s="56"/>
      <c r="T57" s="56"/>
      <c r="U57" s="56"/>
      <c r="V57" s="56"/>
      <c r="W57" s="110"/>
      <c r="X57" s="118"/>
      <c r="Y57" s="110"/>
      <c r="Z57" s="116">
        <v>0.25</v>
      </c>
      <c r="AA57" s="147">
        <f t="shared" si="65"/>
        <v>0</v>
      </c>
      <c r="AB57" s="116">
        <v>0.25</v>
      </c>
      <c r="AC57" s="147">
        <f t="shared" si="66"/>
        <v>0</v>
      </c>
      <c r="AD57" s="116">
        <v>0.25</v>
      </c>
      <c r="AE57" s="147">
        <f t="shared" si="67"/>
        <v>0</v>
      </c>
      <c r="AF57" s="122">
        <f t="shared" si="57"/>
        <v>0.25</v>
      </c>
      <c r="AG57" s="147">
        <f t="shared" si="61"/>
        <v>0</v>
      </c>
      <c r="AH57" s="123">
        <f t="shared" si="62"/>
        <v>1</v>
      </c>
      <c r="AI57" s="112">
        <f t="shared" si="62"/>
        <v>0</v>
      </c>
      <c r="AJ57" s="148">
        <f t="shared" si="63"/>
        <v>0</v>
      </c>
      <c r="AK57" s="147">
        <f t="shared" si="64"/>
        <v>0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IF([1]Summ!$A1093="","",[1]Summ!$A1093)</f>
        <v/>
      </c>
      <c r="B58" s="217">
        <f>IF([1]Summ!E1093="",0,[1]Summ!E1093)</f>
        <v>0</v>
      </c>
      <c r="C58" s="217">
        <f>IF([1]Summ!F1093="",0,[1]Summ!F1093)</f>
        <v>0</v>
      </c>
      <c r="D58" s="38">
        <f t="shared" si="68"/>
        <v>0</v>
      </c>
      <c r="E58" s="26">
        <v>1</v>
      </c>
      <c r="F58" s="26">
        <v>1</v>
      </c>
      <c r="G58" s="22">
        <f t="shared" si="59"/>
        <v>1</v>
      </c>
      <c r="H58" s="24">
        <f t="shared" si="69"/>
        <v>1</v>
      </c>
      <c r="I58" s="39">
        <f t="shared" si="70"/>
        <v>0</v>
      </c>
      <c r="J58" s="38">
        <f t="shared" si="71"/>
        <v>0</v>
      </c>
      <c r="K58" s="40">
        <f t="shared" si="72"/>
        <v>0</v>
      </c>
      <c r="L58" s="22">
        <f t="shared" si="73"/>
        <v>0</v>
      </c>
      <c r="M58" s="24">
        <f t="shared" si="74"/>
        <v>0</v>
      </c>
      <c r="N58" s="2"/>
      <c r="O58" s="2"/>
      <c r="P58" s="2"/>
      <c r="Q58" s="56"/>
      <c r="R58" s="56"/>
      <c r="S58" s="56"/>
      <c r="T58" s="56"/>
      <c r="U58" s="56"/>
      <c r="V58" s="56"/>
      <c r="W58" s="110"/>
      <c r="X58" s="118"/>
      <c r="Y58" s="110"/>
      <c r="Z58" s="116">
        <v>0.25</v>
      </c>
      <c r="AA58" s="147">
        <f t="shared" si="65"/>
        <v>0</v>
      </c>
      <c r="AB58" s="116">
        <v>0.25</v>
      </c>
      <c r="AC58" s="147">
        <f t="shared" si="66"/>
        <v>0</v>
      </c>
      <c r="AD58" s="116">
        <v>0.25</v>
      </c>
      <c r="AE58" s="147">
        <f t="shared" si="67"/>
        <v>0</v>
      </c>
      <c r="AF58" s="122">
        <f t="shared" si="57"/>
        <v>0.25</v>
      </c>
      <c r="AG58" s="147">
        <f t="shared" si="61"/>
        <v>0</v>
      </c>
      <c r="AH58" s="123">
        <f t="shared" si="62"/>
        <v>1</v>
      </c>
      <c r="AI58" s="112">
        <f t="shared" si="62"/>
        <v>0</v>
      </c>
      <c r="AJ58" s="148">
        <f t="shared" si="63"/>
        <v>0</v>
      </c>
      <c r="AK58" s="147">
        <f t="shared" si="64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IF([1]Summ!$A1094="","",[1]Summ!$A1094)</f>
        <v/>
      </c>
      <c r="B59" s="217">
        <f>IF([1]Summ!E1094="",0,[1]Summ!E1094)</f>
        <v>0</v>
      </c>
      <c r="C59" s="217">
        <f>IF([1]Summ!F1094="",0,[1]Summ!F1094)</f>
        <v>0</v>
      </c>
      <c r="D59" s="38">
        <f t="shared" si="68"/>
        <v>0</v>
      </c>
      <c r="E59" s="26">
        <v>1</v>
      </c>
      <c r="F59" s="26">
        <v>1</v>
      </c>
      <c r="G59" s="22">
        <f t="shared" si="59"/>
        <v>1</v>
      </c>
      <c r="H59" s="24">
        <f t="shared" si="69"/>
        <v>1</v>
      </c>
      <c r="I59" s="39">
        <f t="shared" si="70"/>
        <v>0</v>
      </c>
      <c r="J59" s="38">
        <f t="shared" si="71"/>
        <v>0</v>
      </c>
      <c r="K59" s="40">
        <f t="shared" si="72"/>
        <v>0</v>
      </c>
      <c r="L59" s="22">
        <f t="shared" si="73"/>
        <v>0</v>
      </c>
      <c r="M59" s="24">
        <f t="shared" si="74"/>
        <v>0</v>
      </c>
      <c r="N59" s="2"/>
      <c r="O59" s="2"/>
      <c r="P59" s="2"/>
      <c r="Q59" s="56"/>
      <c r="R59" s="56"/>
      <c r="S59" s="56"/>
      <c r="T59" s="56"/>
      <c r="U59" s="56"/>
      <c r="V59" s="56"/>
      <c r="W59" s="110"/>
      <c r="X59" s="118"/>
      <c r="Y59" s="110"/>
      <c r="Z59" s="116">
        <v>0.25</v>
      </c>
      <c r="AA59" s="147">
        <f t="shared" si="65"/>
        <v>0</v>
      </c>
      <c r="AB59" s="116">
        <v>0.25</v>
      </c>
      <c r="AC59" s="147">
        <f t="shared" si="66"/>
        <v>0</v>
      </c>
      <c r="AD59" s="116">
        <v>0.25</v>
      </c>
      <c r="AE59" s="147">
        <f t="shared" si="67"/>
        <v>0</v>
      </c>
      <c r="AF59" s="122">
        <f t="shared" si="57"/>
        <v>0.25</v>
      </c>
      <c r="AG59" s="147">
        <f t="shared" si="61"/>
        <v>0</v>
      </c>
      <c r="AH59" s="123">
        <f t="shared" ref="AH59:AI64" si="75">SUM(Z59,AB59,AD59,AF59)</f>
        <v>1</v>
      </c>
      <c r="AI59" s="112">
        <f t="shared" si="75"/>
        <v>0</v>
      </c>
      <c r="AJ59" s="148">
        <f t="shared" si="63"/>
        <v>0</v>
      </c>
      <c r="AK59" s="147">
        <f t="shared" si="64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IF([1]Summ!$A1095="","",[1]Summ!$A1095)</f>
        <v/>
      </c>
      <c r="B60" s="217">
        <f>IF([1]Summ!E1095="",0,[1]Summ!E1095)</f>
        <v>0</v>
      </c>
      <c r="C60" s="217">
        <f>IF([1]Summ!F1095="",0,[1]Summ!F1095)</f>
        <v>0</v>
      </c>
      <c r="D60" s="38">
        <f t="shared" si="68"/>
        <v>0</v>
      </c>
      <c r="E60" s="26">
        <v>1</v>
      </c>
      <c r="F60" s="26">
        <v>1</v>
      </c>
      <c r="G60" s="22">
        <f t="shared" si="59"/>
        <v>1</v>
      </c>
      <c r="H60" s="24">
        <f t="shared" si="69"/>
        <v>1</v>
      </c>
      <c r="I60" s="39">
        <f t="shared" si="70"/>
        <v>0</v>
      </c>
      <c r="J60" s="38">
        <f t="shared" si="71"/>
        <v>0</v>
      </c>
      <c r="K60" s="40">
        <f t="shared" si="72"/>
        <v>0</v>
      </c>
      <c r="L60" s="22">
        <f t="shared" si="73"/>
        <v>0</v>
      </c>
      <c r="M60" s="24">
        <f t="shared" si="74"/>
        <v>0</v>
      </c>
      <c r="N60" s="2"/>
      <c r="O60" s="2"/>
      <c r="P60" s="2"/>
      <c r="Q60" s="56"/>
      <c r="R60" s="56"/>
      <c r="S60" s="56"/>
      <c r="T60" s="56"/>
      <c r="U60" s="56"/>
      <c r="V60" s="56"/>
      <c r="W60" s="110"/>
      <c r="X60" s="118"/>
      <c r="Y60" s="110"/>
      <c r="Z60" s="116">
        <v>0.25</v>
      </c>
      <c r="AA60" s="147">
        <f t="shared" si="65"/>
        <v>0</v>
      </c>
      <c r="AB60" s="116">
        <v>0.25</v>
      </c>
      <c r="AC60" s="147">
        <f t="shared" si="66"/>
        <v>0</v>
      </c>
      <c r="AD60" s="116">
        <v>0.25</v>
      </c>
      <c r="AE60" s="147">
        <f t="shared" si="67"/>
        <v>0</v>
      </c>
      <c r="AF60" s="122">
        <f t="shared" si="57"/>
        <v>0.25</v>
      </c>
      <c r="AG60" s="147">
        <f t="shared" si="61"/>
        <v>0</v>
      </c>
      <c r="AH60" s="123">
        <f t="shared" si="75"/>
        <v>1</v>
      </c>
      <c r="AI60" s="112">
        <f t="shared" si="75"/>
        <v>0</v>
      </c>
      <c r="AJ60" s="148">
        <f t="shared" si="63"/>
        <v>0</v>
      </c>
      <c r="AK60" s="147">
        <f t="shared" si="64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IF([1]Summ!$A1096="","",[1]Summ!$A1096)</f>
        <v/>
      </c>
      <c r="B61" s="217">
        <f>IF([1]Summ!E1096="",0,[1]Summ!E1096)</f>
        <v>0</v>
      </c>
      <c r="C61" s="217">
        <f>IF([1]Summ!F1096="",0,[1]Summ!F1096)</f>
        <v>0</v>
      </c>
      <c r="D61" s="38">
        <f t="shared" si="68"/>
        <v>0</v>
      </c>
      <c r="E61" s="26">
        <v>1</v>
      </c>
      <c r="F61" s="26">
        <v>1</v>
      </c>
      <c r="G61" s="22">
        <f t="shared" si="59"/>
        <v>1</v>
      </c>
      <c r="H61" s="24">
        <f t="shared" si="69"/>
        <v>1</v>
      </c>
      <c r="I61" s="39">
        <f t="shared" si="70"/>
        <v>0</v>
      </c>
      <c r="J61" s="38">
        <f t="shared" si="71"/>
        <v>0</v>
      </c>
      <c r="K61" s="40">
        <f t="shared" si="72"/>
        <v>0</v>
      </c>
      <c r="L61" s="22">
        <f t="shared" si="73"/>
        <v>0</v>
      </c>
      <c r="M61" s="24">
        <f t="shared" si="74"/>
        <v>0</v>
      </c>
      <c r="N61" s="2"/>
      <c r="O61" s="2"/>
      <c r="P61" s="2"/>
      <c r="Q61" s="56"/>
      <c r="R61" s="56"/>
      <c r="S61" s="56"/>
      <c r="T61" s="56"/>
      <c r="U61" s="56"/>
      <c r="V61" s="56"/>
      <c r="W61" s="110"/>
      <c r="X61" s="118"/>
      <c r="Y61" s="110"/>
      <c r="Z61" s="116">
        <v>0.25</v>
      </c>
      <c r="AA61" s="147">
        <f t="shared" si="65"/>
        <v>0</v>
      </c>
      <c r="AB61" s="116">
        <v>0.25</v>
      </c>
      <c r="AC61" s="147">
        <f t="shared" si="66"/>
        <v>0</v>
      </c>
      <c r="AD61" s="116">
        <v>0.25</v>
      </c>
      <c r="AE61" s="147">
        <f t="shared" si="67"/>
        <v>0</v>
      </c>
      <c r="AF61" s="122">
        <f t="shared" si="57"/>
        <v>0.25</v>
      </c>
      <c r="AG61" s="147">
        <f t="shared" si="61"/>
        <v>0</v>
      </c>
      <c r="AH61" s="123">
        <f t="shared" si="75"/>
        <v>1</v>
      </c>
      <c r="AI61" s="112">
        <f t="shared" si="75"/>
        <v>0</v>
      </c>
      <c r="AJ61" s="148">
        <f t="shared" si="63"/>
        <v>0</v>
      </c>
      <c r="AK61" s="147">
        <f t="shared" si="64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IF([1]Summ!$A1097="","",[1]Summ!$A1097)</f>
        <v/>
      </c>
      <c r="B62" s="217">
        <f>IF([1]Summ!E1097="",0,[1]Summ!E1097)</f>
        <v>0</v>
      </c>
      <c r="C62" s="217">
        <f>IF([1]Summ!F1097="",0,[1]Summ!F1097)</f>
        <v>0</v>
      </c>
      <c r="D62" s="38">
        <f t="shared" si="68"/>
        <v>0</v>
      </c>
      <c r="E62" s="26">
        <v>1</v>
      </c>
      <c r="F62" s="26">
        <v>1</v>
      </c>
      <c r="G62" s="22">
        <f t="shared" si="59"/>
        <v>1</v>
      </c>
      <c r="H62" s="24">
        <f t="shared" si="69"/>
        <v>1</v>
      </c>
      <c r="I62" s="39">
        <f t="shared" si="70"/>
        <v>0</v>
      </c>
      <c r="J62" s="38">
        <f t="shared" si="71"/>
        <v>0</v>
      </c>
      <c r="K62" s="40">
        <f t="shared" si="72"/>
        <v>0</v>
      </c>
      <c r="L62" s="22">
        <f t="shared" si="73"/>
        <v>0</v>
      </c>
      <c r="M62" s="24">
        <f t="shared" si="74"/>
        <v>0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65"/>
        <v>0</v>
      </c>
      <c r="AB62" s="116">
        <v>0.25</v>
      </c>
      <c r="AC62" s="147">
        <f t="shared" si="66"/>
        <v>0</v>
      </c>
      <c r="AD62" s="116">
        <v>0.25</v>
      </c>
      <c r="AE62" s="147">
        <f t="shared" si="67"/>
        <v>0</v>
      </c>
      <c r="AF62" s="122">
        <f t="shared" si="57"/>
        <v>0.25</v>
      </c>
      <c r="AG62" s="147">
        <f t="shared" si="61"/>
        <v>0</v>
      </c>
      <c r="AH62" s="123">
        <f t="shared" si="75"/>
        <v>1</v>
      </c>
      <c r="AI62" s="112">
        <f t="shared" si="75"/>
        <v>0</v>
      </c>
      <c r="AJ62" s="148">
        <f t="shared" si="63"/>
        <v>0</v>
      </c>
      <c r="AK62" s="147">
        <f t="shared" si="64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IF([1]Summ!$A1098="","",[1]Summ!$A1098)</f>
        <v/>
      </c>
      <c r="B63" s="217">
        <f>IF([1]Summ!E1098="",0,[1]Summ!E1098)</f>
        <v>0</v>
      </c>
      <c r="C63" s="217">
        <f>IF([1]Summ!F1098="",0,[1]Summ!F1098)</f>
        <v>0</v>
      </c>
      <c r="D63" s="38">
        <f t="shared" si="68"/>
        <v>0</v>
      </c>
      <c r="E63" s="26">
        <v>1</v>
      </c>
      <c r="F63" s="26">
        <v>1</v>
      </c>
      <c r="G63" s="22">
        <f t="shared" si="59"/>
        <v>1</v>
      </c>
      <c r="H63" s="24">
        <f t="shared" si="69"/>
        <v>1</v>
      </c>
      <c r="I63" s="39">
        <f t="shared" si="70"/>
        <v>0</v>
      </c>
      <c r="J63" s="38">
        <f t="shared" si="71"/>
        <v>0</v>
      </c>
      <c r="K63" s="40">
        <f t="shared" si="72"/>
        <v>0</v>
      </c>
      <c r="L63" s="22">
        <f t="shared" si="73"/>
        <v>0</v>
      </c>
      <c r="M63" s="24">
        <f t="shared" si="74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65"/>
        <v>0</v>
      </c>
      <c r="AB63" s="116">
        <v>0.25</v>
      </c>
      <c r="AC63" s="147">
        <f t="shared" si="66"/>
        <v>0</v>
      </c>
      <c r="AD63" s="116">
        <v>0.25</v>
      </c>
      <c r="AE63" s="147">
        <f t="shared" si="67"/>
        <v>0</v>
      </c>
      <c r="AF63" s="122">
        <f t="shared" si="57"/>
        <v>0.25</v>
      </c>
      <c r="AG63" s="147">
        <f t="shared" si="61"/>
        <v>0</v>
      </c>
      <c r="AH63" s="123">
        <f t="shared" si="75"/>
        <v>1</v>
      </c>
      <c r="AI63" s="112">
        <f t="shared" si="75"/>
        <v>0</v>
      </c>
      <c r="AJ63" s="148">
        <f t="shared" si="63"/>
        <v>0</v>
      </c>
      <c r="AK63" s="147">
        <f t="shared" si="64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IF([1]Summ!$A1099="","",[1]Summ!$A1099)</f>
        <v/>
      </c>
      <c r="B64" s="217">
        <f>IF([1]Summ!E1099="",0,[1]Summ!E1099)</f>
        <v>0</v>
      </c>
      <c r="C64" s="217">
        <f>IF([1]Summ!F1099="",0,[1]Summ!F1099)</f>
        <v>0</v>
      </c>
      <c r="D64" s="38">
        <f t="shared" si="68"/>
        <v>0</v>
      </c>
      <c r="E64" s="26">
        <v>1</v>
      </c>
      <c r="F64" s="26">
        <v>1</v>
      </c>
      <c r="G64" s="22">
        <f t="shared" si="59"/>
        <v>1</v>
      </c>
      <c r="H64" s="24">
        <f t="shared" si="69"/>
        <v>1</v>
      </c>
      <c r="I64" s="39">
        <f t="shared" si="70"/>
        <v>0</v>
      </c>
      <c r="J64" s="38">
        <f t="shared" si="71"/>
        <v>0</v>
      </c>
      <c r="K64" s="40">
        <f t="shared" si="72"/>
        <v>0</v>
      </c>
      <c r="L64" s="22">
        <f t="shared" si="73"/>
        <v>0</v>
      </c>
      <c r="M64" s="24">
        <f t="shared" si="74"/>
        <v>0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65"/>
        <v>0</v>
      </c>
      <c r="AB64" s="116">
        <v>0.25</v>
      </c>
      <c r="AC64" s="149">
        <f t="shared" si="66"/>
        <v>0</v>
      </c>
      <c r="AD64" s="116">
        <v>0.25</v>
      </c>
      <c r="AE64" s="149">
        <f t="shared" si="67"/>
        <v>0</v>
      </c>
      <c r="AF64" s="150">
        <f t="shared" si="57"/>
        <v>0.25</v>
      </c>
      <c r="AG64" s="149">
        <f t="shared" si="61"/>
        <v>0</v>
      </c>
      <c r="AH64" s="123">
        <f t="shared" si="75"/>
        <v>1</v>
      </c>
      <c r="AI64" s="112">
        <f t="shared" si="75"/>
        <v>0</v>
      </c>
      <c r="AJ64" s="151">
        <f t="shared" si="63"/>
        <v>0</v>
      </c>
      <c r="AK64" s="149">
        <f t="shared" si="64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53306</v>
      </c>
      <c r="C65" s="41">
        <f>SUM(C37:C64)</f>
        <v>-1910</v>
      </c>
      <c r="D65" s="42">
        <f>SUM(D37:D64)</f>
        <v>51396</v>
      </c>
      <c r="E65" s="32"/>
      <c r="F65" s="32"/>
      <c r="G65" s="32"/>
      <c r="H65" s="31"/>
      <c r="I65" s="39">
        <f>SUM(I37:I64)</f>
        <v>51396</v>
      </c>
      <c r="J65" s="39">
        <f>SUM(J37:J64)</f>
        <v>53142.465395121515</v>
      </c>
      <c r="K65" s="40">
        <f>SUM(K37:K64)</f>
        <v>1</v>
      </c>
      <c r="L65" s="22">
        <f>SUM(L37:L64)</f>
        <v>1</v>
      </c>
      <c r="M65" s="24">
        <f>SUM(M37:M64)</f>
        <v>0.99693215388739564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3733.9595616488291</v>
      </c>
      <c r="AB65" s="137"/>
      <c r="AC65" s="153">
        <f>SUM(AC37:AC64)</f>
        <v>3903.5438278015185</v>
      </c>
      <c r="AD65" s="137"/>
      <c r="AE65" s="153">
        <f>SUM(AE37:AE64)</f>
        <v>4524.5827519955219</v>
      </c>
      <c r="AF65" s="137"/>
      <c r="AG65" s="153">
        <f>SUM(AG37:AG64)</f>
        <v>4044.3792536756423</v>
      </c>
      <c r="AH65" s="137"/>
      <c r="AI65" s="153">
        <f>SUM(AI37:AI64)</f>
        <v>16206.465395121511</v>
      </c>
      <c r="AJ65" s="153">
        <f>SUM(AJ37:AJ64)</f>
        <v>7637.5033894503476</v>
      </c>
      <c r="AK65" s="153">
        <f>SUM(AK37:AK64)</f>
        <v>8568.9620056711647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SUM([1]Summ!E1031)</f>
        <v>14935.838246595316</v>
      </c>
      <c r="C70" s="46"/>
      <c r="D70" s="38"/>
      <c r="E70" s="26">
        <v>1</v>
      </c>
      <c r="F70" s="26">
        <v>1</v>
      </c>
      <c r="G70" s="22"/>
      <c r="H70" s="24">
        <f>(E70*F70)</f>
        <v>1</v>
      </c>
      <c r="I70" s="39">
        <f>I124*I$83</f>
        <v>14935.838246595316</v>
      </c>
      <c r="J70" s="51">
        <f t="shared" ref="J70:J77" si="76">J124*I$83</f>
        <v>14935.838246595316</v>
      </c>
      <c r="K70" s="40">
        <f>B70/B$76</f>
        <v>0.2801905647881161</v>
      </c>
      <c r="L70" s="22">
        <f t="shared" ref="L70:L75" si="77">(L124*G$37*F$9/F$7)/B$130</f>
        <v>0.2801905647881161</v>
      </c>
      <c r="M70" s="24">
        <f>J70/B$76</f>
        <v>0.2801905647881161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3733.9595616488291</v>
      </c>
      <c r="AB70" s="116">
        <v>0.25</v>
      </c>
      <c r="AC70" s="147">
        <f>$J70*AB70</f>
        <v>3733.9595616488291</v>
      </c>
      <c r="AD70" s="116">
        <v>0.25</v>
      </c>
      <c r="AE70" s="147">
        <f>$J70*AD70</f>
        <v>3733.9595616488291</v>
      </c>
      <c r="AF70" s="122">
        <f>1-SUM(Z70,AB70,AD70)</f>
        <v>0.25</v>
      </c>
      <c r="AG70" s="147">
        <f>$J70*AF70</f>
        <v>3733.9595616488291</v>
      </c>
      <c r="AH70" s="155">
        <f>SUM(Z70,AB70,AD70,AF70)</f>
        <v>1</v>
      </c>
      <c r="AI70" s="147">
        <f>SUM(AA70,AC70,AE70,AG70)</f>
        <v>14935.838246595316</v>
      </c>
      <c r="AJ70" s="148">
        <f>(AA70+AC70)</f>
        <v>7467.9191232976582</v>
      </c>
      <c r="AK70" s="147">
        <f>(AE70+AG70)</f>
        <v>7467.9191232976582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SUM([1]Summ!E1032)</f>
        <v>15578.666666666668</v>
      </c>
      <c r="C71" s="46"/>
      <c r="D71" s="38"/>
      <c r="E71" s="26">
        <v>1</v>
      </c>
      <c r="F71" s="26">
        <v>1</v>
      </c>
      <c r="G71" s="22"/>
      <c r="H71" s="24">
        <f t="shared" ref="H71:H72" si="78">(E71*F71)</f>
        <v>1</v>
      </c>
      <c r="I71" s="39">
        <f>I125*I$83</f>
        <v>15578.666666666668</v>
      </c>
      <c r="J71" s="51">
        <f t="shared" si="76"/>
        <v>15578.666666666668</v>
      </c>
      <c r="K71" s="40">
        <f t="shared" ref="K71:K72" si="79">B71/B$76</f>
        <v>0.29224977801123075</v>
      </c>
      <c r="L71" s="22">
        <f t="shared" si="77"/>
        <v>0.29224977801123081</v>
      </c>
      <c r="M71" s="24">
        <f t="shared" ref="M71:M72" si="80">J71/B$76</f>
        <v>0.29224977801123075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SUM([1]Summ!E1033)</f>
        <v>27744</v>
      </c>
      <c r="C72" s="46"/>
      <c r="D72" s="38"/>
      <c r="E72" s="26">
        <v>1</v>
      </c>
      <c r="F72" s="26">
        <v>1</v>
      </c>
      <c r="G72" s="22"/>
      <c r="H72" s="24">
        <f t="shared" si="78"/>
        <v>1</v>
      </c>
      <c r="I72" s="39">
        <f>I126*I$83</f>
        <v>0</v>
      </c>
      <c r="J72" s="51">
        <f t="shared" si="76"/>
        <v>19376.059548654499</v>
      </c>
      <c r="K72" s="40">
        <f t="shared" si="79"/>
        <v>0.52046673920384201</v>
      </c>
      <c r="L72" s="22">
        <f t="shared" si="77"/>
        <v>0.36450869717480006</v>
      </c>
      <c r="M72" s="24">
        <f t="shared" si="80"/>
        <v>0.36348740383173561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SUM([1]Summ!E1034)</f>
        <v>4656</v>
      </c>
      <c r="C73" s="46"/>
      <c r="D73" s="38"/>
      <c r="E73" s="26">
        <v>1</v>
      </c>
      <c r="F73" s="26">
        <v>1</v>
      </c>
      <c r="G73" s="22"/>
      <c r="H73" s="24">
        <f>(E73*F73)</f>
        <v>1</v>
      </c>
      <c r="I73" s="39">
        <f>I127*I$83</f>
        <v>0</v>
      </c>
      <c r="J73" s="51">
        <f t="shared" si="76"/>
        <v>0</v>
      </c>
      <c r="K73" s="40">
        <f>B73/B$76</f>
        <v>8.7344764191648216E-2</v>
      </c>
      <c r="L73" s="22">
        <f t="shared" si="77"/>
        <v>0</v>
      </c>
      <c r="M73" s="24">
        <f>J73/B$76</f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419.03999999999996</v>
      </c>
      <c r="AB73" s="116">
        <v>0.09</v>
      </c>
      <c r="AC73" s="147">
        <f>$H$73*$B$73*AB73</f>
        <v>419.03999999999996</v>
      </c>
      <c r="AD73" s="116">
        <v>0.23</v>
      </c>
      <c r="AE73" s="147">
        <f>$H$73*$B$73*AD73</f>
        <v>1070.8800000000001</v>
      </c>
      <c r="AF73" s="122">
        <f>1-SUM(Z73,AB73,AD73)</f>
        <v>0.59</v>
      </c>
      <c r="AG73" s="147">
        <f>$H$73*$B$73*AF73</f>
        <v>2747.04</v>
      </c>
      <c r="AH73" s="155">
        <f>SUM(Z73,AB73,AD73,AF73)</f>
        <v>1</v>
      </c>
      <c r="AI73" s="147">
        <f>SUM(AA73,AC73,AE73,AG73)</f>
        <v>4656</v>
      </c>
      <c r="AJ73" s="148">
        <f>(AA73+AC73)</f>
        <v>838.07999999999993</v>
      </c>
      <c r="AK73" s="147">
        <f>(AE73+AG73)</f>
        <v>3817.92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3360.9944751381217</v>
      </c>
      <c r="C74" s="46"/>
      <c r="D74" s="38"/>
      <c r="E74" s="32"/>
      <c r="F74" s="32"/>
      <c r="G74" s="32"/>
      <c r="H74" s="31"/>
      <c r="I74" s="39">
        <f>I128*I$83</f>
        <v>36460.161753404682</v>
      </c>
      <c r="J74" s="51">
        <f t="shared" si="76"/>
        <v>3251.9009332050232</v>
      </c>
      <c r="K74" s="40">
        <f>B74/B$76</f>
        <v>6.3050960025853031E-2</v>
      </c>
      <c r="L74" s="22">
        <f t="shared" si="77"/>
        <v>6.3050960025853031E-2</v>
      </c>
      <c r="M74" s="24">
        <f>J74/B$76</f>
        <v>6.1004407256313044E-2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0</v>
      </c>
      <c r="AB74" s="156"/>
      <c r="AC74" s="147">
        <f>AC30*$I$83/4</f>
        <v>169.58426615268937</v>
      </c>
      <c r="AD74" s="156"/>
      <c r="AE74" s="147">
        <f>AE30*$I$83/4</f>
        <v>790.62319034669281</v>
      </c>
      <c r="AF74" s="156"/>
      <c r="AG74" s="147">
        <f>AG30*$I$83/4</f>
        <v>310.41969202681321</v>
      </c>
      <c r="AH74" s="155"/>
      <c r="AI74" s="147">
        <f>SUM(AA74,AC74,AE74,AG74)</f>
        <v>1270.6271485261955</v>
      </c>
      <c r="AJ74" s="148">
        <f>(AA74+AC74)</f>
        <v>169.58426615268937</v>
      </c>
      <c r="AK74" s="147">
        <f>(AE74+AG74)</f>
        <v>1101.042882373506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46"/>
      <c r="D75" s="38"/>
      <c r="E75" s="32"/>
      <c r="F75" s="32"/>
      <c r="G75" s="32"/>
      <c r="H75" s="31"/>
      <c r="I75" s="47"/>
      <c r="J75" s="51">
        <f t="shared" si="76"/>
        <v>0</v>
      </c>
      <c r="K75" s="40">
        <f>B75/B$76</f>
        <v>0</v>
      </c>
      <c r="L75" s="22">
        <f t="shared" si="77"/>
        <v>0</v>
      </c>
      <c r="M75" s="24">
        <f>J75/B$76</f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0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53306</v>
      </c>
      <c r="C76" s="46"/>
      <c r="D76" s="38"/>
      <c r="E76" s="32"/>
      <c r="F76" s="32"/>
      <c r="G76" s="32"/>
      <c r="H76" s="31"/>
      <c r="I76" s="39">
        <f>I130*I$83</f>
        <v>51396</v>
      </c>
      <c r="J76" s="51">
        <f t="shared" si="76"/>
        <v>53142.465395121508</v>
      </c>
      <c r="K76" s="40">
        <f>SUM(K70:K75)</f>
        <v>1.2433028062206903</v>
      </c>
      <c r="L76" s="22">
        <f>SUM(L70:L75)</f>
        <v>1</v>
      </c>
      <c r="M76" s="24">
        <f>SUM(M70:M75)</f>
        <v>0.99693215388739553</v>
      </c>
      <c r="O76" s="2"/>
      <c r="P76" s="2"/>
      <c r="Q76" s="56"/>
      <c r="R76" s="56"/>
      <c r="S76" s="56"/>
      <c r="T76" s="56"/>
      <c r="U76" s="56"/>
      <c r="V76" s="56"/>
      <c r="W76" s="110"/>
      <c r="X76" s="190"/>
      <c r="Y76" s="190"/>
      <c r="Z76" s="137"/>
      <c r="AA76" s="154">
        <f>AA65</f>
        <v>3733.9595616488291</v>
      </c>
      <c r="AB76" s="137"/>
      <c r="AC76" s="153">
        <f>AC65</f>
        <v>3903.5438278015185</v>
      </c>
      <c r="AD76" s="137"/>
      <c r="AE76" s="153">
        <f>AE65</f>
        <v>4524.5827519955219</v>
      </c>
      <c r="AF76" s="137"/>
      <c r="AG76" s="153">
        <f>AG65</f>
        <v>4044.3792536756423</v>
      </c>
      <c r="AH76" s="137"/>
      <c r="AI76" s="153">
        <f>SUM(AA76,AC76,AE76,AG76)</f>
        <v>16206.465395121513</v>
      </c>
      <c r="AJ76" s="154">
        <f>SUM(AA76,AC76)</f>
        <v>7637.5033894503476</v>
      </c>
      <c r="AK76" s="154">
        <f>SUM(AE76,AG76)</f>
        <v>8568.9620056711647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15578.66666666667</v>
      </c>
      <c r="J77" s="100">
        <f t="shared" si="76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268.32504528120569</v>
      </c>
      <c r="AH77" s="110"/>
      <c r="AI77" s="154">
        <f>SUM(AA77,AC77,AE77,AG77)</f>
        <v>268.32504528120569</v>
      </c>
      <c r="AJ77" s="153">
        <f>SUM(AA77,AC77)</f>
        <v>0</v>
      </c>
      <c r="AK77" s="160">
        <f>SUM(AE77,AG77)</f>
        <v>268.32504528120569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0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34" t="str">
        <f>[1]Summ!E1037</f>
        <v>maize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0</v>
      </c>
      <c r="AB79" s="112"/>
      <c r="AC79" s="112">
        <f>AA79-AA74+AC65-AC70</f>
        <v>169.58426615268945</v>
      </c>
      <c r="AD79" s="112"/>
      <c r="AE79" s="112">
        <f>AC79-AC74+AE65-AE70</f>
        <v>790.62319034669281</v>
      </c>
      <c r="AF79" s="112"/>
      <c r="AG79" s="112">
        <f>AE79-AE74+AG65-AG70</f>
        <v>310.41969202681321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f>[1]Summ!E1038</f>
        <v>0.58061985920496251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34">
        <f>[1]Summ!E1039</f>
        <v>8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f>[1]Summ!E1040</f>
        <v>5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8477.0499443924527</v>
      </c>
      <c r="C83" s="46"/>
      <c r="D83" s="38"/>
      <c r="E83" s="32"/>
      <c r="F83" s="32"/>
      <c r="G83" s="32"/>
      <c r="H83" s="24">
        <f>G$37*F$9/F$7</f>
        <v>1</v>
      </c>
      <c r="I83" s="39">
        <f xml:space="preserve"> B83*H83</f>
        <v>8477.0499443924527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2119.2624860981132</v>
      </c>
      <c r="AB83" s="112"/>
      <c r="AC83" s="165">
        <f>$I$83*AB82/4</f>
        <v>2119.2624860981132</v>
      </c>
      <c r="AD83" s="112"/>
      <c r="AE83" s="165">
        <f>$I$83*AD82/4</f>
        <v>2119.2624860981132</v>
      </c>
      <c r="AF83" s="112"/>
      <c r="AG83" s="165">
        <f>$I$83*AF82/4</f>
        <v>2119.2624860981132</v>
      </c>
      <c r="AH83" s="165">
        <f>SUM(AA83,AC83,AE83,AG83)</f>
        <v>8477.0499443924527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8">
        <f>B70+((1-D29)*B83)</f>
        <v>19286.708587419431</v>
      </c>
      <c r="C84" s="46"/>
      <c r="D84" s="239"/>
      <c r="E84" s="64"/>
      <c r="F84" s="64"/>
      <c r="G84" s="64"/>
      <c r="H84" s="240">
        <f>IF(B84=0,0,I84/B84)</f>
        <v>1</v>
      </c>
      <c r="I84" s="238">
        <f>(B70*H70)+((1-(D29*H29))*I83)</f>
        <v>19286.708587419431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1"/>
      <c r="AJ85" s="192"/>
      <c r="AK85" s="193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[1]Summ!$I$892</f>
        <v>0</v>
      </c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6"/>
      <c r="AB87" s="186"/>
      <c r="AC87" s="186"/>
      <c r="AD87" s="186"/>
      <c r="AE87" s="186"/>
      <c r="AF87" s="186"/>
      <c r="AG87" s="186"/>
      <c r="AH87" s="187"/>
      <c r="AI87" s="189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81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81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Cattle sales - local: no. sold</v>
      </c>
      <c r="B91" s="60">
        <f t="shared" ref="B91:C118" si="82">IF(B37="","",(B37/$B$83))</f>
        <v>0.7962675747198007</v>
      </c>
      <c r="C91" s="60">
        <f t="shared" si="82"/>
        <v>0</v>
      </c>
      <c r="D91" s="24">
        <f>SUM(B91,C91)</f>
        <v>0.7962675747198007</v>
      </c>
      <c r="H91" s="24">
        <f>(E37*F37/G37*F$7/F$9)</f>
        <v>1</v>
      </c>
      <c r="I91" s="22">
        <f t="shared" ref="I91" si="83">(D91*H91)</f>
        <v>0.7962675747198007</v>
      </c>
      <c r="J91" s="24">
        <f>IF(I$32&lt;=1+I$131,I91,L91+J$33*(I91-L91))</f>
        <v>0.7962675747198007</v>
      </c>
      <c r="K91" s="22">
        <f t="shared" ref="K91" si="84">IF(B91="",0,B91)</f>
        <v>0.7962675747198007</v>
      </c>
      <c r="L91" s="22">
        <f t="shared" ref="L91" si="85">(K91*H91)</f>
        <v>0.7962675747198007</v>
      </c>
      <c r="M91" s="231">
        <f t="shared" si="81"/>
        <v>0.7962675747198007</v>
      </c>
      <c r="N91" s="233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86">IF(A38="","",A38)</f>
        <v>Goat sales - local: no. sold</v>
      </c>
      <c r="B92" s="60">
        <f t="shared" si="82"/>
        <v>0.35389669987546701</v>
      </c>
      <c r="C92" s="60">
        <f t="shared" si="82"/>
        <v>-0.29491391656288918</v>
      </c>
      <c r="D92" s="24">
        <f t="shared" ref="D92:D118" si="87">SUM(B92,C92)</f>
        <v>5.8982783312577836E-2</v>
      </c>
      <c r="H92" s="24">
        <f t="shared" ref="H92:H118" si="88">(E38*F38/G38*F$7/F$9)</f>
        <v>1</v>
      </c>
      <c r="I92" s="22">
        <f t="shared" ref="I92:I118" si="89">(D92*H92)</f>
        <v>5.8982783312577836E-2</v>
      </c>
      <c r="J92" s="24">
        <f t="shared" ref="J92:J118" si="90">IF(I$32&lt;=1+I$131,I92,L92+J$33*(I92-L92))</f>
        <v>0.32864610782401171</v>
      </c>
      <c r="K92" s="22">
        <f t="shared" ref="K92:K118" si="91">IF(B92="",0,B92)</f>
        <v>0.35389669987546701</v>
      </c>
      <c r="L92" s="22">
        <f t="shared" ref="L92:L118" si="92">(K92*H92)</f>
        <v>0.35389669987546701</v>
      </c>
      <c r="M92" s="231">
        <f t="shared" ref="M92:M118" si="93">(J92)</f>
        <v>0.32864610782401171</v>
      </c>
      <c r="N92" s="233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86"/>
        <v>Sheep sales - local: no. sold</v>
      </c>
      <c r="B93" s="60">
        <f t="shared" si="82"/>
        <v>0</v>
      </c>
      <c r="C93" s="60">
        <f t="shared" si="82"/>
        <v>0</v>
      </c>
      <c r="D93" s="24">
        <f t="shared" si="87"/>
        <v>0</v>
      </c>
      <c r="H93" s="24">
        <f t="shared" si="88"/>
        <v>1</v>
      </c>
      <c r="I93" s="22">
        <f t="shared" si="89"/>
        <v>0</v>
      </c>
      <c r="J93" s="24">
        <f t="shared" si="90"/>
        <v>0</v>
      </c>
      <c r="K93" s="22">
        <f t="shared" si="91"/>
        <v>0</v>
      </c>
      <c r="L93" s="22">
        <f t="shared" si="92"/>
        <v>0</v>
      </c>
      <c r="M93" s="231">
        <f t="shared" si="93"/>
        <v>0</v>
      </c>
      <c r="N93" s="233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86"/>
        <v>Chicken sales: no. sold</v>
      </c>
      <c r="B94" s="60">
        <f t="shared" si="82"/>
        <v>0</v>
      </c>
      <c r="C94" s="60">
        <f t="shared" si="82"/>
        <v>0</v>
      </c>
      <c r="D94" s="24">
        <f t="shared" si="87"/>
        <v>0</v>
      </c>
      <c r="H94" s="24">
        <f t="shared" si="88"/>
        <v>1</v>
      </c>
      <c r="I94" s="22">
        <f t="shared" si="89"/>
        <v>0</v>
      </c>
      <c r="J94" s="24">
        <f t="shared" si="90"/>
        <v>0</v>
      </c>
      <c r="K94" s="22">
        <f t="shared" si="91"/>
        <v>0</v>
      </c>
      <c r="L94" s="22">
        <f t="shared" si="92"/>
        <v>0</v>
      </c>
      <c r="M94" s="231">
        <f t="shared" si="93"/>
        <v>0</v>
      </c>
      <c r="N94" s="233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86"/>
        <v>Maize: kg produced</v>
      </c>
      <c r="B95" s="60">
        <f t="shared" si="82"/>
        <v>0</v>
      </c>
      <c r="C95" s="60">
        <f t="shared" si="82"/>
        <v>0</v>
      </c>
      <c r="D95" s="24">
        <f t="shared" si="87"/>
        <v>0</v>
      </c>
      <c r="H95" s="24">
        <f t="shared" si="88"/>
        <v>1</v>
      </c>
      <c r="I95" s="22">
        <f t="shared" si="89"/>
        <v>0</v>
      </c>
      <c r="J95" s="24">
        <f t="shared" si="90"/>
        <v>0</v>
      </c>
      <c r="K95" s="22">
        <f t="shared" si="91"/>
        <v>0</v>
      </c>
      <c r="L95" s="22">
        <f t="shared" si="92"/>
        <v>0</v>
      </c>
      <c r="M95" s="231">
        <f t="shared" si="93"/>
        <v>0</v>
      </c>
      <c r="N95" s="233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86"/>
        <v>Beans: kg produced</v>
      </c>
      <c r="B96" s="60">
        <f t="shared" si="82"/>
        <v>0.17694834993773351</v>
      </c>
      <c r="C96" s="60">
        <f t="shared" si="82"/>
        <v>0</v>
      </c>
      <c r="D96" s="24">
        <f t="shared" si="87"/>
        <v>0.17694834993773351</v>
      </c>
      <c r="H96" s="24">
        <f t="shared" si="88"/>
        <v>1</v>
      </c>
      <c r="I96" s="22">
        <f t="shared" si="89"/>
        <v>0.17694834993773351</v>
      </c>
      <c r="J96" s="24">
        <f t="shared" si="90"/>
        <v>0.17694834993773351</v>
      </c>
      <c r="K96" s="22">
        <f t="shared" si="91"/>
        <v>0.17694834993773351</v>
      </c>
      <c r="L96" s="22">
        <f t="shared" si="92"/>
        <v>0.17694834993773351</v>
      </c>
      <c r="M96" s="231">
        <f t="shared" si="93"/>
        <v>0.17694834993773351</v>
      </c>
      <c r="N96" s="233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86"/>
        <v>potatoes: kg produced</v>
      </c>
      <c r="B97" s="60">
        <f t="shared" si="82"/>
        <v>1.8874490660024907E-2</v>
      </c>
      <c r="C97" s="60">
        <f t="shared" si="82"/>
        <v>-1.8874490660024907E-2</v>
      </c>
      <c r="D97" s="24">
        <f t="shared" si="87"/>
        <v>0</v>
      </c>
      <c r="H97" s="24">
        <f t="shared" si="88"/>
        <v>1</v>
      </c>
      <c r="I97" s="22">
        <f t="shared" si="89"/>
        <v>0</v>
      </c>
      <c r="J97" s="24">
        <f t="shared" si="90"/>
        <v>1.7258452768731766E-2</v>
      </c>
      <c r="K97" s="22">
        <f t="shared" si="91"/>
        <v>1.8874490660024907E-2</v>
      </c>
      <c r="L97" s="22">
        <f t="shared" si="92"/>
        <v>1.8874490660024907E-2</v>
      </c>
      <c r="M97" s="231">
        <f t="shared" si="93"/>
        <v>1.7258452768731766E-2</v>
      </c>
      <c r="N97" s="233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86"/>
        <v>WILD FOODS -- see worksheet Data 3</v>
      </c>
      <c r="B98" s="60">
        <f t="shared" si="82"/>
        <v>0</v>
      </c>
      <c r="C98" s="60">
        <f t="shared" si="82"/>
        <v>8.8474174968866753E-2</v>
      </c>
      <c r="D98" s="24">
        <f t="shared" si="87"/>
        <v>8.8474174968866753E-2</v>
      </c>
      <c r="H98" s="24">
        <f t="shared" si="88"/>
        <v>1</v>
      </c>
      <c r="I98" s="22">
        <f t="shared" si="89"/>
        <v>8.8474174968866753E-2</v>
      </c>
      <c r="J98" s="24">
        <f t="shared" si="90"/>
        <v>7.5751776154365956E-3</v>
      </c>
      <c r="K98" s="22">
        <f t="shared" si="91"/>
        <v>0</v>
      </c>
      <c r="L98" s="22">
        <f t="shared" si="92"/>
        <v>0</v>
      </c>
      <c r="M98" s="231">
        <f t="shared" si="93"/>
        <v>7.5751776154365956E-3</v>
      </c>
      <c r="N98" s="233">
        <v>6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86"/>
        <v>Agricultural cash income -- see Data2</v>
      </c>
      <c r="B99" s="60">
        <f t="shared" si="82"/>
        <v>0.32558496388542962</v>
      </c>
      <c r="C99" s="60">
        <f t="shared" si="82"/>
        <v>0</v>
      </c>
      <c r="D99" s="24">
        <f t="shared" si="87"/>
        <v>0.32558496388542962</v>
      </c>
      <c r="H99" s="24">
        <f t="shared" si="88"/>
        <v>1</v>
      </c>
      <c r="I99" s="22">
        <f t="shared" si="89"/>
        <v>0.32558496388542962</v>
      </c>
      <c r="J99" s="24">
        <f t="shared" si="90"/>
        <v>0.32558496388542962</v>
      </c>
      <c r="K99" s="22">
        <f t="shared" si="91"/>
        <v>0.32558496388542962</v>
      </c>
      <c r="L99" s="22">
        <f t="shared" si="92"/>
        <v>0.32558496388542962</v>
      </c>
      <c r="M99" s="231">
        <f t="shared" si="93"/>
        <v>0.32558496388542962</v>
      </c>
      <c r="N99" s="233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86"/>
        <v>Construction cash income -- see Data2</v>
      </c>
      <c r="B100" s="60">
        <f t="shared" si="82"/>
        <v>0</v>
      </c>
      <c r="C100" s="60">
        <f t="shared" si="82"/>
        <v>0</v>
      </c>
      <c r="D100" s="24">
        <f t="shared" si="87"/>
        <v>0</v>
      </c>
      <c r="H100" s="24">
        <f t="shared" si="88"/>
        <v>1</v>
      </c>
      <c r="I100" s="22">
        <f t="shared" si="89"/>
        <v>0</v>
      </c>
      <c r="J100" s="24">
        <f t="shared" si="90"/>
        <v>0</v>
      </c>
      <c r="K100" s="22">
        <f t="shared" si="91"/>
        <v>0</v>
      </c>
      <c r="L100" s="22">
        <f t="shared" si="92"/>
        <v>0</v>
      </c>
      <c r="M100" s="231">
        <f t="shared" si="93"/>
        <v>0</v>
      </c>
      <c r="N100" s="233">
        <v>7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86"/>
        <v>Domestic work cash income -- see Data2</v>
      </c>
      <c r="B101" s="60">
        <f t="shared" si="82"/>
        <v>0.25952424657534245</v>
      </c>
      <c r="C101" s="60">
        <f t="shared" si="82"/>
        <v>0</v>
      </c>
      <c r="D101" s="24">
        <f t="shared" si="87"/>
        <v>0.25952424657534245</v>
      </c>
      <c r="H101" s="24">
        <f t="shared" si="88"/>
        <v>1</v>
      </c>
      <c r="I101" s="22">
        <f t="shared" si="89"/>
        <v>0.25952424657534245</v>
      </c>
      <c r="J101" s="24">
        <f t="shared" si="90"/>
        <v>0.25952424657534245</v>
      </c>
      <c r="K101" s="22">
        <f t="shared" si="91"/>
        <v>0.25952424657534245</v>
      </c>
      <c r="L101" s="22">
        <f t="shared" si="92"/>
        <v>0.25952424657534245</v>
      </c>
      <c r="M101" s="231">
        <f t="shared" si="93"/>
        <v>0.25952424657534245</v>
      </c>
      <c r="N101" s="233">
        <v>7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86"/>
        <v>Labour migration(formal employment): no. people per HH</v>
      </c>
      <c r="B102" s="60">
        <f t="shared" si="82"/>
        <v>0</v>
      </c>
      <c r="C102" s="60">
        <f t="shared" si="82"/>
        <v>0</v>
      </c>
      <c r="D102" s="24">
        <f t="shared" si="87"/>
        <v>0</v>
      </c>
      <c r="H102" s="24">
        <f t="shared" si="88"/>
        <v>1</v>
      </c>
      <c r="I102" s="22">
        <f t="shared" si="89"/>
        <v>0</v>
      </c>
      <c r="J102" s="24">
        <f t="shared" si="90"/>
        <v>0</v>
      </c>
      <c r="K102" s="22">
        <f t="shared" si="91"/>
        <v>0</v>
      </c>
      <c r="L102" s="22">
        <f t="shared" si="92"/>
        <v>0</v>
      </c>
      <c r="M102" s="231">
        <f t="shared" si="93"/>
        <v>0</v>
      </c>
      <c r="N102" s="233">
        <v>8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86"/>
        <v>Small business -- see Data2</v>
      </c>
      <c r="B103" s="60">
        <f t="shared" si="82"/>
        <v>0</v>
      </c>
      <c r="C103" s="60">
        <f t="shared" si="82"/>
        <v>0</v>
      </c>
      <c r="D103" s="24">
        <f t="shared" si="87"/>
        <v>0</v>
      </c>
      <c r="H103" s="24">
        <f t="shared" si="88"/>
        <v>1</v>
      </c>
      <c r="I103" s="22">
        <f t="shared" si="89"/>
        <v>0</v>
      </c>
      <c r="J103" s="24">
        <f t="shared" si="90"/>
        <v>0</v>
      </c>
      <c r="K103" s="22">
        <f t="shared" si="91"/>
        <v>0</v>
      </c>
      <c r="L103" s="22">
        <f t="shared" si="92"/>
        <v>0</v>
      </c>
      <c r="M103" s="231">
        <f t="shared" si="93"/>
        <v>0</v>
      </c>
      <c r="N103" s="233">
        <v>11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86"/>
        <v>Social development -- see Data2</v>
      </c>
      <c r="B104" s="60">
        <f t="shared" si="82"/>
        <v>2.5976017770859277</v>
      </c>
      <c r="C104" s="60">
        <f t="shared" si="82"/>
        <v>0</v>
      </c>
      <c r="D104" s="24">
        <f t="shared" si="87"/>
        <v>2.5976017770859277</v>
      </c>
      <c r="H104" s="24">
        <f t="shared" si="88"/>
        <v>1</v>
      </c>
      <c r="I104" s="22">
        <f t="shared" si="89"/>
        <v>2.5976017770859277</v>
      </c>
      <c r="J104" s="24">
        <f t="shared" si="90"/>
        <v>2.5976017770859277</v>
      </c>
      <c r="K104" s="22">
        <f t="shared" si="91"/>
        <v>2.5976017770859277</v>
      </c>
      <c r="L104" s="22">
        <f t="shared" si="92"/>
        <v>2.5976017770859277</v>
      </c>
      <c r="M104" s="231">
        <f t="shared" si="93"/>
        <v>2.5976017770859277</v>
      </c>
      <c r="N104" s="233">
        <v>14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86"/>
        <v>Public works -- see Data2</v>
      </c>
      <c r="B105" s="60">
        <f t="shared" si="82"/>
        <v>1.759574391780822</v>
      </c>
      <c r="C105" s="60">
        <f t="shared" si="82"/>
        <v>0</v>
      </c>
      <c r="D105" s="24">
        <f t="shared" si="87"/>
        <v>1.759574391780822</v>
      </c>
      <c r="H105" s="24">
        <f t="shared" si="88"/>
        <v>1</v>
      </c>
      <c r="I105" s="22">
        <f t="shared" si="89"/>
        <v>1.759574391780822</v>
      </c>
      <c r="J105" s="24">
        <f t="shared" si="90"/>
        <v>1.759574391780822</v>
      </c>
      <c r="K105" s="22">
        <f t="shared" si="91"/>
        <v>1.759574391780822</v>
      </c>
      <c r="L105" s="22">
        <f t="shared" si="92"/>
        <v>1.759574391780822</v>
      </c>
      <c r="M105" s="231">
        <f t="shared" si="93"/>
        <v>1.759574391780822</v>
      </c>
      <c r="N105" s="233">
        <v>9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86"/>
        <v>Gifts/social support: type (Child support, Pension and Foster Care)</v>
      </c>
      <c r="B106" s="60">
        <f t="shared" si="82"/>
        <v>0</v>
      </c>
      <c r="C106" s="60">
        <f t="shared" si="82"/>
        <v>0</v>
      </c>
      <c r="D106" s="24">
        <f t="shared" si="87"/>
        <v>0</v>
      </c>
      <c r="H106" s="24">
        <f t="shared" si="88"/>
        <v>1</v>
      </c>
      <c r="I106" s="22">
        <f t="shared" si="89"/>
        <v>0</v>
      </c>
      <c r="J106" s="24">
        <f t="shared" si="90"/>
        <v>0</v>
      </c>
      <c r="K106" s="22">
        <f t="shared" si="91"/>
        <v>0</v>
      </c>
      <c r="L106" s="22">
        <f t="shared" si="92"/>
        <v>0</v>
      </c>
      <c r="M106" s="231">
        <f t="shared" si="93"/>
        <v>0</v>
      </c>
      <c r="N106" s="233">
        <v>15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86"/>
        <v>Remittances: no. times per year</v>
      </c>
      <c r="B107" s="60">
        <f t="shared" si="82"/>
        <v>0</v>
      </c>
      <c r="C107" s="60">
        <f t="shared" si="82"/>
        <v>0</v>
      </c>
      <c r="D107" s="24">
        <f t="shared" si="87"/>
        <v>0</v>
      </c>
      <c r="H107" s="24">
        <f t="shared" si="88"/>
        <v>1</v>
      </c>
      <c r="I107" s="22">
        <f t="shared" si="89"/>
        <v>0</v>
      </c>
      <c r="J107" s="24">
        <f t="shared" si="90"/>
        <v>0</v>
      </c>
      <c r="K107" s="22">
        <f t="shared" si="91"/>
        <v>0</v>
      </c>
      <c r="L107" s="22">
        <f t="shared" si="92"/>
        <v>0</v>
      </c>
      <c r="M107" s="231">
        <f t="shared" si="93"/>
        <v>0</v>
      </c>
      <c r="N107" s="233">
        <v>15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86"/>
        <v/>
      </c>
      <c r="B108" s="60">
        <f t="shared" si="82"/>
        <v>0</v>
      </c>
      <c r="C108" s="60">
        <f t="shared" si="82"/>
        <v>0</v>
      </c>
      <c r="D108" s="24">
        <f t="shared" si="87"/>
        <v>0</v>
      </c>
      <c r="H108" s="24">
        <f t="shared" si="88"/>
        <v>1</v>
      </c>
      <c r="I108" s="22">
        <f t="shared" si="89"/>
        <v>0</v>
      </c>
      <c r="J108" s="24">
        <f t="shared" si="90"/>
        <v>0</v>
      </c>
      <c r="K108" s="22">
        <f t="shared" si="91"/>
        <v>0</v>
      </c>
      <c r="L108" s="22">
        <f t="shared" si="92"/>
        <v>0</v>
      </c>
      <c r="M108" s="231">
        <f t="shared" si="93"/>
        <v>0</v>
      </c>
      <c r="N108" s="233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86"/>
        <v/>
      </c>
      <c r="B109" s="60">
        <f t="shared" si="82"/>
        <v>0</v>
      </c>
      <c r="C109" s="60">
        <f t="shared" si="82"/>
        <v>0</v>
      </c>
      <c r="D109" s="24">
        <f t="shared" si="87"/>
        <v>0</v>
      </c>
      <c r="H109" s="24">
        <f t="shared" si="88"/>
        <v>1</v>
      </c>
      <c r="I109" s="22">
        <f t="shared" si="89"/>
        <v>0</v>
      </c>
      <c r="J109" s="24">
        <f t="shared" si="90"/>
        <v>0</v>
      </c>
      <c r="K109" s="22">
        <f t="shared" si="91"/>
        <v>0</v>
      </c>
      <c r="L109" s="22">
        <f t="shared" si="92"/>
        <v>0</v>
      </c>
      <c r="M109" s="231">
        <f t="shared" si="93"/>
        <v>0</v>
      </c>
      <c r="N109" s="233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86"/>
        <v/>
      </c>
      <c r="B110" s="60">
        <f t="shared" si="82"/>
        <v>0</v>
      </c>
      <c r="C110" s="60">
        <f t="shared" si="82"/>
        <v>0</v>
      </c>
      <c r="D110" s="24">
        <f t="shared" si="87"/>
        <v>0</v>
      </c>
      <c r="H110" s="24">
        <f t="shared" si="88"/>
        <v>1</v>
      </c>
      <c r="I110" s="22">
        <f t="shared" si="89"/>
        <v>0</v>
      </c>
      <c r="J110" s="24">
        <f t="shared" si="90"/>
        <v>0</v>
      </c>
      <c r="K110" s="22">
        <f t="shared" si="91"/>
        <v>0</v>
      </c>
      <c r="L110" s="22">
        <f t="shared" si="92"/>
        <v>0</v>
      </c>
      <c r="M110" s="231">
        <f t="shared" si="93"/>
        <v>0</v>
      </c>
      <c r="N110" s="233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86"/>
        <v/>
      </c>
      <c r="B111" s="60">
        <f t="shared" si="82"/>
        <v>0</v>
      </c>
      <c r="C111" s="60">
        <f t="shared" si="82"/>
        <v>0</v>
      </c>
      <c r="D111" s="24">
        <f t="shared" si="87"/>
        <v>0</v>
      </c>
      <c r="H111" s="24">
        <f t="shared" si="88"/>
        <v>1</v>
      </c>
      <c r="I111" s="22">
        <f t="shared" si="89"/>
        <v>0</v>
      </c>
      <c r="J111" s="24">
        <f t="shared" si="90"/>
        <v>0</v>
      </c>
      <c r="K111" s="22">
        <f t="shared" si="91"/>
        <v>0</v>
      </c>
      <c r="L111" s="22">
        <f t="shared" si="92"/>
        <v>0</v>
      </c>
      <c r="M111" s="231">
        <f t="shared" si="93"/>
        <v>0</v>
      </c>
      <c r="N111" s="233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86"/>
        <v/>
      </c>
      <c r="B112" s="60">
        <f t="shared" si="82"/>
        <v>0</v>
      </c>
      <c r="C112" s="60">
        <f t="shared" si="82"/>
        <v>0</v>
      </c>
      <c r="D112" s="24">
        <f t="shared" si="87"/>
        <v>0</v>
      </c>
      <c r="H112" s="24">
        <f t="shared" si="88"/>
        <v>1</v>
      </c>
      <c r="I112" s="22">
        <f t="shared" si="89"/>
        <v>0</v>
      </c>
      <c r="J112" s="24">
        <f t="shared" si="90"/>
        <v>0</v>
      </c>
      <c r="K112" s="22">
        <f t="shared" si="91"/>
        <v>0</v>
      </c>
      <c r="L112" s="22">
        <f t="shared" si="92"/>
        <v>0</v>
      </c>
      <c r="M112" s="231">
        <f t="shared" si="93"/>
        <v>0</v>
      </c>
      <c r="N112" s="233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86"/>
        <v/>
      </c>
      <c r="B113" s="60">
        <f t="shared" si="82"/>
        <v>0</v>
      </c>
      <c r="C113" s="60">
        <f t="shared" si="82"/>
        <v>0</v>
      </c>
      <c r="D113" s="24">
        <f t="shared" si="87"/>
        <v>0</v>
      </c>
      <c r="H113" s="24">
        <f t="shared" si="88"/>
        <v>1</v>
      </c>
      <c r="I113" s="22">
        <f t="shared" si="89"/>
        <v>0</v>
      </c>
      <c r="J113" s="24">
        <f t="shared" si="90"/>
        <v>0</v>
      </c>
      <c r="K113" s="22">
        <f t="shared" si="91"/>
        <v>0</v>
      </c>
      <c r="L113" s="22">
        <f t="shared" si="92"/>
        <v>0</v>
      </c>
      <c r="M113" s="231">
        <f t="shared" si="93"/>
        <v>0</v>
      </c>
      <c r="N113" s="233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86"/>
        <v/>
      </c>
      <c r="B114" s="60">
        <f t="shared" si="82"/>
        <v>0</v>
      </c>
      <c r="C114" s="60">
        <f t="shared" si="82"/>
        <v>0</v>
      </c>
      <c r="D114" s="24">
        <f t="shared" si="87"/>
        <v>0</v>
      </c>
      <c r="H114" s="24">
        <f t="shared" si="88"/>
        <v>1</v>
      </c>
      <c r="I114" s="22">
        <f t="shared" si="89"/>
        <v>0</v>
      </c>
      <c r="J114" s="24">
        <f t="shared" si="90"/>
        <v>0</v>
      </c>
      <c r="K114" s="22">
        <f t="shared" si="91"/>
        <v>0</v>
      </c>
      <c r="L114" s="22">
        <f t="shared" si="92"/>
        <v>0</v>
      </c>
      <c r="M114" s="231">
        <f t="shared" si="93"/>
        <v>0</v>
      </c>
      <c r="N114" s="233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86"/>
        <v/>
      </c>
      <c r="B115" s="60">
        <f t="shared" si="82"/>
        <v>0</v>
      </c>
      <c r="C115" s="60">
        <f t="shared" si="82"/>
        <v>0</v>
      </c>
      <c r="D115" s="24">
        <f t="shared" si="87"/>
        <v>0</v>
      </c>
      <c r="H115" s="24">
        <f t="shared" si="88"/>
        <v>1</v>
      </c>
      <c r="I115" s="22">
        <f t="shared" si="89"/>
        <v>0</v>
      </c>
      <c r="J115" s="24">
        <f t="shared" si="90"/>
        <v>0</v>
      </c>
      <c r="K115" s="22">
        <f t="shared" si="91"/>
        <v>0</v>
      </c>
      <c r="L115" s="22">
        <f t="shared" si="92"/>
        <v>0</v>
      </c>
      <c r="M115" s="231">
        <f t="shared" si="93"/>
        <v>0</v>
      </c>
      <c r="N115" s="233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86"/>
        <v/>
      </c>
      <c r="B116" s="60">
        <f t="shared" si="82"/>
        <v>0</v>
      </c>
      <c r="C116" s="60">
        <f t="shared" si="82"/>
        <v>0</v>
      </c>
      <c r="D116" s="24">
        <f t="shared" si="87"/>
        <v>0</v>
      </c>
      <c r="H116" s="24">
        <f t="shared" si="88"/>
        <v>1</v>
      </c>
      <c r="I116" s="22">
        <f t="shared" si="89"/>
        <v>0</v>
      </c>
      <c r="J116" s="24">
        <f t="shared" si="90"/>
        <v>0</v>
      </c>
      <c r="K116" s="22">
        <f t="shared" si="91"/>
        <v>0</v>
      </c>
      <c r="L116" s="22">
        <f t="shared" si="92"/>
        <v>0</v>
      </c>
      <c r="M116" s="231">
        <f t="shared" si="93"/>
        <v>0</v>
      </c>
      <c r="N116" s="233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86"/>
        <v/>
      </c>
      <c r="B117" s="60">
        <f t="shared" si="82"/>
        <v>0</v>
      </c>
      <c r="C117" s="60">
        <f t="shared" si="82"/>
        <v>0</v>
      </c>
      <c r="D117" s="24">
        <f t="shared" si="87"/>
        <v>0</v>
      </c>
      <c r="H117" s="24">
        <f t="shared" si="88"/>
        <v>1</v>
      </c>
      <c r="I117" s="22">
        <f t="shared" si="89"/>
        <v>0</v>
      </c>
      <c r="J117" s="24">
        <f t="shared" si="90"/>
        <v>0</v>
      </c>
      <c r="K117" s="22">
        <f t="shared" si="91"/>
        <v>0</v>
      </c>
      <c r="L117" s="22">
        <f t="shared" si="92"/>
        <v>0</v>
      </c>
      <c r="M117" s="231">
        <f t="shared" si="93"/>
        <v>0</v>
      </c>
      <c r="N117" s="233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86"/>
        <v/>
      </c>
      <c r="B118" s="60">
        <f t="shared" si="82"/>
        <v>0</v>
      </c>
      <c r="C118" s="60">
        <f t="shared" si="82"/>
        <v>0</v>
      </c>
      <c r="D118" s="24">
        <f t="shared" si="87"/>
        <v>0</v>
      </c>
      <c r="H118" s="24">
        <f t="shared" si="88"/>
        <v>1</v>
      </c>
      <c r="I118" s="22">
        <f t="shared" si="89"/>
        <v>0</v>
      </c>
      <c r="J118" s="24">
        <f t="shared" si="90"/>
        <v>0</v>
      </c>
      <c r="K118" s="22">
        <f t="shared" si="91"/>
        <v>0</v>
      </c>
      <c r="L118" s="22">
        <f t="shared" si="92"/>
        <v>0</v>
      </c>
      <c r="M118" s="231">
        <f t="shared" si="93"/>
        <v>0</v>
      </c>
      <c r="N118" s="233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6.2882724945205473</v>
      </c>
      <c r="C119" s="29">
        <f>SUM(C91:C118)</f>
        <v>-0.22531423225404731</v>
      </c>
      <c r="D119" s="24">
        <f>SUM(D91:D118)</f>
        <v>6.0629582622665001</v>
      </c>
      <c r="E119" s="22"/>
      <c r="F119" s="2"/>
      <c r="G119" s="2"/>
      <c r="H119" s="31"/>
      <c r="I119" s="22">
        <f>SUM(I91:I118)</f>
        <v>6.0629582622665001</v>
      </c>
      <c r="J119" s="24">
        <f>SUM(J91:J118)</f>
        <v>6.2689810421932357</v>
      </c>
      <c r="K119" s="22">
        <f>SUM(K91:K118)</f>
        <v>6.2882724945205473</v>
      </c>
      <c r="L119" s="22">
        <f>SUM(L91:L118)</f>
        <v>6.2882724945205473</v>
      </c>
      <c r="M119" s="57">
        <f t="shared" si="81"/>
        <v>6.2689810421932357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4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4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1.761914621781288</v>
      </c>
      <c r="C124" s="56"/>
      <c r="D124" s="24"/>
      <c r="H124" s="96">
        <f>(E70*F70/G$37*F$7/F$9)</f>
        <v>1</v>
      </c>
      <c r="I124" s="29">
        <f>IF(SUMPRODUCT($B$124:$B124,$H$124:$H124)&lt;I$119,($B124*$H124),I$119)</f>
        <v>1.761914621781288</v>
      </c>
      <c r="J124" s="241">
        <f>IF(SUMPRODUCT($B$124:$B124,$H$124:$H124)&lt;J$119,($B124*$H124),J$119)</f>
        <v>1.761914621781288</v>
      </c>
      <c r="K124" s="29">
        <f>(B124)</f>
        <v>1.761914621781288</v>
      </c>
      <c r="L124" s="29">
        <f>IF(SUMPRODUCT($B$124:$B124,$H$124:$H124)&lt;L$119,($B124*$H124),L$119)</f>
        <v>1.761914621781288</v>
      </c>
      <c r="M124" s="244">
        <f t="shared" si="94"/>
        <v>1.761914621781288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1.8377462405977585</v>
      </c>
      <c r="C125" s="56"/>
      <c r="D125" s="24"/>
      <c r="H125" s="96">
        <f>(E71*F71/G$37*F$7/F$9)</f>
        <v>1</v>
      </c>
      <c r="I125" s="29">
        <f>IF(SUMPRODUCT($B$124:$B125,$H$124:$H125)&lt;I$119,($B125*$H125),IF(SUMPRODUCT($B$124:$B124,$H$124:$H124)&lt;I$119,I$119-SUMPRODUCT($B$124:$B124,$H$124:$H124),0))</f>
        <v>1.8377462405977585</v>
      </c>
      <c r="J125" s="241">
        <f>IF(SUMPRODUCT($B$124:$B125,$H$124:$H125)&lt;J$119,($B125*$H125),IF(SUMPRODUCT($B$124:$B124,$H$124:$H124)&lt;J$119,J$119-SUMPRODUCT($B$124:$B124,$H$124:$H124),0))</f>
        <v>1.8377462405977585</v>
      </c>
      <c r="K125" s="29">
        <f>(B125)</f>
        <v>1.8377462405977585</v>
      </c>
      <c r="L125" s="29">
        <f>IF(SUMPRODUCT($B$124:$B125,$H$124:$H125)&lt;L$119,($B125*$H125),IF(SUMPRODUCT($B$124:$B124,$H$124:$H124)&lt;L$119,L$119-SUMPRODUCT($B$124:$B124,$H$124:$H124),0))</f>
        <v>1.8377462405977585</v>
      </c>
      <c r="M125" s="244">
        <f t="shared" si="94"/>
        <v>1.8377462405977585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3.2728366804483189</v>
      </c>
      <c r="C126" s="56"/>
      <c r="D126" s="24"/>
      <c r="H126" s="96">
        <f>(E72*F72/G$37*F$7/F$9)</f>
        <v>1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41">
        <f>IF(SUMPRODUCT($B$124:$B126,$H$124:$H126)&lt;(J$119-J$128),($B126*$H126),IF(SUMPRODUCT($B$124:$B125,$H$124:$H125)&lt;(J$119-J$128),J$119-J$128-SUMPRODUCT($B$124:$B125,$H$124:$H125),0))</f>
        <v>2.285707843619786</v>
      </c>
      <c r="K126" s="29">
        <f t="shared" ref="K126:K127" si="95">(B126)</f>
        <v>3.2728366804483189</v>
      </c>
      <c r="L126" s="29">
        <f>IF(SUMPRODUCT($B$124:$B126,$H$124:$H126)&lt;(L$119-L$128),($B126*$H126),IF(SUMPRODUCT($B$124:$B125,$H$124:$H125)&lt;(L$119-L$128),L$119-L$128-SUMPRODUCT($B$124:$B125,$H$124:$H125),0))</f>
        <v>2.2921300144578147</v>
      </c>
      <c r="M126" s="244">
        <f t="shared" si="94"/>
        <v>2.285707843619786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0.54924767820672482</v>
      </c>
      <c r="C127" s="56"/>
      <c r="D127" s="24"/>
      <c r="H127" s="96">
        <f>(E73*F73/G$37*F$7/F$9)</f>
        <v>1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41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95"/>
        <v>0.54924767820672482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4">
        <f t="shared" si="94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0.39648161768368617</v>
      </c>
      <c r="C128" s="56"/>
      <c r="D128" s="31"/>
      <c r="E128" s="2"/>
      <c r="F128" s="2"/>
      <c r="G128" s="2"/>
      <c r="H128" s="24"/>
      <c r="I128" s="29">
        <f>(I30)</f>
        <v>4.3010436404852124</v>
      </c>
      <c r="J128" s="232">
        <f>(J30)</f>
        <v>0.38361233619440305</v>
      </c>
      <c r="K128" s="29">
        <f>(B128)</f>
        <v>0.39648161768368617</v>
      </c>
      <c r="L128" s="29">
        <f>IF(L124=L119,0,(L119-L124)/(B119-B124)*K128)</f>
        <v>0.39648161768368617</v>
      </c>
      <c r="M128" s="244">
        <f t="shared" si="94"/>
        <v>0.38361233619440305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56"/>
      <c r="D129" s="31"/>
      <c r="E129" s="2"/>
      <c r="F129" s="2"/>
      <c r="G129" s="2"/>
      <c r="H129" s="24"/>
      <c r="I129" s="29"/>
      <c r="J129" s="232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4">
        <f t="shared" si="94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6.2882724945205473</v>
      </c>
      <c r="C130" s="56"/>
      <c r="D130" s="31"/>
      <c r="E130" s="2"/>
      <c r="F130" s="2"/>
      <c r="G130" s="2"/>
      <c r="H130" s="24"/>
      <c r="I130" s="29">
        <f>(I119)</f>
        <v>6.0629582622665001</v>
      </c>
      <c r="J130" s="232">
        <f>(J119)</f>
        <v>6.2689810421932357</v>
      </c>
      <c r="K130" s="29">
        <f>(B130)</f>
        <v>6.2882724945205473</v>
      </c>
      <c r="L130" s="29">
        <f>(L119)</f>
        <v>6.2882724945205473</v>
      </c>
      <c r="M130" s="244">
        <f t="shared" si="94"/>
        <v>6.2689810421932357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1.8377462405977587</v>
      </c>
      <c r="J131" s="241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41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formatCells="0" formatColumns="0" formatRow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27:N29 U7:U22">
    <cfRule type="cellIs" dxfId="527" priority="113" operator="equal">
      <formula>16</formula>
    </cfRule>
    <cfRule type="cellIs" dxfId="526" priority="114" operator="equal">
      <formula>15</formula>
    </cfRule>
    <cfRule type="cellIs" dxfId="525" priority="115" operator="equal">
      <formula>14</formula>
    </cfRule>
    <cfRule type="cellIs" dxfId="524" priority="116" operator="equal">
      <formula>13</formula>
    </cfRule>
    <cfRule type="cellIs" dxfId="523" priority="117" operator="equal">
      <formula>12</formula>
    </cfRule>
    <cfRule type="cellIs" dxfId="522" priority="118" operator="equal">
      <formula>11</formula>
    </cfRule>
    <cfRule type="cellIs" dxfId="521" priority="119" operator="equal">
      <formula>10</formula>
    </cfRule>
    <cfRule type="cellIs" dxfId="520" priority="120" operator="equal">
      <formula>9</formula>
    </cfRule>
    <cfRule type="cellIs" dxfId="519" priority="121" operator="equal">
      <formula>8</formula>
    </cfRule>
    <cfRule type="cellIs" dxfId="518" priority="122" operator="equal">
      <formula>7</formula>
    </cfRule>
    <cfRule type="cellIs" dxfId="517" priority="123" operator="equal">
      <formula>6</formula>
    </cfRule>
    <cfRule type="cellIs" dxfId="516" priority="124" operator="equal">
      <formula>5</formula>
    </cfRule>
    <cfRule type="cellIs" dxfId="515" priority="125" operator="equal">
      <formula>4</formula>
    </cfRule>
    <cfRule type="cellIs" dxfId="514" priority="126" operator="equal">
      <formula>3</formula>
    </cfRule>
    <cfRule type="cellIs" dxfId="513" priority="127" operator="equal">
      <formula>2</formula>
    </cfRule>
    <cfRule type="cellIs" dxfId="512" priority="128" operator="equal">
      <formula>1</formula>
    </cfRule>
  </conditionalFormatting>
  <conditionalFormatting sqref="N112:N118">
    <cfRule type="cellIs" dxfId="495" priority="49" operator="equal">
      <formula>16</formula>
    </cfRule>
    <cfRule type="cellIs" dxfId="494" priority="50" operator="equal">
      <formula>15</formula>
    </cfRule>
    <cfRule type="cellIs" dxfId="493" priority="51" operator="equal">
      <formula>14</formula>
    </cfRule>
    <cfRule type="cellIs" dxfId="492" priority="52" operator="equal">
      <formula>13</formula>
    </cfRule>
    <cfRule type="cellIs" dxfId="491" priority="53" operator="equal">
      <formula>12</formula>
    </cfRule>
    <cfRule type="cellIs" dxfId="490" priority="54" operator="equal">
      <formula>11</formula>
    </cfRule>
    <cfRule type="cellIs" dxfId="489" priority="55" operator="equal">
      <formula>10</formula>
    </cfRule>
    <cfRule type="cellIs" dxfId="488" priority="56" operator="equal">
      <formula>9</formula>
    </cfRule>
    <cfRule type="cellIs" dxfId="487" priority="57" operator="equal">
      <formula>8</formula>
    </cfRule>
    <cfRule type="cellIs" dxfId="486" priority="58" operator="equal">
      <formula>7</formula>
    </cfRule>
    <cfRule type="cellIs" dxfId="485" priority="59" operator="equal">
      <formula>6</formula>
    </cfRule>
    <cfRule type="cellIs" dxfId="484" priority="60" operator="equal">
      <formula>5</formula>
    </cfRule>
    <cfRule type="cellIs" dxfId="483" priority="61" operator="equal">
      <formula>4</formula>
    </cfRule>
    <cfRule type="cellIs" dxfId="482" priority="62" operator="equal">
      <formula>3</formula>
    </cfRule>
    <cfRule type="cellIs" dxfId="481" priority="63" operator="equal">
      <formula>2</formula>
    </cfRule>
    <cfRule type="cellIs" dxfId="480" priority="64" operator="equal">
      <formula>1</formula>
    </cfRule>
  </conditionalFormatting>
  <conditionalFormatting sqref="N91:N104">
    <cfRule type="cellIs" dxfId="287" priority="33" operator="equal">
      <formula>16</formula>
    </cfRule>
    <cfRule type="cellIs" dxfId="286" priority="34" operator="equal">
      <formula>15</formula>
    </cfRule>
    <cfRule type="cellIs" dxfId="285" priority="35" operator="equal">
      <formula>14</formula>
    </cfRule>
    <cfRule type="cellIs" dxfId="284" priority="36" operator="equal">
      <formula>13</formula>
    </cfRule>
    <cfRule type="cellIs" dxfId="283" priority="37" operator="equal">
      <formula>12</formula>
    </cfRule>
    <cfRule type="cellIs" dxfId="282" priority="38" operator="equal">
      <formula>11</formula>
    </cfRule>
    <cfRule type="cellIs" dxfId="281" priority="39" operator="equal">
      <formula>10</formula>
    </cfRule>
    <cfRule type="cellIs" dxfId="280" priority="40" operator="equal">
      <formula>9</formula>
    </cfRule>
    <cfRule type="cellIs" dxfId="279" priority="41" operator="equal">
      <formula>8</formula>
    </cfRule>
    <cfRule type="cellIs" dxfId="278" priority="42" operator="equal">
      <formula>7</formula>
    </cfRule>
    <cfRule type="cellIs" dxfId="277" priority="43" operator="equal">
      <formula>6</formula>
    </cfRule>
    <cfRule type="cellIs" dxfId="276" priority="44" operator="equal">
      <formula>5</formula>
    </cfRule>
    <cfRule type="cellIs" dxfId="275" priority="45" operator="equal">
      <formula>4</formula>
    </cfRule>
    <cfRule type="cellIs" dxfId="274" priority="46" operator="equal">
      <formula>3</formula>
    </cfRule>
    <cfRule type="cellIs" dxfId="273" priority="47" operator="equal">
      <formula>2</formula>
    </cfRule>
    <cfRule type="cellIs" dxfId="272" priority="48" operator="equal">
      <formula>1</formula>
    </cfRule>
  </conditionalFormatting>
  <conditionalFormatting sqref="N105:N111">
    <cfRule type="cellIs" dxfId="255" priority="17" operator="equal">
      <formula>16</formula>
    </cfRule>
    <cfRule type="cellIs" dxfId="254" priority="18" operator="equal">
      <formula>15</formula>
    </cfRule>
    <cfRule type="cellIs" dxfId="253" priority="19" operator="equal">
      <formula>14</formula>
    </cfRule>
    <cfRule type="cellIs" dxfId="252" priority="20" operator="equal">
      <formula>13</formula>
    </cfRule>
    <cfRule type="cellIs" dxfId="251" priority="21" operator="equal">
      <formula>12</formula>
    </cfRule>
    <cfRule type="cellIs" dxfId="250" priority="22" operator="equal">
      <formula>11</formula>
    </cfRule>
    <cfRule type="cellIs" dxfId="249" priority="23" operator="equal">
      <formula>10</formula>
    </cfRule>
    <cfRule type="cellIs" dxfId="248" priority="24" operator="equal">
      <formula>9</formula>
    </cfRule>
    <cfRule type="cellIs" dxfId="247" priority="25" operator="equal">
      <formula>8</formula>
    </cfRule>
    <cfRule type="cellIs" dxfId="246" priority="26" operator="equal">
      <formula>7</formula>
    </cfRule>
    <cfRule type="cellIs" dxfId="245" priority="27" operator="equal">
      <formula>6</formula>
    </cfRule>
    <cfRule type="cellIs" dxfId="244" priority="28" operator="equal">
      <formula>5</formula>
    </cfRule>
    <cfRule type="cellIs" dxfId="243" priority="29" operator="equal">
      <formula>4</formula>
    </cfRule>
    <cfRule type="cellIs" dxfId="242" priority="30" operator="equal">
      <formula>3</formula>
    </cfRule>
    <cfRule type="cellIs" dxfId="241" priority="31" operator="equal">
      <formula>2</formula>
    </cfRule>
    <cfRule type="cellIs" dxfId="240" priority="32" operator="equal">
      <formula>1</formula>
    </cfRule>
  </conditionalFormatting>
  <conditionalFormatting sqref="N6:N26">
    <cfRule type="cellIs" dxfId="63" priority="1" operator="equal">
      <formula>16</formula>
    </cfRule>
    <cfRule type="cellIs" dxfId="62" priority="2" operator="equal">
      <formula>15</formula>
    </cfRule>
    <cfRule type="cellIs" dxfId="61" priority="3" operator="equal">
      <formula>14</formula>
    </cfRule>
    <cfRule type="cellIs" dxfId="60" priority="4" operator="equal">
      <formula>13</formula>
    </cfRule>
    <cfRule type="cellIs" dxfId="59" priority="5" operator="equal">
      <formula>12</formula>
    </cfRule>
    <cfRule type="cellIs" dxfId="58" priority="6" operator="equal">
      <formula>11</formula>
    </cfRule>
    <cfRule type="cellIs" dxfId="57" priority="7" operator="equal">
      <formula>10</formula>
    </cfRule>
    <cfRule type="cellIs" dxfId="56" priority="8" operator="equal">
      <formula>9</formula>
    </cfRule>
    <cfRule type="cellIs" dxfId="55" priority="9" operator="equal">
      <formula>8</formula>
    </cfRule>
    <cfRule type="cellIs" dxfId="54" priority="10" operator="equal">
      <formula>7</formula>
    </cfRule>
    <cfRule type="cellIs" dxfId="53" priority="11" operator="equal">
      <formula>6</formula>
    </cfRule>
    <cfRule type="cellIs" dxfId="52" priority="12" operator="equal">
      <formula>5</formula>
    </cfRule>
    <cfRule type="cellIs" dxfId="51" priority="13" operator="equal">
      <formula>4</formula>
    </cfRule>
    <cfRule type="cellIs" dxfId="50" priority="14" operator="equal">
      <formula>3</formula>
    </cfRule>
    <cfRule type="cellIs" dxfId="49" priority="15" operator="equal">
      <formula>2</formula>
    </cfRule>
    <cfRule type="cellIs" dxfId="48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6" sqref="N6:N26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ZAKHC: 59208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1" t="str">
        <f>Poor!Z1</f>
        <v>Apr-Jun</v>
      </c>
      <c r="AA1" s="182"/>
      <c r="AB1" s="181" t="str">
        <f>Poor!AB1</f>
        <v>Jul-Sep</v>
      </c>
      <c r="AC1" s="182"/>
      <c r="AD1" s="181" t="str">
        <f>Poor!AD1</f>
        <v>Oct-Dec</v>
      </c>
      <c r="AE1" s="182"/>
      <c r="AF1" s="181" t="str">
        <f>Poor!AF1</f>
        <v>Jan-Mar</v>
      </c>
      <c r="AG1" s="182"/>
      <c r="AH1" s="117"/>
      <c r="AI1" s="110"/>
      <c r="AJ1" s="181" t="str">
        <f>LEFT(Z1,4) &amp; MID(AB1,5,3)</f>
        <v>Apr-Sep</v>
      </c>
      <c r="AK1" s="182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3" t="str">
        <f>Poor!Z2</f>
        <v>Q1</v>
      </c>
      <c r="AA2" s="254"/>
      <c r="AB2" s="253" t="str">
        <f>Poor!AB2</f>
        <v>Q2</v>
      </c>
      <c r="AC2" s="254"/>
      <c r="AD2" s="253" t="str">
        <f>Poor!AD2</f>
        <v>Q3</v>
      </c>
      <c r="AE2" s="254"/>
      <c r="AF2" s="253" t="str">
        <f>Poor!AF2</f>
        <v>Q4</v>
      </c>
      <c r="AG2" s="254"/>
      <c r="AH2" s="117"/>
      <c r="AI2" s="110"/>
      <c r="AJ2" s="198" t="str">
        <f>Poor!AJ2</f>
        <v>H1</v>
      </c>
      <c r="AK2" s="199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1">
        <f>IF([1]Summ!$H1044="",0,[1]Summ!$H1044)</f>
        <v>8.0457214018857859E-2</v>
      </c>
      <c r="C6" s="102">
        <f>IF([1]Summ!$I1044="",0,[1]Summ!$I1044)</f>
        <v>0</v>
      </c>
      <c r="D6" s="24">
        <f t="shared" ref="D6:D29" si="0">(B6+C6)</f>
        <v>8.0457214018857859E-2</v>
      </c>
      <c r="E6" s="75">
        <f>Poor!E6</f>
        <v>1</v>
      </c>
      <c r="F6" s="2" t="s">
        <v>21</v>
      </c>
      <c r="H6" s="24">
        <f t="shared" ref="H6:H29" si="1">(E6*F$7/F$9)</f>
        <v>1</v>
      </c>
      <c r="I6" s="22">
        <f t="shared" ref="I6:I29" si="2">(D6*H6)</f>
        <v>8.0457214018857859E-2</v>
      </c>
      <c r="J6" s="24">
        <f t="shared" ref="J6:J13" si="3">IF(I$32&lt;=1+I$131,I6,B6*H6+J$33*(I6-B6*H6))</f>
        <v>8.0457214018857859E-2</v>
      </c>
      <c r="K6" s="22">
        <f t="shared" ref="K6:K31" si="4">B6</f>
        <v>8.0457214018857859E-2</v>
      </c>
      <c r="L6" s="22">
        <f t="shared" ref="L6:L29" si="5">IF(K6="","",K6*H6)</f>
        <v>8.0457214018857859E-2</v>
      </c>
      <c r="M6" s="228">
        <f t="shared" ref="M6:M31" si="6">J6</f>
        <v>8.0457214018857859E-2</v>
      </c>
      <c r="N6" s="233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4">
        <f>M6*4</f>
        <v>0.32182885607543144</v>
      </c>
      <c r="Z6" s="156">
        <f>Poor!Z6</f>
        <v>0.17</v>
      </c>
      <c r="AA6" s="121">
        <f>$M6*Z6*4</f>
        <v>5.4710905532823345E-2</v>
      </c>
      <c r="AB6" s="156">
        <f>Poor!AB6</f>
        <v>0.17</v>
      </c>
      <c r="AC6" s="121">
        <f t="shared" ref="AC6:AC29" si="7">$M6*AB6*4</f>
        <v>5.4710905532823345E-2</v>
      </c>
      <c r="AD6" s="156">
        <f>Poor!AD6</f>
        <v>0.33</v>
      </c>
      <c r="AE6" s="121">
        <f t="shared" ref="AE6:AE29" si="8">$M6*AD6*4</f>
        <v>0.10620352250489237</v>
      </c>
      <c r="AF6" s="122">
        <f>1-SUM(Z6,AB6,AD6)</f>
        <v>0.32999999999999996</v>
      </c>
      <c r="AG6" s="121">
        <f>$M6*AF6*4</f>
        <v>0.10620352250489236</v>
      </c>
      <c r="AH6" s="123">
        <f>SUM(Z6,AB6,AD6,AF6)</f>
        <v>1</v>
      </c>
      <c r="AI6" s="184">
        <f>SUM(AA6,AC6,AE6,AG6)/4</f>
        <v>8.0457214018857859E-2</v>
      </c>
      <c r="AJ6" s="120">
        <f>(AA6+AC6)/2</f>
        <v>5.4710905532823345E-2</v>
      </c>
      <c r="AK6" s="119">
        <f>(AE6+AG6)/2</f>
        <v>0.10620352250489237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101">
        <f>IF([1]Summ!$H1045="",0,[1]Summ!$H1045)</f>
        <v>6.0258338373954806E-2</v>
      </c>
      <c r="C7" s="102">
        <f>IF([1]Summ!$I1045="",0,[1]Summ!$I1045)</f>
        <v>0</v>
      </c>
      <c r="D7" s="24">
        <f t="shared" si="0"/>
        <v>6.0258338373954806E-2</v>
      </c>
      <c r="E7" s="75">
        <f>Poor!E7</f>
        <v>1</v>
      </c>
      <c r="F7" s="27">
        <v>8800</v>
      </c>
      <c r="H7" s="24">
        <f t="shared" si="1"/>
        <v>1</v>
      </c>
      <c r="I7" s="22">
        <f t="shared" si="2"/>
        <v>6.0258338373954806E-2</v>
      </c>
      <c r="J7" s="24">
        <f t="shared" si="3"/>
        <v>6.0258338373954806E-2</v>
      </c>
      <c r="K7" s="22">
        <f t="shared" si="4"/>
        <v>6.0258338373954806E-2</v>
      </c>
      <c r="L7" s="22">
        <f t="shared" si="5"/>
        <v>6.0258338373954806E-2</v>
      </c>
      <c r="M7" s="228">
        <f t="shared" si="6"/>
        <v>6.0258338373954806E-2</v>
      </c>
      <c r="N7" s="233">
        <v>3</v>
      </c>
      <c r="O7" s="2"/>
      <c r="P7" s="22"/>
      <c r="Q7" s="59" t="s">
        <v>71</v>
      </c>
      <c r="R7" s="226">
        <f>IF($B$81=0,0,(SUMIF($N$6:$N$28,$U7,K$6:K$28)+SUMIF($N$91:$N$118,$U7,K$91:K$118))*$B$83*$H$84*Poor!$B$81/$B$81)</f>
        <v>1795.2644041041829</v>
      </c>
      <c r="S7" s="226">
        <f>IF($B$81=0,0,(SUMIF($N$6:$N$28,$U7,L$6:L$28)+SUMIF($N$91:$N$118,$U7,L$91:L$118))*$B$83*$H$84*Poor!$B$81/$B$81)</f>
        <v>1795.2644041041829</v>
      </c>
      <c r="T7" s="226">
        <f>IF($B$81=0,0,(SUMIF($N$6:$N$28,$U7,M$6:M$28)+SUMIF($N$91:$N$118,$U7,M$91:M$118))*$B$83*$H$84*Poor!$B$81/$B$81)</f>
        <v>1427.4131054957347</v>
      </c>
      <c r="U7" s="227">
        <v>1</v>
      </c>
      <c r="V7" s="56"/>
      <c r="W7" s="115"/>
      <c r="X7" s="118">
        <f>Poor!X7</f>
        <v>4</v>
      </c>
      <c r="Y7" s="184">
        <f t="shared" ref="Y7:Y29" si="9">M7*4</f>
        <v>0.24103335349581922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0.24103335349581922</v>
      </c>
      <c r="AH7" s="123">
        <f t="shared" ref="AH7:AH30" si="12">SUM(Z7,AB7,AD7,AF7)</f>
        <v>1</v>
      </c>
      <c r="AI7" s="184">
        <f t="shared" ref="AI7:AI30" si="13">SUM(AA7,AC7,AE7,AG7)/4</f>
        <v>6.0258338373954806E-2</v>
      </c>
      <c r="AJ7" s="120">
        <f t="shared" ref="AJ7:AJ31" si="14">(AA7+AC7)/2</f>
        <v>0</v>
      </c>
      <c r="AK7" s="119">
        <f t="shared" ref="AK7:AK31" si="15">(AE7+AG7)/2</f>
        <v>0.12051667674790961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Maize: kg produced</v>
      </c>
      <c r="B8" s="101">
        <f>IF([1]Summ!$H1046="",0,[1]Summ!$H1046)</f>
        <v>6.759510763209392E-2</v>
      </c>
      <c r="C8" s="102">
        <f>IF([1]Summ!$I1046="",0,[1]Summ!$I1046)</f>
        <v>0.67595107632093931</v>
      </c>
      <c r="D8" s="24">
        <f t="shared" si="0"/>
        <v>0.74354618395303329</v>
      </c>
      <c r="E8" s="75">
        <f>Poor!E8</f>
        <v>1</v>
      </c>
      <c r="F8" s="22" t="s">
        <v>23</v>
      </c>
      <c r="H8" s="24">
        <f t="shared" si="1"/>
        <v>1</v>
      </c>
      <c r="I8" s="22">
        <f t="shared" si="2"/>
        <v>0.74354618395303329</v>
      </c>
      <c r="J8" s="24">
        <f t="shared" si="3"/>
        <v>3.7930428469542879E-2</v>
      </c>
      <c r="K8" s="22">
        <f t="shared" si="4"/>
        <v>6.759510763209392E-2</v>
      </c>
      <c r="L8" s="22">
        <f t="shared" si="5"/>
        <v>6.759510763209392E-2</v>
      </c>
      <c r="M8" s="228">
        <f t="shared" si="6"/>
        <v>3.7930428469542879E-2</v>
      </c>
      <c r="N8" s="233">
        <v>1</v>
      </c>
      <c r="O8" s="2"/>
      <c r="P8" s="22"/>
      <c r="Q8" s="59" t="s">
        <v>72</v>
      </c>
      <c r="R8" s="226">
        <f>IF($B$81=0,0,(SUMIF($N$6:$N$28,$U8,K$6:K$28)+SUMIF($N$91:$N$118,$U8,K$91:K$118))*$B$83*$H$84*Poor!$B$81/$B$81)</f>
        <v>25314.28571428571</v>
      </c>
      <c r="S8" s="226">
        <f>IF($B$81=0,0,(SUMIF($N$6:$N$28,$U8,L$6:L$28)+SUMIF($N$91:$N$118,$U8,L$91:L$118))*$B$83*$H$84*Poor!$B$81/$B$81)</f>
        <v>25314.28571428571</v>
      </c>
      <c r="T8" s="226">
        <f>IF($B$81=0,0,(SUMIF($N$6:$N$28,$U8,M$6:M$28)+SUMIF($N$91:$N$118,$U8,M$91:M$118))*$B$83*$H$84*Poor!$B$81/$B$81)</f>
        <v>25560.046404858844</v>
      </c>
      <c r="U8" s="227">
        <v>2</v>
      </c>
      <c r="V8" s="56"/>
      <c r="W8" s="115"/>
      <c r="X8" s="118">
        <f>Poor!X8</f>
        <v>1</v>
      </c>
      <c r="Y8" s="184">
        <f t="shared" si="9"/>
        <v>0.15172171387817152</v>
      </c>
      <c r="Z8" s="125">
        <f>IF($Y8=0,0,AA8/$Y8)</f>
        <v>0.50950763705383906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7.7303371927825826E-2</v>
      </c>
      <c r="AB8" s="125">
        <f>IF($Y8=0,0,AC8/$Y8)</f>
        <v>0.49049236294616094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7.441834195034569E-2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4">
        <f t="shared" si="13"/>
        <v>3.7930428469542879E-2</v>
      </c>
      <c r="AJ8" s="120">
        <f t="shared" si="14"/>
        <v>7.5860856939085758E-2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Beans: kg produced</v>
      </c>
      <c r="B9" s="101">
        <f>IF([1]Summ!$H1047="",0,[1]Summ!$H1047)</f>
        <v>3.1563004803415763E-2</v>
      </c>
      <c r="C9" s="102">
        <f>IF([1]Summ!$I1047="",0,[1]Summ!$I1047)</f>
        <v>0</v>
      </c>
      <c r="D9" s="24">
        <f t="shared" si="0"/>
        <v>3.1563004803415763E-2</v>
      </c>
      <c r="E9" s="75">
        <f>Poor!E9</f>
        <v>1</v>
      </c>
      <c r="F9" s="76">
        <f>Poor!F9</f>
        <v>8800</v>
      </c>
      <c r="H9" s="24">
        <f t="shared" si="1"/>
        <v>1</v>
      </c>
      <c r="I9" s="22">
        <f t="shared" si="2"/>
        <v>3.1563004803415763E-2</v>
      </c>
      <c r="J9" s="24">
        <f t="shared" si="3"/>
        <v>3.1563004803415763E-2</v>
      </c>
      <c r="K9" s="22">
        <f t="shared" si="4"/>
        <v>3.1563004803415763E-2</v>
      </c>
      <c r="L9" s="22">
        <f t="shared" si="5"/>
        <v>3.1563004803415763E-2</v>
      </c>
      <c r="M9" s="228">
        <f t="shared" si="6"/>
        <v>3.1563004803415763E-2</v>
      </c>
      <c r="N9" s="233">
        <v>1</v>
      </c>
      <c r="O9" s="2"/>
      <c r="P9" s="22"/>
      <c r="Q9" s="59" t="s">
        <v>73</v>
      </c>
      <c r="R9" s="226">
        <f>IF($B$81=0,0,(SUMIF($N$6:$N$28,$U9,K$6:K$28)+SUMIF($N$91:$N$118,$U9,K$91:K$118))*$B$83*$H$84*Poor!$B$81/$B$81)</f>
        <v>1192.8527655866458</v>
      </c>
      <c r="S9" s="226">
        <f>IF($B$81=0,0,(SUMIF($N$6:$N$28,$U9,L$6:L$28)+SUMIF($N$91:$N$118,$U9,L$91:L$118))*$B$83*$H$84*Poor!$B$81/$B$81)</f>
        <v>1192.8527655866458</v>
      </c>
      <c r="T9" s="226">
        <f>IF($B$81=0,0,(SUMIF($N$6:$N$28,$U9,M$6:M$28)+SUMIF($N$91:$N$118,$U9,M$91:M$118))*$B$83*$H$84*Poor!$B$81/$B$81)</f>
        <v>1192.8527655866458</v>
      </c>
      <c r="U9" s="227">
        <v>3</v>
      </c>
      <c r="V9" s="56"/>
      <c r="W9" s="115"/>
      <c r="X9" s="118">
        <f>Poor!X9</f>
        <v>1</v>
      </c>
      <c r="Y9" s="184">
        <f t="shared" si="9"/>
        <v>0.12625201921366305</v>
      </c>
      <c r="Z9" s="125">
        <f>IF($Y9=0,0,AA9/$Y9)</f>
        <v>0.50950763705383895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6.4326367982829341E-2</v>
      </c>
      <c r="AB9" s="125">
        <f>IF($Y9=0,0,AC9/$Y9)</f>
        <v>0.490492362946161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6.1925651230833711E-2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4">
        <f t="shared" si="13"/>
        <v>3.1563004803415763E-2</v>
      </c>
      <c r="AJ9" s="120">
        <f t="shared" si="14"/>
        <v>6.3126009606831526E-2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potatoes: kg produced</v>
      </c>
      <c r="B10" s="101">
        <f>IF([1]Summ!$H1048="",0,[1]Summ!$H1048)</f>
        <v>0.11262127023661268</v>
      </c>
      <c r="C10" s="102">
        <f>IF([1]Summ!$I1048="",0,[1]Summ!$I1048)</f>
        <v>0.31283686176836861</v>
      </c>
      <c r="D10" s="24">
        <f t="shared" si="0"/>
        <v>0.42545813200498128</v>
      </c>
      <c r="E10" s="75">
        <f>Poor!E10</f>
        <v>1</v>
      </c>
      <c r="H10" s="24">
        <f t="shared" si="1"/>
        <v>1</v>
      </c>
      <c r="I10" s="22">
        <f t="shared" si="2"/>
        <v>0.42545813200498128</v>
      </c>
      <c r="J10" s="24">
        <f t="shared" si="3"/>
        <v>9.8892162525018812E-2</v>
      </c>
      <c r="K10" s="22">
        <f t="shared" si="4"/>
        <v>0.11262127023661268</v>
      </c>
      <c r="L10" s="22">
        <f t="shared" si="5"/>
        <v>0.11262127023661268</v>
      </c>
      <c r="M10" s="228">
        <f t="shared" si="6"/>
        <v>9.8892162525018812E-2</v>
      </c>
      <c r="N10" s="233">
        <v>1</v>
      </c>
      <c r="O10" s="2"/>
      <c r="P10" s="22"/>
      <c r="Q10" s="59" t="s">
        <v>74</v>
      </c>
      <c r="R10" s="226">
        <f>IF($B$81=0,0,(SUMIF($N$6:$N$28,$U10,K$6:K$28)+SUMIF($N$91:$N$118,$U10,K$91:K$118))*$B$83*$H$84*Poor!$B$81/$B$81)</f>
        <v>0</v>
      </c>
      <c r="S10" s="226">
        <f>IF($B$81=0,0,(SUMIF($N$6:$N$28,$U10,L$6:L$28)+SUMIF($N$91:$N$118,$U10,L$91:L$118))*$B$83*$H$84*Poor!$B$81/$B$81)</f>
        <v>0</v>
      </c>
      <c r="T10" s="226">
        <f>IF($B$81=0,0,(SUMIF($N$6:$N$28,$U10,M$6:M$28)+SUMIF($N$91:$N$118,$U10,M$91:M$118))*$B$83*$H$84*Poor!$B$81/$B$81)</f>
        <v>0</v>
      </c>
      <c r="U10" s="227">
        <v>4</v>
      </c>
      <c r="V10" s="56"/>
      <c r="W10" s="115"/>
      <c r="X10" s="118">
        <f>Poor!X10</f>
        <v>1</v>
      </c>
      <c r="Y10" s="184">
        <f t="shared" si="9"/>
        <v>0.39556865010007525</v>
      </c>
      <c r="Z10" s="125">
        <f>IF($Y10=0,0,AA10/$Y10)</f>
        <v>0.50950763705383895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0.20154524820506614</v>
      </c>
      <c r="AB10" s="125">
        <f>IF($Y10=0,0,AC10/$Y10)</f>
        <v>0.49049236294616111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0.19402340189500911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4">
        <f t="shared" si="13"/>
        <v>9.8892162525018812E-2</v>
      </c>
      <c r="AJ10" s="120">
        <f t="shared" si="14"/>
        <v>0.19778432505003762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WILD FOODS -- see worksheet Data 3</v>
      </c>
      <c r="B11" s="101">
        <f>IF([1]Summ!$H1049="",0,[1]Summ!$H1049)</f>
        <v>0</v>
      </c>
      <c r="C11" s="102">
        <f>IF([1]Summ!$I1049="",0,[1]Summ!$I1049)</f>
        <v>0</v>
      </c>
      <c r="D11" s="24">
        <f t="shared" si="0"/>
        <v>0</v>
      </c>
      <c r="E11" s="75">
        <f>Poor!E11</f>
        <v>1</v>
      </c>
      <c r="H11" s="24">
        <f t="shared" si="1"/>
        <v>1</v>
      </c>
      <c r="I11" s="22">
        <f t="shared" si="2"/>
        <v>0</v>
      </c>
      <c r="J11" s="24">
        <f t="shared" si="3"/>
        <v>0</v>
      </c>
      <c r="K11" s="22">
        <f t="shared" si="4"/>
        <v>0</v>
      </c>
      <c r="L11" s="22">
        <f t="shared" si="5"/>
        <v>0</v>
      </c>
      <c r="M11" s="228">
        <f t="shared" si="6"/>
        <v>0</v>
      </c>
      <c r="N11" s="233">
        <v>6</v>
      </c>
      <c r="O11" s="2"/>
      <c r="P11" s="22"/>
      <c r="Q11" s="59" t="s">
        <v>75</v>
      </c>
      <c r="R11" s="226">
        <f>IF($B$81=0,0,(SUMIF($N$6:$N$28,$U11,K$6:K$28)+SUMIF($N$91:$N$118,$U11,K$91:K$118))*$B$83*$H$84*Poor!$B$81/$B$81)</f>
        <v>28457.142857142851</v>
      </c>
      <c r="S11" s="226">
        <f>IF($B$81=0,0,(SUMIF($N$6:$N$28,$U11,L$6:L$28)+SUMIF($N$91:$N$118,$U11,L$91:L$118))*$B$83*$H$84*Poor!$B$81/$B$81)</f>
        <v>28457.142857142851</v>
      </c>
      <c r="T11" s="226">
        <f>IF($B$81=0,0,(SUMIF($N$6:$N$28,$U11,M$6:M$28)+SUMIF($N$91:$N$118,$U11,M$91:M$118))*$B$83*$H$84*Poor!$B$81/$B$81)</f>
        <v>28256.52188524642</v>
      </c>
      <c r="U11" s="227">
        <v>5</v>
      </c>
      <c r="V11" s="56"/>
      <c r="W11" s="115"/>
      <c r="X11" s="118">
        <f>Poor!X11</f>
        <v>1</v>
      </c>
      <c r="Y11" s="184">
        <f t="shared" si="9"/>
        <v>0</v>
      </c>
      <c r="Z11" s="125">
        <f>IF($Y11=0,0,AA11/$Y11)</f>
        <v>0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1</v>
      </c>
      <c r="AG11" s="121">
        <f t="shared" si="11"/>
        <v>0</v>
      </c>
      <c r="AH11" s="123">
        <f t="shared" si="12"/>
        <v>1</v>
      </c>
      <c r="AI11" s="184">
        <f t="shared" si="13"/>
        <v>0</v>
      </c>
      <c r="AJ11" s="120">
        <f t="shared" si="14"/>
        <v>0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/>
      </c>
      <c r="B12" s="101">
        <f>IF([1]Summ!$H1050="",0,[1]Summ!$H1050)</f>
        <v>0</v>
      </c>
      <c r="C12" s="102">
        <f>IF([1]Summ!$I1050="",0,[1]Summ!$I1050)</f>
        <v>0</v>
      </c>
      <c r="D12" s="24">
        <f t="shared" si="0"/>
        <v>0</v>
      </c>
      <c r="E12" s="75">
        <f>Poor!E12</f>
        <v>1</v>
      </c>
      <c r="H12" s="24">
        <f t="shared" si="1"/>
        <v>1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8">
        <f t="shared" si="6"/>
        <v>0</v>
      </c>
      <c r="N12" s="233"/>
      <c r="O12" s="2"/>
      <c r="P12" s="22"/>
      <c r="Q12" s="126" t="s">
        <v>124</v>
      </c>
      <c r="R12" s="226">
        <f>IF($B$81=0,0,(SUMIF($N$6:$N$28,$U12,K$6:K$28)+SUMIF($N$91:$N$118,$U12,K$91:K$118))*$B$83*$H$84*Poor!$B$81/$B$81)</f>
        <v>0</v>
      </c>
      <c r="S12" s="226">
        <f>IF($B$81=0,0,(SUMIF($N$6:$N$28,$U12,L$6:L$28)+SUMIF($N$91:$N$118,$U12,L$91:L$118))*$B$83*$H$84*Poor!$B$81/$B$81)</f>
        <v>0</v>
      </c>
      <c r="T12" s="226">
        <f>IF($B$81=0,0,(SUMIF($N$6:$N$28,$U12,M$6:M$28)+SUMIF($N$91:$N$118,$U12,M$91:M$118))*$B$83*$H$84*Poor!$B$81/$B$81)</f>
        <v>0</v>
      </c>
      <c r="U12" s="227">
        <v>6</v>
      </c>
      <c r="V12" s="56"/>
      <c r="W12" s="117"/>
      <c r="X12" s="118"/>
      <c r="Y12" s="184">
        <f t="shared" si="9"/>
        <v>0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0</v>
      </c>
      <c r="AF12" s="122">
        <f>1-SUM(Z12,AB12,AD12)</f>
        <v>0.32999999999999996</v>
      </c>
      <c r="AG12" s="121">
        <f>$M12*AF12*4</f>
        <v>0</v>
      </c>
      <c r="AH12" s="123">
        <f t="shared" si="12"/>
        <v>1</v>
      </c>
      <c r="AI12" s="184">
        <f t="shared" si="13"/>
        <v>0</v>
      </c>
      <c r="AJ12" s="120">
        <f t="shared" si="14"/>
        <v>0</v>
      </c>
      <c r="AK12" s="119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/>
      </c>
      <c r="B13" s="101">
        <f>IF([1]Summ!$H1051="",0,[1]Summ!$H1051)</f>
        <v>0</v>
      </c>
      <c r="C13" s="102">
        <f>IF([1]Summ!$I1051="",0,[1]Summ!$I1051)</f>
        <v>0</v>
      </c>
      <c r="D13" s="24">
        <f t="shared" si="0"/>
        <v>0</v>
      </c>
      <c r="E13" s="75">
        <f>Poor!E13</f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9">
        <f t="shared" si="6"/>
        <v>0</v>
      </c>
      <c r="N13" s="233"/>
      <c r="O13" s="2"/>
      <c r="P13" s="22"/>
      <c r="Q13" s="59" t="s">
        <v>76</v>
      </c>
      <c r="R13" s="226">
        <f>IF($B$81=0,0,(SUMIF($N$6:$N$28,$U13,K$6:K$28)+SUMIF($N$91:$N$118,$U13,K$91:K$118))*$B$83*$H$84*Poor!$B$81/$B$81)</f>
        <v>0</v>
      </c>
      <c r="S13" s="226">
        <f>IF($B$81=0,0,(SUMIF($N$6:$N$28,$U13,L$6:L$28)+SUMIF($N$91:$N$118,$U13,L$91:L$118))*$B$83*$H$84*Poor!$B$81/$B$81)</f>
        <v>0</v>
      </c>
      <c r="T13" s="226">
        <f>IF($B$81=0,0,(SUMIF($N$6:$N$28,$U13,M$6:M$28)+SUMIF($N$91:$N$118,$U13,M$91:M$118))*$B$83*$H$84*Poor!$B$81/$B$81)</f>
        <v>0</v>
      </c>
      <c r="U13" s="227">
        <v>7</v>
      </c>
      <c r="V13" s="56"/>
      <c r="W13" s="110"/>
      <c r="X13" s="118"/>
      <c r="Y13" s="184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4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/>
      </c>
      <c r="B14" s="101">
        <f>IF([1]Summ!$H1052="",0,[1]Summ!$H1052)</f>
        <v>0</v>
      </c>
      <c r="C14" s="102">
        <f>IF([1]Summ!$I1052="",0,[1]Summ!$I1052)</f>
        <v>0</v>
      </c>
      <c r="D14" s="24">
        <f t="shared" si="0"/>
        <v>0</v>
      </c>
      <c r="E14" s="75">
        <f>Poor!E14</f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9">
        <f t="shared" si="6"/>
        <v>0</v>
      </c>
      <c r="N14" s="233"/>
      <c r="O14" s="2"/>
      <c r="P14" s="22"/>
      <c r="Q14" s="126" t="s">
        <v>77</v>
      </c>
      <c r="R14" s="226">
        <f>IF($B$81=0,0,(SUMIF($N$6:$N$28,$U14,K$6:K$28)+SUMIF($N$91:$N$118,$U14,K$91:K$118))*$B$83*$H$84*Poor!$B$81/$B$81)</f>
        <v>21942.857142857141</v>
      </c>
      <c r="S14" s="226">
        <f>IF($B$81=0,0,(SUMIF($N$6:$N$28,$U14,L$6:L$28)+SUMIF($N$91:$N$118,$U14,L$91:L$118))*$B$83*$H$84*Poor!$B$81/$B$81)</f>
        <v>21942.857142857141</v>
      </c>
      <c r="T14" s="226">
        <f>IF($B$81=0,0,(SUMIF($N$6:$N$28,$U14,M$6:M$28)+SUMIF($N$91:$N$118,$U14,M$91:M$118))*$B$83*$H$84*Poor!$B$81/$B$81)</f>
        <v>21942.857142857141</v>
      </c>
      <c r="U14" s="227">
        <v>8</v>
      </c>
      <c r="V14" s="56"/>
      <c r="W14" s="110"/>
      <c r="X14" s="118"/>
      <c r="Y14" s="184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4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/>
      </c>
      <c r="B15" s="101">
        <f>IF([1]Summ!$H1053="",0,[1]Summ!$H1053)</f>
        <v>0</v>
      </c>
      <c r="C15" s="102">
        <f>IF([1]Summ!$I1053="",0,[1]Summ!$I1053)</f>
        <v>0</v>
      </c>
      <c r="D15" s="24">
        <f t="shared" si="0"/>
        <v>0</v>
      </c>
      <c r="E15" s="75">
        <f>Poor!E15</f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30">
        <f t="shared" si="6"/>
        <v>0</v>
      </c>
      <c r="N15" s="233"/>
      <c r="O15" s="2"/>
      <c r="P15" s="22"/>
      <c r="Q15" s="59" t="s">
        <v>126</v>
      </c>
      <c r="R15" s="226">
        <f>IF($B$81=0,0,(SUMIF($N$6:$N$28,$U15,K$6:K$28)+SUMIF($N$91:$N$118,$U15,K$91:K$118))*$B$83*$H$84*Poor!$B$81/$B$81)</f>
        <v>0</v>
      </c>
      <c r="S15" s="226">
        <f>IF($B$81=0,0,(SUMIF($N$6:$N$28,$U15,L$6:L$28)+SUMIF($N$91:$N$118,$U15,L$91:L$118))*$B$83*$H$84*Poor!$B$81/$B$81)</f>
        <v>0</v>
      </c>
      <c r="T15" s="226">
        <f>IF($B$81=0,0,(SUMIF($N$6:$N$28,$U15,M$6:M$28)+SUMIF($N$91:$N$118,$U15,M$91:M$118))*$B$83*$H$84*Poor!$B$81/$B$81)</f>
        <v>0</v>
      </c>
      <c r="U15" s="227">
        <v>9</v>
      </c>
      <c r="V15" s="56"/>
      <c r="W15" s="110"/>
      <c r="X15" s="118"/>
      <c r="Y15" s="184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4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/>
      </c>
      <c r="B16" s="101">
        <f>IF([1]Summ!$H1054="",0,[1]Summ!$H1054)</f>
        <v>0</v>
      </c>
      <c r="C16" s="102">
        <f>IF([1]Summ!$I1054="",0,[1]Summ!$I1054)</f>
        <v>0</v>
      </c>
      <c r="D16" s="24">
        <f t="shared" si="0"/>
        <v>0</v>
      </c>
      <c r="E16" s="75">
        <f>Poor!E16</f>
        <v>1</v>
      </c>
      <c r="F16" s="22"/>
      <c r="H16" s="24">
        <f t="shared" si="1"/>
        <v>1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28">
        <f t="shared" si="6"/>
        <v>0</v>
      </c>
      <c r="N16" s="233"/>
      <c r="O16" s="2"/>
      <c r="P16" s="22"/>
      <c r="Q16" s="126" t="s">
        <v>78</v>
      </c>
      <c r="R16" s="226">
        <f>IF($B$81=0,0,(SUMIF($N$6:$N$28,$U16,K$6:K$28)+SUMIF($N$91:$N$118,$U16,K$91:K$118))*$B$83*$H$84*Poor!$B$81/$B$81)</f>
        <v>0</v>
      </c>
      <c r="S16" s="226">
        <f>IF($B$81=0,0,(SUMIF($N$6:$N$28,$U16,L$6:L$28)+SUMIF($N$91:$N$118,$U16,L$91:L$118))*$B$83*$H$84*Poor!$B$81/$B$81)</f>
        <v>0</v>
      </c>
      <c r="T16" s="226">
        <f>IF($B$81=0,0,(SUMIF($N$6:$N$28,$U16,M$6:M$28)+SUMIF($N$91:$N$118,$U16,M$91:M$118))*$B$83*$H$84*Poor!$B$81/$B$81)</f>
        <v>0</v>
      </c>
      <c r="U16" s="227">
        <v>10</v>
      </c>
      <c r="V16" s="56"/>
      <c r="W16" s="110"/>
      <c r="X16" s="118"/>
      <c r="Y16" s="184">
        <f t="shared" si="9"/>
        <v>0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4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/>
      </c>
      <c r="B17" s="101">
        <f>IF([1]Summ!$H1055="",0,[1]Summ!$H1055)</f>
        <v>0</v>
      </c>
      <c r="C17" s="102">
        <f>IF([1]Summ!$I1055="",0,[1]Summ!$I1055)</f>
        <v>0</v>
      </c>
      <c r="D17" s="24">
        <f t="shared" si="0"/>
        <v>0</v>
      </c>
      <c r="E17" s="75">
        <f>Poor!E17</f>
        <v>1</v>
      </c>
      <c r="F17" s="22"/>
      <c r="H17" s="24">
        <f t="shared" si="1"/>
        <v>1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9">
        <f t="shared" si="6"/>
        <v>0</v>
      </c>
      <c r="N17" s="233"/>
      <c r="O17" s="2"/>
      <c r="P17" s="22"/>
      <c r="Q17" s="126" t="s">
        <v>125</v>
      </c>
      <c r="R17" s="226">
        <f>IF($B$81=0,0,(SUMIF($N$6:$N$28,$U17,K$6:K$28)+SUMIF($N$91:$N$118,$U17,K$91:K$118))*$B$83*$H$84*Poor!$B$81/$B$81)</f>
        <v>0</v>
      </c>
      <c r="S17" s="226">
        <f>IF($B$81=0,0,(SUMIF($N$6:$N$28,$U17,L$6:L$28)+SUMIF($N$91:$N$118,$U17,L$91:L$118))*$B$83*$H$84*Poor!$B$81/$B$81)</f>
        <v>0</v>
      </c>
      <c r="T17" s="226">
        <f>IF($B$81=0,0,(SUMIF($N$6:$N$28,$U17,M$6:M$28)+SUMIF($N$91:$N$118,$U17,M$91:M$118))*$B$83*$H$84*Poor!$B$81/$B$81)</f>
        <v>0</v>
      </c>
      <c r="U17" s="227">
        <v>11</v>
      </c>
      <c r="V17" s="56"/>
      <c r="W17" s="110"/>
      <c r="X17" s="118"/>
      <c r="Y17" s="184">
        <f t="shared" si="9"/>
        <v>0</v>
      </c>
      <c r="Z17" s="156">
        <f>Poor!Z17</f>
        <v>0.29409999999999997</v>
      </c>
      <c r="AA17" s="121">
        <f t="shared" si="16"/>
        <v>0</v>
      </c>
      <c r="AB17" s="156">
        <f>Poor!AB17</f>
        <v>0.17649999999999999</v>
      </c>
      <c r="AC17" s="121">
        <f t="shared" si="7"/>
        <v>0</v>
      </c>
      <c r="AD17" s="156">
        <f>Poor!AD17</f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4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/>
      </c>
      <c r="B18" s="101">
        <f>IF([1]Summ!$H1056="",0,[1]Summ!$H1056)</f>
        <v>0</v>
      </c>
      <c r="C18" s="102">
        <f>IF([1]Summ!$I1056="",0,[1]Summ!$I1056)</f>
        <v>0</v>
      </c>
      <c r="D18" s="24">
        <f t="shared" ref="D18:D25" si="18">(B18+C18)</f>
        <v>0</v>
      </c>
      <c r="E18" s="75">
        <f>Poor!E18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9">
        <f t="shared" ref="M18:M25" si="23">J18</f>
        <v>0</v>
      </c>
      <c r="N18" s="233"/>
      <c r="O18" s="2"/>
      <c r="P18" s="22"/>
      <c r="Q18" s="59" t="s">
        <v>79</v>
      </c>
      <c r="R18" s="226">
        <f>IF($B$81=0,0,(SUMIF($N$6:$N$28,$U18,K$6:K$28)+SUMIF($N$91:$N$118,$U18,K$91:K$118))*$B$83*$H$84*Poor!$B$81/$B$81)</f>
        <v>1009.1726124276728</v>
      </c>
      <c r="S18" s="226">
        <f>IF($B$81=0,0,(SUMIF($N$6:$N$28,$U18,L$6:L$28)+SUMIF($N$91:$N$118,$U18,L$91:L$118))*$B$83*$H$84*Poor!$B$81/$B$81)</f>
        <v>1009.1726124276728</v>
      </c>
      <c r="T18" s="226">
        <f>IF($B$81=0,0,(SUMIF($N$6:$N$28,$U18,M$6:M$28)+SUMIF($N$91:$N$118,$U18,M$91:M$118))*$B$83*$H$84*Poor!$B$81/$B$81)</f>
        <v>1009.1726124276728</v>
      </c>
      <c r="U18" s="227">
        <v>12</v>
      </c>
      <c r="V18" s="56"/>
      <c r="W18" s="110"/>
      <c r="X18" s="118"/>
      <c r="Y18" s="184"/>
      <c r="Z18" s="156"/>
      <c r="AA18" s="121"/>
      <c r="AB18" s="156"/>
      <c r="AC18" s="121"/>
      <c r="AD18" s="156"/>
      <c r="AE18" s="121"/>
      <c r="AF18" s="122"/>
      <c r="AG18" s="121"/>
      <c r="AH18" s="123"/>
      <c r="AI18" s="184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/>
      </c>
      <c r="B19" s="101">
        <f>IF([1]Summ!$H1057="",0,[1]Summ!$H1057)</f>
        <v>0</v>
      </c>
      <c r="C19" s="102">
        <f>IF([1]Summ!$I1057="",0,[1]Summ!$I1057)</f>
        <v>0</v>
      </c>
      <c r="D19" s="24">
        <f t="shared" si="18"/>
        <v>0</v>
      </c>
      <c r="E19" s="75">
        <f>Poor!E19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9">
        <f t="shared" si="23"/>
        <v>0</v>
      </c>
      <c r="N19" s="233"/>
      <c r="O19" s="2"/>
      <c r="P19" s="22"/>
      <c r="Q19" s="59" t="s">
        <v>80</v>
      </c>
      <c r="R19" s="226">
        <f>IF($B$81=0,0,(SUMIF($N$6:$N$28,$U19,K$6:K$28)+SUMIF($N$91:$N$118,$U19,K$91:K$118))*$B$83*$H$84*Poor!$B$81/$B$81)</f>
        <v>0</v>
      </c>
      <c r="S19" s="226">
        <f>IF($B$81=0,0,(SUMIF($N$6:$N$28,$U19,L$6:L$28)+SUMIF($N$91:$N$118,$U19,L$91:L$118))*$B$83*$H$84*Poor!$B$81/$B$81)</f>
        <v>0</v>
      </c>
      <c r="T19" s="226">
        <f>IF($B$81=0,0,(SUMIF($N$6:$N$28,$U19,M$6:M$28)+SUMIF($N$91:$N$118,$U19,M$91:M$118))*$B$83*$H$84*Poor!$B$81/$B$81)</f>
        <v>0</v>
      </c>
      <c r="U19" s="227">
        <v>13</v>
      </c>
      <c r="V19" s="56"/>
      <c r="W19" s="110"/>
      <c r="X19" s="118"/>
      <c r="Y19" s="184"/>
      <c r="Z19" s="156"/>
      <c r="AA19" s="121"/>
      <c r="AB19" s="156"/>
      <c r="AC19" s="121"/>
      <c r="AD19" s="156"/>
      <c r="AE19" s="121"/>
      <c r="AF19" s="122"/>
      <c r="AG19" s="121"/>
      <c r="AH19" s="123"/>
      <c r="AI19" s="184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/>
      </c>
      <c r="B20" s="101">
        <f>IF([1]Summ!$H1058="",0,[1]Summ!$H1058)</f>
        <v>0</v>
      </c>
      <c r="C20" s="102">
        <f>IF([1]Summ!$I1058="",0,[1]Summ!$I1058)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9">
        <f t="shared" si="23"/>
        <v>0</v>
      </c>
      <c r="N20" s="233"/>
      <c r="O20" s="2"/>
      <c r="P20" s="22"/>
      <c r="Q20" s="59" t="s">
        <v>81</v>
      </c>
      <c r="R20" s="226">
        <f>IF($B$81=0,0,(SUMIF($N$6:$N$28,$U20,K$6:K$28)+SUMIF($N$91:$N$118,$U20,K$91:K$118))*$B$83*$H$84*Poor!$B$81/$B$81)</f>
        <v>8708.5714285714294</v>
      </c>
      <c r="S20" s="226">
        <f>IF($B$81=0,0,(SUMIF($N$6:$N$28,$U20,L$6:L$28)+SUMIF($N$91:$N$118,$U20,L$91:L$118))*$B$83*$H$84*Poor!$B$81/$B$81)</f>
        <v>8708.5714285714294</v>
      </c>
      <c r="T20" s="226">
        <f>IF($B$81=0,0,(SUMIF($N$6:$N$28,$U20,M$6:M$28)+SUMIF($N$91:$N$118,$U20,M$91:M$118))*$B$83*$H$84*Poor!$B$81/$B$81)</f>
        <v>8708.5714285714294</v>
      </c>
      <c r="U20" s="227">
        <v>14</v>
      </c>
      <c r="V20" s="56"/>
      <c r="W20" s="110"/>
      <c r="X20" s="118"/>
      <c r="Y20" s="184"/>
      <c r="Z20" s="156"/>
      <c r="AA20" s="121"/>
      <c r="AB20" s="156"/>
      <c r="AC20" s="121"/>
      <c r="AD20" s="156"/>
      <c r="AE20" s="121"/>
      <c r="AF20" s="122"/>
      <c r="AG20" s="121"/>
      <c r="AH20" s="123"/>
      <c r="AI20" s="184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101">
        <f>IF([1]Summ!$H1059="",0,[1]Summ!$H1059)</f>
        <v>0</v>
      </c>
      <c r="C21" s="102">
        <f>IF([1]Summ!$I1059="",0,[1]Summ!$I1059)</f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9">
        <f t="shared" si="23"/>
        <v>0</v>
      </c>
      <c r="N21" s="233"/>
      <c r="O21" s="2"/>
      <c r="P21" s="22"/>
      <c r="Q21" s="59" t="s">
        <v>82</v>
      </c>
      <c r="R21" s="226">
        <f>IF($B$81=0,0,(SUMIF($N$6:$N$28,$U21,K$6:K$28)+SUMIF($N$91:$N$118,$U21,K$91:K$118))*$B$83*$H$84*Poor!$B$81/$B$81)</f>
        <v>13714.285714285714</v>
      </c>
      <c r="S21" s="226">
        <f>IF($B$81=0,0,(SUMIF($N$6:$N$28,$U21,L$6:L$28)+SUMIF($N$91:$N$118,$U21,L$91:L$118))*$B$83*$H$84*Poor!$B$81/$B$81)</f>
        <v>13714.285714285714</v>
      </c>
      <c r="T21" s="226">
        <f>IF($B$81=0,0,(SUMIF($N$6:$N$28,$U21,M$6:M$28)+SUMIF($N$91:$N$118,$U21,M$91:M$118))*$B$83*$H$84*Poor!$B$81/$B$81)</f>
        <v>13714.285714285714</v>
      </c>
      <c r="U21" s="227">
        <v>15</v>
      </c>
      <c r="V21" s="56"/>
      <c r="W21" s="110"/>
      <c r="X21" s="118"/>
      <c r="Y21" s="184"/>
      <c r="Z21" s="156"/>
      <c r="AA21" s="121"/>
      <c r="AB21" s="156"/>
      <c r="AC21" s="121"/>
      <c r="AD21" s="156"/>
      <c r="AE21" s="121"/>
      <c r="AF21" s="122"/>
      <c r="AG21" s="121"/>
      <c r="AH21" s="123"/>
      <c r="AI21" s="184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101">
        <f>IF([1]Summ!$H1060="",0,[1]Summ!$H1060)</f>
        <v>0</v>
      </c>
      <c r="C22" s="102">
        <f>IF([1]Summ!$I1060="",0,[1]Summ!$I1060)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9">
        <f t="shared" si="23"/>
        <v>0</v>
      </c>
      <c r="N22" s="233"/>
      <c r="O22" s="2"/>
      <c r="P22" s="22"/>
      <c r="Q22" s="59" t="s">
        <v>83</v>
      </c>
      <c r="R22" s="226">
        <f>IF($B$81=0,0,(SUMIF($N$6:$N$28,$U22,K$6:K$28)+SUMIF($N$91:$N$118,$U22,K$91:K$118))*$B$83*$H$84*Poor!$B$81/$B$81)</f>
        <v>0</v>
      </c>
      <c r="S22" s="226">
        <f>IF($B$81=0,0,(SUMIF($N$6:$N$28,$U22,L$6:L$28)+SUMIF($N$91:$N$118,$U22,L$91:L$118))*$B$83*$H$84*Poor!$B$81/$B$81)</f>
        <v>0</v>
      </c>
      <c r="T22" s="226">
        <f>IF($B$81=0,0,(SUMIF($N$6:$N$28,$U22,M$6:M$28)+SUMIF($N$91:$N$118,$U22,M$91:M$118))*$B$83*$H$84*Poor!$B$81/$B$81)</f>
        <v>0</v>
      </c>
      <c r="U22" s="227">
        <v>16</v>
      </c>
      <c r="V22" s="56"/>
      <c r="W22" s="110"/>
      <c r="X22" s="118"/>
      <c r="Y22" s="184"/>
      <c r="Z22" s="156"/>
      <c r="AA22" s="121"/>
      <c r="AB22" s="156"/>
      <c r="AC22" s="121"/>
      <c r="AD22" s="156"/>
      <c r="AE22" s="121"/>
      <c r="AF22" s="122"/>
      <c r="AG22" s="121"/>
      <c r="AH22" s="123"/>
      <c r="AI22" s="184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101">
        <f>IF([1]Summ!$H1061="",0,[1]Summ!$H1061)</f>
        <v>0</v>
      </c>
      <c r="C23" s="102">
        <f>IF([1]Summ!$I1061="",0,[1]Summ!$I1061)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9">
        <f t="shared" si="23"/>
        <v>0</v>
      </c>
      <c r="N23" s="233"/>
      <c r="O23" s="2"/>
      <c r="P23" s="22"/>
      <c r="Q23" s="171" t="s">
        <v>100</v>
      </c>
      <c r="R23" s="179">
        <f>SUM(R7:R22)</f>
        <v>102134.43263926136</v>
      </c>
      <c r="S23" s="179">
        <f>SUM(S7:S22)</f>
        <v>102134.43263926136</v>
      </c>
      <c r="T23" s="179">
        <f>SUM(T7:T22)</f>
        <v>101811.7210593296</v>
      </c>
      <c r="U23" s="56"/>
      <c r="V23" s="56"/>
      <c r="W23" s="110"/>
      <c r="X23" s="118"/>
      <c r="Y23" s="184"/>
      <c r="Z23" s="156"/>
      <c r="AA23" s="121"/>
      <c r="AB23" s="156"/>
      <c r="AC23" s="121"/>
      <c r="AD23" s="156"/>
      <c r="AE23" s="121"/>
      <c r="AF23" s="122"/>
      <c r="AG23" s="121"/>
      <c r="AH23" s="123"/>
      <c r="AI23" s="184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101">
        <f>IF([1]Summ!$H1062="",0,[1]Summ!$H1062)</f>
        <v>0</v>
      </c>
      <c r="C24" s="102">
        <f>IF([1]Summ!$I1062="",0,[1]Summ!$I1062)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9">
        <f t="shared" si="23"/>
        <v>0</v>
      </c>
      <c r="N24" s="233"/>
      <c r="O24" s="2"/>
      <c r="P24" s="22"/>
      <c r="Q24" s="59" t="s">
        <v>137</v>
      </c>
      <c r="R24" s="41">
        <f>IF($B$81=0,0,($B$124*$H$124)+1-($D$29*$H$29)-($D$28*$H$28))*$I$83*Poor!$B$81/$B$81</f>
        <v>19286.708587419424</v>
      </c>
      <c r="S24" s="41">
        <f>IF($B$81=0,0,($B$124*$H$124)+1-($D$29*$H$29)-($D$28*$H$28))*$I$83*Poor!$B$81/$B$81</f>
        <v>19286.708587419424</v>
      </c>
      <c r="T24" s="41">
        <f>IF($B$81=0,0,($B$124*$H$124)+1-($D$29*$H$29)-($D$28*$H$28))*$I$83*Poor!$B$81/$B$81</f>
        <v>19286.708587419424</v>
      </c>
      <c r="U24" s="56"/>
      <c r="V24" s="56"/>
      <c r="W24" s="110"/>
      <c r="X24" s="118"/>
      <c r="Y24" s="184"/>
      <c r="Z24" s="156"/>
      <c r="AA24" s="121"/>
      <c r="AB24" s="156"/>
      <c r="AC24" s="121"/>
      <c r="AD24" s="156"/>
      <c r="AE24" s="121"/>
      <c r="AF24" s="122"/>
      <c r="AG24" s="121"/>
      <c r="AH24" s="123"/>
      <c r="AI24" s="184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101">
        <f>IF([1]Summ!$H1063="",0,[1]Summ!$H1063)</f>
        <v>0</v>
      </c>
      <c r="C25" s="102">
        <f>IF([1]Summ!$I1063="",0,[1]Summ!$I1063)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9">
        <f t="shared" si="23"/>
        <v>0</v>
      </c>
      <c r="N25" s="233"/>
      <c r="O25" s="2"/>
      <c r="P25" s="22"/>
      <c r="Q25" s="142" t="s">
        <v>138</v>
      </c>
      <c r="R25" s="41">
        <f>IF($B$81=0,0,($B$124*$H$124)+($B$125*$H$125*$H$84)+1-($D$29*$H$29)-($D$28*$H$28))*$I$83*Poor!$B$81/$B$81</f>
        <v>34865.375254086095</v>
      </c>
      <c r="S25" s="41">
        <f>IF($B$81=0,0,($B$124*$H$124)+($B$125*$H$125*$H$84)+1-($D$29*$H$29)-($D$28*$H$28))*$I$83*Poor!$B$81/$B$81</f>
        <v>34865.375254086095</v>
      </c>
      <c r="T25" s="41">
        <f>IF($B$81=0,0,($B$124*$H$124)+($B$125*$H$125*$H$84)+1-($D$29*$H$29)-($D$28*$H$28))*$I$83*Poor!$B$81/$B$81</f>
        <v>34865.375254086095</v>
      </c>
      <c r="U25" s="56"/>
      <c r="V25" s="56"/>
      <c r="W25" s="110"/>
      <c r="X25" s="118"/>
      <c r="Y25" s="184"/>
      <c r="Z25" s="156"/>
      <c r="AA25" s="121"/>
      <c r="AB25" s="156"/>
      <c r="AC25" s="121"/>
      <c r="AD25" s="156"/>
      <c r="AE25" s="121"/>
      <c r="AF25" s="122"/>
      <c r="AG25" s="121"/>
      <c r="AH25" s="123"/>
      <c r="AI25" s="184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f>IF([1]Summ!$H1064="",0,[1]Summ!$H1064)</f>
        <v>0.11904761904761904</v>
      </c>
      <c r="C26" s="102">
        <f>IF([1]Summ!$I1064="",0,[1]Summ!$I1064)</f>
        <v>0</v>
      </c>
      <c r="D26" s="24">
        <f t="shared" si="0"/>
        <v>0.11904761904761904</v>
      </c>
      <c r="E26" s="75">
        <f>Poor!E26</f>
        <v>1</v>
      </c>
      <c r="F26" s="22"/>
      <c r="H26" s="24">
        <f t="shared" si="1"/>
        <v>1</v>
      </c>
      <c r="I26" s="22">
        <f t="shared" si="2"/>
        <v>0.11904761904761904</v>
      </c>
      <c r="J26" s="24">
        <f>IF(I$32&lt;=1+I131,I26,B26*H26+J$33*(I26-B26*H26))</f>
        <v>0.11904761904761904</v>
      </c>
      <c r="K26" s="22">
        <f t="shared" si="4"/>
        <v>0.11904761904761904</v>
      </c>
      <c r="L26" s="22">
        <f t="shared" si="5"/>
        <v>0.11904761904761904</v>
      </c>
      <c r="M26" s="228">
        <f t="shared" si="6"/>
        <v>0.11904761904761904</v>
      </c>
      <c r="N26" s="233">
        <v>12</v>
      </c>
      <c r="O26" s="2"/>
      <c r="P26" s="22"/>
      <c r="Q26" s="59" t="s">
        <v>139</v>
      </c>
      <c r="R26" s="41">
        <f>IF($B$81=0,0,($B$124*$H$124)+($B$125*$H$125*$H$84)+($B$126*$H$126*$H$84)+1-($D$29*$H$29)-($D$28*$H$28))*$I$83*Poor!$B$81/$B$81</f>
        <v>62609.375254086095</v>
      </c>
      <c r="S26" s="41">
        <f>IF($B$81=0,0,($B$124*$H$124)+($B$125*$H$125*$H$84)+($B$126*$H$126*$H$84)+1-($D$29*$H$29)-($D$28*$H$28))*$I$83*Poor!$B$81/$B$81</f>
        <v>62609.375254086095</v>
      </c>
      <c r="T26" s="41">
        <f>IF($B$81=0,0,($B$124*$H$124)+($B$125*$H$125*$H$84)+($B$126*$H$126*$H$84)+1-($D$29*$H$29)-($D$28*$H$28))*$I$83*Poor!$B$81/$B$81</f>
        <v>62609.375254086095</v>
      </c>
      <c r="U26" s="56"/>
      <c r="V26" s="56"/>
      <c r="W26" s="110"/>
      <c r="X26" s="118"/>
      <c r="Y26" s="184">
        <f t="shared" si="9"/>
        <v>0.47619047619047616</v>
      </c>
      <c r="Z26" s="156">
        <f>Poor!Z26</f>
        <v>0.25</v>
      </c>
      <c r="AA26" s="121">
        <f t="shared" si="16"/>
        <v>0.11904761904761904</v>
      </c>
      <c r="AB26" s="156">
        <f>Poor!AB26</f>
        <v>0.25</v>
      </c>
      <c r="AC26" s="121">
        <f t="shared" si="7"/>
        <v>0.11904761904761904</v>
      </c>
      <c r="AD26" s="156">
        <f>Poor!AD26</f>
        <v>0.25</v>
      </c>
      <c r="AE26" s="121">
        <f t="shared" si="8"/>
        <v>0.11904761904761904</v>
      </c>
      <c r="AF26" s="122">
        <f t="shared" si="10"/>
        <v>0.25</v>
      </c>
      <c r="AG26" s="121">
        <f t="shared" si="11"/>
        <v>0.11904761904761904</v>
      </c>
      <c r="AH26" s="123">
        <f t="shared" si="12"/>
        <v>1</v>
      </c>
      <c r="AI26" s="184">
        <f t="shared" si="13"/>
        <v>0.11904761904761904</v>
      </c>
      <c r="AJ26" s="120">
        <f t="shared" si="14"/>
        <v>0.11904761904761904</v>
      </c>
      <c r="AK26" s="119">
        <f t="shared" si="15"/>
        <v>0.11904761904761904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f>IF([1]Summ!$H1065="",0,[1]Summ!$H1065)</f>
        <v>1.5150242305639565E-2</v>
      </c>
      <c r="C27" s="102">
        <f>IF([1]Summ!$I1065="",0,[1]Summ!$I1065)</f>
        <v>-1.5150242305639565E-2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1.5815123379101039E-2</v>
      </c>
      <c r="K27" s="22">
        <f t="shared" si="4"/>
        <v>1.5150242305639565E-2</v>
      </c>
      <c r="L27" s="22">
        <f t="shared" si="5"/>
        <v>1.5150242305639565E-2</v>
      </c>
      <c r="M27" s="230">
        <f t="shared" si="6"/>
        <v>1.5815123379101039E-2</v>
      </c>
      <c r="N27" s="233"/>
      <c r="O27" s="2"/>
      <c r="P27" s="22"/>
      <c r="Q27" s="126" t="s">
        <v>140</v>
      </c>
      <c r="R27" s="41">
        <f>IF($B$81=0,0,($B$124*$H$124)+($B$125*$H$125*$H$84)+($B$126*$H$126*$H$84)+($B$127*$H$127*$H$84)+1-($D$29*$H$29)-($D$28*$H$28))*$I$83*Poor!$B$81/$B$81</f>
        <v>87066.518111228957</v>
      </c>
      <c r="S27" s="41">
        <f>IF($B$81=0,0,($B$124*$H$124)+($B$125*$H$125*$H$84)+($B$126*$H$126*$H$84)+($B$127*$H$127*$H$84)+1-($D$29*$H$29)-($D$28*$H$28))*$I$83*Poor!$B$81/$B$81</f>
        <v>87066.518111228957</v>
      </c>
      <c r="T27" s="41">
        <f>IF($B$81=0,0,($B$124*$H$124)+($B$125*$H$125*$H$84)+($B$126*$H$126*$H$84)+($B$127*$H$127*$H$84)+1-($D$29*$H$29)-($D$28*$H$28))*$I$83*Poor!$B$81/$B$81</f>
        <v>87066.518111228957</v>
      </c>
      <c r="U27" s="56"/>
      <c r="V27" s="56"/>
      <c r="W27" s="110"/>
      <c r="X27" s="118"/>
      <c r="Y27" s="184">
        <f t="shared" si="9"/>
        <v>6.3260493516404157E-2</v>
      </c>
      <c r="Z27" s="156">
        <f>Poor!Z27</f>
        <v>0.25</v>
      </c>
      <c r="AA27" s="121">
        <f t="shared" si="16"/>
        <v>1.5815123379101039E-2</v>
      </c>
      <c r="AB27" s="156">
        <f>Poor!AB27</f>
        <v>0.25</v>
      </c>
      <c r="AC27" s="121">
        <f t="shared" si="7"/>
        <v>1.5815123379101039E-2</v>
      </c>
      <c r="AD27" s="156">
        <f>Poor!AD27</f>
        <v>0.25</v>
      </c>
      <c r="AE27" s="121">
        <f t="shared" si="8"/>
        <v>1.5815123379101039E-2</v>
      </c>
      <c r="AF27" s="122">
        <f t="shared" si="10"/>
        <v>0.25</v>
      </c>
      <c r="AG27" s="121">
        <f t="shared" si="11"/>
        <v>1.5815123379101039E-2</v>
      </c>
      <c r="AH27" s="123">
        <f t="shared" si="12"/>
        <v>1</v>
      </c>
      <c r="AI27" s="184">
        <f t="shared" si="13"/>
        <v>1.5815123379101039E-2</v>
      </c>
      <c r="AJ27" s="120">
        <f t="shared" si="14"/>
        <v>1.5815123379101039E-2</v>
      </c>
      <c r="AK27" s="119">
        <f t="shared" si="15"/>
        <v>1.5815123379101039E-2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f>IF([1]Summ!$H1066="",0,[1]Summ!$H1066)</f>
        <v>7.7315395837039669E-2</v>
      </c>
      <c r="C28" s="102">
        <f>IF([1]Summ!$I1066="",0,[1]Summ!$I1066)</f>
        <v>-7.7315395837039669E-2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8.0708446742905005E-2</v>
      </c>
      <c r="K28" s="22">
        <f t="shared" si="4"/>
        <v>7.7315395837039669E-2</v>
      </c>
      <c r="L28" s="22">
        <f t="shared" si="5"/>
        <v>7.7315395837039669E-2</v>
      </c>
      <c r="M28" s="228">
        <f t="shared" si="6"/>
        <v>8.0708446742905005E-2</v>
      </c>
      <c r="N28" s="233"/>
      <c r="O28" s="2"/>
      <c r="P28" s="22"/>
      <c r="V28" s="56"/>
      <c r="W28" s="110"/>
      <c r="X28" s="118"/>
      <c r="Y28" s="184">
        <f t="shared" si="9"/>
        <v>0.32283378697162002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0.16141689348581001</v>
      </c>
      <c r="AF28" s="122">
        <f t="shared" si="10"/>
        <v>0.5</v>
      </c>
      <c r="AG28" s="121">
        <f t="shared" si="11"/>
        <v>0.16141689348581001</v>
      </c>
      <c r="AH28" s="123">
        <f t="shared" si="12"/>
        <v>1</v>
      </c>
      <c r="AI28" s="184">
        <f t="shared" si="13"/>
        <v>8.0708446742905005E-2</v>
      </c>
      <c r="AJ28" s="120">
        <f t="shared" si="14"/>
        <v>0</v>
      </c>
      <c r="AK28" s="119">
        <f t="shared" si="15"/>
        <v>0.16141689348581001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f>IF([1]Summ!$H1067="",0,[1]Summ!$H1067)</f>
        <v>0.46807098167585842</v>
      </c>
      <c r="C29" s="102">
        <f>IF([1]Summ!$I1067="",0,[1]Summ!$I1067)</f>
        <v>1.8676133256241095E-2</v>
      </c>
      <c r="D29" s="24">
        <f t="shared" si="0"/>
        <v>0.48674711493209954</v>
      </c>
      <c r="E29" s="75">
        <f>Poor!E29</f>
        <v>1</v>
      </c>
      <c r="F29" s="22"/>
      <c r="H29" s="24">
        <f t="shared" si="1"/>
        <v>1</v>
      </c>
      <c r="I29" s="22">
        <f t="shared" si="2"/>
        <v>0.48674711493209954</v>
      </c>
      <c r="J29" s="24">
        <f>IF(I$32&lt;=1+I131,I29,B29*H29+J$33*(I29-B29*H29))</f>
        <v>0.46725136392473526</v>
      </c>
      <c r="K29" s="22">
        <f t="shared" si="4"/>
        <v>0.46807098167585842</v>
      </c>
      <c r="L29" s="22">
        <f t="shared" si="5"/>
        <v>0.46807098167585842</v>
      </c>
      <c r="M29" s="228">
        <f t="shared" si="6"/>
        <v>0.46725136392473526</v>
      </c>
      <c r="N29" s="233"/>
      <c r="P29" s="22"/>
      <c r="V29" s="56"/>
      <c r="W29" s="110"/>
      <c r="X29" s="118"/>
      <c r="Y29" s="184">
        <f t="shared" si="9"/>
        <v>1.8690054556989411</v>
      </c>
      <c r="Z29" s="156">
        <f>Poor!Z29</f>
        <v>0.25</v>
      </c>
      <c r="AA29" s="121">
        <f t="shared" si="16"/>
        <v>0.46725136392473526</v>
      </c>
      <c r="AB29" s="156">
        <f>Poor!AB29</f>
        <v>0.25</v>
      </c>
      <c r="AC29" s="121">
        <f t="shared" si="7"/>
        <v>0.46725136392473526</v>
      </c>
      <c r="AD29" s="156">
        <f>Poor!AD29</f>
        <v>0.25</v>
      </c>
      <c r="AE29" s="121">
        <f t="shared" si="8"/>
        <v>0.46725136392473526</v>
      </c>
      <c r="AF29" s="122">
        <f t="shared" si="10"/>
        <v>0.25</v>
      </c>
      <c r="AG29" s="121">
        <f t="shared" si="11"/>
        <v>0.46725136392473526</v>
      </c>
      <c r="AH29" s="123">
        <f t="shared" si="12"/>
        <v>1</v>
      </c>
      <c r="AI29" s="184">
        <f t="shared" si="13"/>
        <v>0.46725136392473526</v>
      </c>
      <c r="AJ29" s="120">
        <f t="shared" si="14"/>
        <v>0.46725136392473526</v>
      </c>
      <c r="AK29" s="119">
        <f t="shared" si="15"/>
        <v>0.46725136392473526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IF([1]Summ!$H1068="",0,[1]Summ!$H1068)</f>
        <v>0.29396981960505247</v>
      </c>
      <c r="C30" s="103"/>
      <c r="D30" s="24">
        <f>(D119-B124)</f>
        <v>9.693553030949543</v>
      </c>
      <c r="E30" s="75">
        <f>Poor!E30</f>
        <v>1</v>
      </c>
      <c r="H30" s="96">
        <f>(E30*F$7/F$9)</f>
        <v>1</v>
      </c>
      <c r="I30" s="29">
        <f>IF(E30&gt;=1,I119-I124,MIN(I119-I124,B30*H30))</f>
        <v>9.693553030949543</v>
      </c>
      <c r="J30" s="235">
        <f>IF(I$32&lt;=$B$32,I30,$B$32-SUM(J6:J29))</f>
        <v>0.33412529225099363</v>
      </c>
      <c r="K30" s="22">
        <f t="shared" si="4"/>
        <v>0.29396981960505247</v>
      </c>
      <c r="L30" s="22">
        <f>IF(L124=L119,0,IF(K30="",0,(L119-L124)/(B119-B124)*K30))</f>
        <v>0.29396981960505247</v>
      </c>
      <c r="M30" s="175">
        <f t="shared" si="6"/>
        <v>0.33412529225099363</v>
      </c>
      <c r="N30" s="166" t="s">
        <v>86</v>
      </c>
      <c r="O30" s="2"/>
      <c r="P30" s="22"/>
      <c r="V30" s="56"/>
      <c r="W30" s="110"/>
      <c r="X30" s="118"/>
      <c r="Y30" s="184">
        <f>M30*4</f>
        <v>1.3365011690039745</v>
      </c>
      <c r="Z30" s="122">
        <f>IF($Y30=0,0,AA30/($Y$30))</f>
        <v>0</v>
      </c>
      <c r="AA30" s="188">
        <f>IF(AA79*4/$I$84+SUM(AA6:AA29)&lt;1,AA79*4/$I$84,1-SUM(AA6:AA29))</f>
        <v>0</v>
      </c>
      <c r="AB30" s="122">
        <f>IF($Y30=0,0,AC30/($Y$30))</f>
        <v>9.5829269263398159E-3</v>
      </c>
      <c r="AC30" s="188">
        <f>IF(AC79*4/$I$84+SUM(AC6:AC29)&lt;1,AC79*4/$I$84,1-SUM(AC6:AC29))</f>
        <v>1.2807593039532827E-2</v>
      </c>
      <c r="AD30" s="122">
        <f>IF($Y30=0,0,AE30/($Y$30))</f>
        <v>9.7467537387133291E-2</v>
      </c>
      <c r="AE30" s="188">
        <f>IF(AE79*4/$I$84+SUM(AE6:AE29)&lt;1,AE79*4/$I$84,1-SUM(AE6:AE29))</f>
        <v>0.13026547765784224</v>
      </c>
      <c r="AF30" s="122">
        <f>IF($Y30=0,0,AG30/($Y$30))</f>
        <v>-8.2878996597157084E-2</v>
      </c>
      <c r="AG30" s="188">
        <f>IF(AG79*4/$I$84+SUM(AG6:AG29)&lt;1,AG79*4/$I$84,1-SUM(AG6:AG29))</f>
        <v>-0.11076787583797687</v>
      </c>
      <c r="AH30" s="123">
        <f t="shared" si="12"/>
        <v>2.4171467716316022E-2</v>
      </c>
      <c r="AI30" s="184">
        <f t="shared" si="13"/>
        <v>8.0762987148495502E-3</v>
      </c>
      <c r="AJ30" s="120">
        <f t="shared" si="14"/>
        <v>6.4037965197664137E-3</v>
      </c>
      <c r="AK30" s="119">
        <f t="shared" si="15"/>
        <v>9.7488009099326867E-3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6">
        <f>($B$32-SUM(J6:J30))</f>
        <v>0</v>
      </c>
      <c r="K31" s="22" t="str">
        <f t="shared" si="4"/>
        <v/>
      </c>
      <c r="L31" s="22">
        <f>(1-SUM(L6:L30))</f>
        <v>-0.32604899353614414</v>
      </c>
      <c r="M31" s="178">
        <f t="shared" si="6"/>
        <v>0</v>
      </c>
      <c r="N31" s="167">
        <f>M31*I83</f>
        <v>0</v>
      </c>
      <c r="P31" s="22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3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1.3260489935361441</v>
      </c>
      <c r="C32" s="77">
        <f>SUM(C6:C31)</f>
        <v>0.91499843320286978</v>
      </c>
      <c r="D32" s="24">
        <f>SUM(D6:D30)</f>
        <v>11.640630638083504</v>
      </c>
      <c r="E32" s="2"/>
      <c r="F32" s="2"/>
      <c r="H32" s="17"/>
      <c r="I32" s="22">
        <f>SUM(I6:I30)</f>
        <v>11.640630638083504</v>
      </c>
      <c r="J32" s="17"/>
      <c r="L32" s="22">
        <f>SUM(L6:L30)</f>
        <v>1.3260489935361441</v>
      </c>
      <c r="M32" s="23"/>
      <c r="N32" s="56"/>
      <c r="O32" s="2"/>
      <c r="P32" s="22"/>
      <c r="V32" s="56"/>
      <c r="W32" s="110"/>
      <c r="X32" s="118"/>
      <c r="Y32" s="115">
        <f>SUM(Y6:Y31)</f>
        <v>5.3041959741445766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-4.3885837602344983E-2</v>
      </c>
      <c r="K33" s="14"/>
      <c r="L33" s="11"/>
      <c r="M33" s="30"/>
      <c r="N33" s="168" t="s">
        <v>87</v>
      </c>
      <c r="O33" s="2"/>
      <c r="P33" s="2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180"/>
      <c r="S36" s="180"/>
      <c r="T36" s="180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Cattle sales - local: no. sold</v>
      </c>
      <c r="B37" s="104">
        <f>IF([1]Summ!$H1072="",0,[1]Summ!$H1072)</f>
        <v>16000</v>
      </c>
      <c r="C37" s="104">
        <f>IF([1]Summ!$I1072="",0,[1]Summ!$I1072)</f>
        <v>0</v>
      </c>
      <c r="D37" s="38">
        <f t="shared" ref="D37:D64" si="24">B37+C37</f>
        <v>16000</v>
      </c>
      <c r="E37" s="75">
        <f>Poor!E37</f>
        <v>1</v>
      </c>
      <c r="F37" s="75">
        <f>Poor!F37</f>
        <v>1</v>
      </c>
      <c r="G37" s="75">
        <f>Poor!G37</f>
        <v>1</v>
      </c>
      <c r="H37" s="24">
        <f t="shared" ref="H37" si="25">(E37*F37)</f>
        <v>1</v>
      </c>
      <c r="I37" s="39">
        <f t="shared" ref="I37" si="26">D37*H37</f>
        <v>16000</v>
      </c>
      <c r="J37" s="38">
        <f>J91*I$83</f>
        <v>16000</v>
      </c>
      <c r="K37" s="40">
        <f>(B37/B$65)</f>
        <v>0.186328170490276</v>
      </c>
      <c r="L37" s="22">
        <f t="shared" ref="L37" si="27">(K37*H37)</f>
        <v>0.186328170490276</v>
      </c>
      <c r="M37" s="24">
        <f>J37/B$65</f>
        <v>0.186328170490276</v>
      </c>
      <c r="N37" s="2"/>
      <c r="O37" s="2"/>
      <c r="P37" s="2"/>
      <c r="Q37" s="2"/>
      <c r="R37" s="180"/>
      <c r="S37" s="180"/>
      <c r="T37" s="180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8">1-SUM(Z37,AB37,AD37)</f>
        <v>1</v>
      </c>
      <c r="AG37" s="147">
        <f>$J37*AF37</f>
        <v>16000</v>
      </c>
      <c r="AH37" s="123">
        <f>SUM(Z37,AB37,AD37,AF37)</f>
        <v>1</v>
      </c>
      <c r="AI37" s="112">
        <f>SUM(AA37,AC37,AE37,AG37)</f>
        <v>16000</v>
      </c>
      <c r="AJ37" s="148">
        <f>(AA37+AC37)</f>
        <v>0</v>
      </c>
      <c r="AK37" s="147">
        <f>(AE37+AG37)</f>
        <v>16000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Goat sales - local: no. sold</v>
      </c>
      <c r="B38" s="104">
        <f>IF([1]Summ!$H1073="",0,[1]Summ!$H1073)</f>
        <v>6000</v>
      </c>
      <c r="C38" s="104">
        <f>IF([1]Summ!$I1073="",0,[1]Summ!$I1073)</f>
        <v>4000</v>
      </c>
      <c r="D38" s="38">
        <f t="shared" si="24"/>
        <v>10000</v>
      </c>
      <c r="E38" s="75">
        <f>Poor!E38</f>
        <v>1</v>
      </c>
      <c r="F38" s="75">
        <f>Poor!F38</f>
        <v>1</v>
      </c>
      <c r="G38" s="75">
        <f>Poor!G38</f>
        <v>1</v>
      </c>
      <c r="H38" s="24">
        <f t="shared" ref="H38:H64" si="29">(E38*F38)</f>
        <v>1</v>
      </c>
      <c r="I38" s="39">
        <f t="shared" ref="I38:I64" si="30">D38*H38</f>
        <v>10000</v>
      </c>
      <c r="J38" s="38">
        <f t="shared" ref="J38:J64" si="31">J92*I$83</f>
        <v>5824.4566495906201</v>
      </c>
      <c r="K38" s="40">
        <f t="shared" ref="K38:K64" si="32">(B38/B$65)</f>
        <v>6.9873063933853494E-2</v>
      </c>
      <c r="L38" s="22">
        <f t="shared" ref="L38:L64" si="33">(K38*H38)</f>
        <v>6.9873063933853494E-2</v>
      </c>
      <c r="M38" s="24">
        <f t="shared" ref="M38:M64" si="34">J38/B$65</f>
        <v>6.782877197613392E-2</v>
      </c>
      <c r="N38" s="2"/>
      <c r="O38" s="2"/>
      <c r="P38" s="2"/>
      <c r="Q38" s="59"/>
      <c r="R38" s="180"/>
      <c r="S38" s="180"/>
      <c r="T38" s="180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8"/>
        <v>1</v>
      </c>
      <c r="AG38" s="147">
        <f t="shared" ref="AG38:AG64" si="35">$J38*AF38</f>
        <v>5824.4566495906201</v>
      </c>
      <c r="AH38" s="123">
        <f t="shared" ref="AH38:AI58" si="36">SUM(Z38,AB38,AD38,AF38)</f>
        <v>1</v>
      </c>
      <c r="AI38" s="112">
        <f t="shared" si="36"/>
        <v>5824.4566495906201</v>
      </c>
      <c r="AJ38" s="148">
        <f t="shared" ref="AJ38:AJ64" si="37">(AA38+AC38)</f>
        <v>0</v>
      </c>
      <c r="AK38" s="147">
        <f t="shared" ref="AK38:AK64" si="38">(AE38+AG38)</f>
        <v>5824.4566495906201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Sheep sales - local: no. sold</v>
      </c>
      <c r="B39" s="104">
        <f>IF([1]Summ!$H1074="",0,[1]Summ!$H1074)</f>
        <v>1600</v>
      </c>
      <c r="C39" s="104">
        <f>IF([1]Summ!$I1074="",0,[1]Summ!$I1074)</f>
        <v>0</v>
      </c>
      <c r="D39" s="38">
        <f t="shared" si="24"/>
        <v>1600</v>
      </c>
      <c r="E39" s="75">
        <f>Poor!E39</f>
        <v>1</v>
      </c>
      <c r="F39" s="75">
        <f>Poor!F39</f>
        <v>1</v>
      </c>
      <c r="G39" s="75">
        <f>Poor!G39</f>
        <v>1</v>
      </c>
      <c r="H39" s="24">
        <f t="shared" si="29"/>
        <v>1</v>
      </c>
      <c r="I39" s="39">
        <f t="shared" si="30"/>
        <v>1600</v>
      </c>
      <c r="J39" s="38">
        <f t="shared" si="31"/>
        <v>1600</v>
      </c>
      <c r="K39" s="40">
        <f t="shared" si="32"/>
        <v>1.8632817049027601E-2</v>
      </c>
      <c r="L39" s="22">
        <f t="shared" si="33"/>
        <v>1.8632817049027601E-2</v>
      </c>
      <c r="M39" s="24">
        <f t="shared" si="34"/>
        <v>1.8632817049027601E-2</v>
      </c>
      <c r="N39" s="2"/>
      <c r="O39" s="2"/>
      <c r="P39" s="2"/>
      <c r="Q39" s="59"/>
      <c r="R39" s="180"/>
      <c r="S39" s="180"/>
      <c r="T39" s="180"/>
      <c r="U39" s="56"/>
      <c r="V39" s="56"/>
      <c r="W39" s="115"/>
      <c r="X39" s="195">
        <f>X8</f>
        <v>1</v>
      </c>
      <c r="Y39" s="110"/>
      <c r="Z39" s="122">
        <f>Z8</f>
        <v>0.50950763705383906</v>
      </c>
      <c r="AA39" s="147">
        <f t="shared" ref="AA39:AA64" si="39">$J39*Z39</f>
        <v>815.2122192861425</v>
      </c>
      <c r="AB39" s="122">
        <f>AB8</f>
        <v>0.49049236294616094</v>
      </c>
      <c r="AC39" s="147">
        <f t="shared" ref="AC39:AC64" si="40">$J39*AB39</f>
        <v>784.7877807138575</v>
      </c>
      <c r="AD39" s="122">
        <f>AD8</f>
        <v>0</v>
      </c>
      <c r="AE39" s="147">
        <f t="shared" ref="AE39:AE64" si="41">$J39*AD39</f>
        <v>0</v>
      </c>
      <c r="AF39" s="122">
        <f t="shared" si="28"/>
        <v>0</v>
      </c>
      <c r="AG39" s="147">
        <f t="shared" si="35"/>
        <v>0</v>
      </c>
      <c r="AH39" s="123">
        <f t="shared" si="36"/>
        <v>1</v>
      </c>
      <c r="AI39" s="112">
        <f t="shared" si="36"/>
        <v>1600</v>
      </c>
      <c r="AJ39" s="148">
        <f t="shared" si="37"/>
        <v>1600</v>
      </c>
      <c r="AK39" s="147">
        <f t="shared" si="38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Chicken sales: no. sold</v>
      </c>
      <c r="B40" s="104">
        <f>IF([1]Summ!$H1075="",0,[1]Summ!$H1075)</f>
        <v>1300</v>
      </c>
      <c r="C40" s="104">
        <f>IF([1]Summ!$I1075="",0,[1]Summ!$I1075)</f>
        <v>0</v>
      </c>
      <c r="D40" s="38">
        <f t="shared" si="24"/>
        <v>1300</v>
      </c>
      <c r="E40" s="75">
        <f>Poor!E40</f>
        <v>1</v>
      </c>
      <c r="F40" s="75">
        <f>Poor!F40</f>
        <v>1</v>
      </c>
      <c r="G40" s="75">
        <f>Poor!G40</f>
        <v>1</v>
      </c>
      <c r="H40" s="24">
        <f t="shared" si="29"/>
        <v>1</v>
      </c>
      <c r="I40" s="39">
        <f t="shared" si="30"/>
        <v>1300</v>
      </c>
      <c r="J40" s="38">
        <f t="shared" si="31"/>
        <v>1300</v>
      </c>
      <c r="K40" s="40">
        <f t="shared" si="32"/>
        <v>1.5139163852334925E-2</v>
      </c>
      <c r="L40" s="22">
        <f t="shared" si="33"/>
        <v>1.5139163852334925E-2</v>
      </c>
      <c r="M40" s="24">
        <f t="shared" si="34"/>
        <v>1.5139163852334925E-2</v>
      </c>
      <c r="N40" s="2"/>
      <c r="O40" s="2"/>
      <c r="P40" s="2"/>
      <c r="Q40" s="56"/>
      <c r="R40" s="68"/>
      <c r="S40" s="68"/>
      <c r="T40" s="68"/>
      <c r="U40" s="56"/>
      <c r="V40" s="56"/>
      <c r="W40" s="115"/>
      <c r="X40" s="195">
        <f>X9</f>
        <v>1</v>
      </c>
      <c r="Y40" s="110"/>
      <c r="Z40" s="122">
        <f>Z9</f>
        <v>0.50950763705383895</v>
      </c>
      <c r="AA40" s="147">
        <f t="shared" si="39"/>
        <v>662.35992816999067</v>
      </c>
      <c r="AB40" s="122">
        <f>AB9</f>
        <v>0.490492362946161</v>
      </c>
      <c r="AC40" s="147">
        <f t="shared" si="40"/>
        <v>637.64007183000933</v>
      </c>
      <c r="AD40" s="122">
        <f>AD9</f>
        <v>0</v>
      </c>
      <c r="AE40" s="147">
        <f t="shared" si="41"/>
        <v>0</v>
      </c>
      <c r="AF40" s="122">
        <f t="shared" si="28"/>
        <v>0</v>
      </c>
      <c r="AG40" s="147">
        <f t="shared" si="35"/>
        <v>0</v>
      </c>
      <c r="AH40" s="123">
        <f t="shared" si="36"/>
        <v>1</v>
      </c>
      <c r="AI40" s="112">
        <f t="shared" si="36"/>
        <v>1300</v>
      </c>
      <c r="AJ40" s="148">
        <f t="shared" si="37"/>
        <v>1300</v>
      </c>
      <c r="AK40" s="147">
        <f t="shared" si="38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Maize: kg produced</v>
      </c>
      <c r="B41" s="104">
        <f>IF([1]Summ!$H1076="",0,[1]Summ!$H1076)</f>
        <v>2400</v>
      </c>
      <c r="C41" s="104">
        <f>IF([1]Summ!$I1076="",0,[1]Summ!$I1076)</f>
        <v>-2400</v>
      </c>
      <c r="D41" s="38">
        <f t="shared" si="24"/>
        <v>0</v>
      </c>
      <c r="E41" s="75">
        <f>Poor!E41</f>
        <v>1</v>
      </c>
      <c r="F41" s="75">
        <f>Poor!F41</f>
        <v>1</v>
      </c>
      <c r="G41" s="75">
        <f>Poor!G41</f>
        <v>1</v>
      </c>
      <c r="H41" s="24">
        <f t="shared" si="29"/>
        <v>1</v>
      </c>
      <c r="I41" s="39">
        <f t="shared" si="30"/>
        <v>0</v>
      </c>
      <c r="J41" s="38">
        <f t="shared" si="31"/>
        <v>2505.3260102456284</v>
      </c>
      <c r="K41" s="40">
        <f t="shared" si="32"/>
        <v>2.79492255735414E-2</v>
      </c>
      <c r="L41" s="22">
        <f t="shared" si="33"/>
        <v>2.79492255735414E-2</v>
      </c>
      <c r="M41" s="24">
        <f t="shared" si="34"/>
        <v>2.917580074817315E-2</v>
      </c>
      <c r="N41" s="2"/>
      <c r="O41" s="2"/>
      <c r="P41" s="2"/>
      <c r="Q41" s="59"/>
      <c r="R41" s="219"/>
      <c r="S41" s="219"/>
      <c r="T41" s="219"/>
      <c r="U41" s="56"/>
      <c r="V41" s="56"/>
      <c r="W41" s="115"/>
      <c r="X41" s="195">
        <f>X11</f>
        <v>1</v>
      </c>
      <c r="Y41" s="110"/>
      <c r="Z41" s="122">
        <f>Z11</f>
        <v>0</v>
      </c>
      <c r="AA41" s="147">
        <f t="shared" si="39"/>
        <v>0</v>
      </c>
      <c r="AB41" s="122">
        <f>AB11</f>
        <v>0</v>
      </c>
      <c r="AC41" s="147">
        <f t="shared" si="40"/>
        <v>0</v>
      </c>
      <c r="AD41" s="122">
        <f>AD11</f>
        <v>0</v>
      </c>
      <c r="AE41" s="147">
        <f t="shared" si="41"/>
        <v>0</v>
      </c>
      <c r="AF41" s="122">
        <f t="shared" si="28"/>
        <v>1</v>
      </c>
      <c r="AG41" s="147">
        <f t="shared" si="35"/>
        <v>2505.3260102456284</v>
      </c>
      <c r="AH41" s="123">
        <f t="shared" si="36"/>
        <v>1</v>
      </c>
      <c r="AI41" s="112">
        <f t="shared" si="36"/>
        <v>2505.3260102456284</v>
      </c>
      <c r="AJ41" s="148">
        <f t="shared" si="37"/>
        <v>0</v>
      </c>
      <c r="AK41" s="147">
        <f t="shared" si="38"/>
        <v>2505.3260102456284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Beans: kg produced</v>
      </c>
      <c r="B42" s="104">
        <f>IF([1]Summ!$H1077="",0,[1]Summ!$H1077)</f>
        <v>17250</v>
      </c>
      <c r="C42" s="104">
        <f>IF([1]Summ!$I1077="",0,[1]Summ!$I1077)</f>
        <v>0</v>
      </c>
      <c r="D42" s="38">
        <f t="shared" si="24"/>
        <v>17250</v>
      </c>
      <c r="E42" s="75">
        <f>Poor!E42</f>
        <v>1</v>
      </c>
      <c r="F42" s="75">
        <f>Poor!F42</f>
        <v>1</v>
      </c>
      <c r="G42" s="75">
        <f>Poor!G42</f>
        <v>1</v>
      </c>
      <c r="H42" s="24">
        <f t="shared" si="29"/>
        <v>1</v>
      </c>
      <c r="I42" s="39">
        <f t="shared" si="30"/>
        <v>17250</v>
      </c>
      <c r="J42" s="38">
        <f t="shared" si="31"/>
        <v>17250</v>
      </c>
      <c r="K42" s="40">
        <f t="shared" si="32"/>
        <v>0.20088505880982882</v>
      </c>
      <c r="L42" s="22">
        <f t="shared" si="33"/>
        <v>0.20088505880982882</v>
      </c>
      <c r="M42" s="24">
        <f t="shared" si="34"/>
        <v>0.20088505880982882</v>
      </c>
      <c r="N42" s="2"/>
      <c r="O42" s="2"/>
      <c r="P42" s="2"/>
      <c r="Q42" s="59"/>
      <c r="R42" s="219"/>
      <c r="S42" s="219"/>
      <c r="T42" s="219"/>
      <c r="U42" s="56"/>
      <c r="V42" s="56"/>
      <c r="W42" s="115"/>
      <c r="X42" s="118"/>
      <c r="Y42" s="110"/>
      <c r="Z42" s="156">
        <f>Poor!Z42</f>
        <v>0.25</v>
      </c>
      <c r="AA42" s="147">
        <f t="shared" si="39"/>
        <v>4312.5</v>
      </c>
      <c r="AB42" s="156">
        <f>Poor!AB42</f>
        <v>0</v>
      </c>
      <c r="AC42" s="147">
        <f t="shared" si="40"/>
        <v>0</v>
      </c>
      <c r="AD42" s="156">
        <f>Poor!AD42</f>
        <v>0.5</v>
      </c>
      <c r="AE42" s="147">
        <f t="shared" si="41"/>
        <v>8625</v>
      </c>
      <c r="AF42" s="122">
        <f t="shared" si="28"/>
        <v>0.25</v>
      </c>
      <c r="AG42" s="147">
        <f t="shared" si="35"/>
        <v>4312.5</v>
      </c>
      <c r="AH42" s="123">
        <f t="shared" si="36"/>
        <v>1</v>
      </c>
      <c r="AI42" s="112">
        <f t="shared" si="36"/>
        <v>17250</v>
      </c>
      <c r="AJ42" s="148">
        <f t="shared" si="37"/>
        <v>4312.5</v>
      </c>
      <c r="AK42" s="147">
        <f t="shared" si="38"/>
        <v>12937.5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potatoes: kg produced</v>
      </c>
      <c r="B43" s="104">
        <f>IF([1]Summ!$H1078="",0,[1]Summ!$H1078)</f>
        <v>2500</v>
      </c>
      <c r="C43" s="104">
        <f>IF([1]Summ!$I1078="",0,[1]Summ!$I1078)</f>
        <v>-2500</v>
      </c>
      <c r="D43" s="38">
        <f t="shared" si="24"/>
        <v>0</v>
      </c>
      <c r="E43" s="75">
        <f>Poor!E43</f>
        <v>1</v>
      </c>
      <c r="F43" s="75">
        <f>Poor!F43</f>
        <v>1</v>
      </c>
      <c r="G43" s="75">
        <f>Poor!G43</f>
        <v>1</v>
      </c>
      <c r="H43" s="24">
        <f t="shared" si="29"/>
        <v>1</v>
      </c>
      <c r="I43" s="39">
        <f t="shared" si="30"/>
        <v>0</v>
      </c>
      <c r="J43" s="38">
        <f t="shared" si="31"/>
        <v>2609.7145940058622</v>
      </c>
      <c r="K43" s="40">
        <f t="shared" si="32"/>
        <v>2.9113776639105624E-2</v>
      </c>
      <c r="L43" s="22">
        <f t="shared" si="33"/>
        <v>2.9113776639105624E-2</v>
      </c>
      <c r="M43" s="24">
        <f t="shared" si="34"/>
        <v>3.0391459112680357E-2</v>
      </c>
      <c r="N43" s="2"/>
      <c r="O43" s="2"/>
      <c r="P43" s="2"/>
      <c r="Q43" s="56"/>
      <c r="R43" s="56"/>
      <c r="S43" s="56"/>
      <c r="T43" s="56"/>
      <c r="U43" s="56"/>
      <c r="V43" s="56"/>
      <c r="W43" s="115"/>
      <c r="X43" s="118"/>
      <c r="Y43" s="110"/>
      <c r="Z43" s="156">
        <f>Poor!Z43</f>
        <v>0.25</v>
      </c>
      <c r="AA43" s="147">
        <f t="shared" si="39"/>
        <v>652.42864850146555</v>
      </c>
      <c r="AB43" s="156">
        <f>Poor!AB43</f>
        <v>0.25</v>
      </c>
      <c r="AC43" s="147">
        <f t="shared" si="40"/>
        <v>652.42864850146555</v>
      </c>
      <c r="AD43" s="156">
        <f>Poor!AD43</f>
        <v>0.25</v>
      </c>
      <c r="AE43" s="147">
        <f t="shared" si="41"/>
        <v>652.42864850146555</v>
      </c>
      <c r="AF43" s="122">
        <f t="shared" si="28"/>
        <v>0.25</v>
      </c>
      <c r="AG43" s="147">
        <f t="shared" si="35"/>
        <v>652.42864850146555</v>
      </c>
      <c r="AH43" s="123">
        <f t="shared" si="36"/>
        <v>1</v>
      </c>
      <c r="AI43" s="112">
        <f t="shared" si="36"/>
        <v>2609.7145940058622</v>
      </c>
      <c r="AJ43" s="148">
        <f t="shared" si="37"/>
        <v>1304.8572970029311</v>
      </c>
      <c r="AK43" s="147">
        <f t="shared" si="38"/>
        <v>1304.8572970029311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>WILD FOODS -- see worksheet Data 3</v>
      </c>
      <c r="B44" s="104">
        <f>IF([1]Summ!$H1079="",0,[1]Summ!$H1079)</f>
        <v>0</v>
      </c>
      <c r="C44" s="104">
        <f>IF([1]Summ!$I1079="",0,[1]Summ!$I1079)</f>
        <v>0</v>
      </c>
      <c r="D44" s="38">
        <f t="shared" si="24"/>
        <v>0</v>
      </c>
      <c r="E44" s="75">
        <f>Poor!E44</f>
        <v>1</v>
      </c>
      <c r="F44" s="75">
        <f>Poor!F44</f>
        <v>1</v>
      </c>
      <c r="G44" s="75">
        <f>Poor!G44</f>
        <v>1</v>
      </c>
      <c r="H44" s="24">
        <f t="shared" si="29"/>
        <v>1</v>
      </c>
      <c r="I44" s="39">
        <f t="shared" si="30"/>
        <v>0</v>
      </c>
      <c r="J44" s="38">
        <f t="shared" si="31"/>
        <v>0</v>
      </c>
      <c r="K44" s="40">
        <f t="shared" si="32"/>
        <v>0</v>
      </c>
      <c r="L44" s="22">
        <f t="shared" si="33"/>
        <v>0</v>
      </c>
      <c r="M44" s="24">
        <f t="shared" si="34"/>
        <v>0</v>
      </c>
      <c r="N44" s="2"/>
      <c r="O44" s="2"/>
      <c r="P44" s="2"/>
      <c r="Q44" s="59"/>
      <c r="R44" s="219"/>
      <c r="S44" s="219"/>
      <c r="T44" s="219"/>
      <c r="U44" s="56"/>
      <c r="V44" s="56"/>
      <c r="W44" s="117"/>
      <c r="X44" s="118"/>
      <c r="Y44" s="110"/>
      <c r="Z44" s="156">
        <f>Poor!Z44</f>
        <v>0.25</v>
      </c>
      <c r="AA44" s="147">
        <f t="shared" si="39"/>
        <v>0</v>
      </c>
      <c r="AB44" s="156">
        <f>Poor!AB44</f>
        <v>0.25</v>
      </c>
      <c r="AC44" s="147">
        <f t="shared" si="40"/>
        <v>0</v>
      </c>
      <c r="AD44" s="156">
        <f>Poor!AD44</f>
        <v>0.25</v>
      </c>
      <c r="AE44" s="147">
        <f t="shared" si="41"/>
        <v>0</v>
      </c>
      <c r="AF44" s="122">
        <f t="shared" si="28"/>
        <v>0.25</v>
      </c>
      <c r="AG44" s="147">
        <f t="shared" si="35"/>
        <v>0</v>
      </c>
      <c r="AH44" s="123">
        <f t="shared" si="36"/>
        <v>1</v>
      </c>
      <c r="AI44" s="112">
        <f t="shared" si="36"/>
        <v>0</v>
      </c>
      <c r="AJ44" s="148">
        <f t="shared" si="37"/>
        <v>0</v>
      </c>
      <c r="AK44" s="147">
        <f t="shared" si="38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>Agricultural cash income -- see Data2</v>
      </c>
      <c r="B45" s="104">
        <f>IF([1]Summ!$H1080="",0,[1]Summ!$H1080)</f>
        <v>0</v>
      </c>
      <c r="C45" s="104">
        <f>IF([1]Summ!$I1080="",0,[1]Summ!$I1080)</f>
        <v>0</v>
      </c>
      <c r="D45" s="38">
        <f t="shared" si="24"/>
        <v>0</v>
      </c>
      <c r="E45" s="75">
        <f>Poor!E45</f>
        <v>1</v>
      </c>
      <c r="F45" s="75">
        <f>Poor!F45</f>
        <v>1</v>
      </c>
      <c r="G45" s="75">
        <f>Poor!G45</f>
        <v>1</v>
      </c>
      <c r="H45" s="24">
        <f t="shared" si="29"/>
        <v>1</v>
      </c>
      <c r="I45" s="39">
        <f t="shared" si="30"/>
        <v>0</v>
      </c>
      <c r="J45" s="38">
        <f t="shared" si="31"/>
        <v>0</v>
      </c>
      <c r="K45" s="40">
        <f t="shared" si="32"/>
        <v>0</v>
      </c>
      <c r="L45" s="22">
        <f t="shared" si="33"/>
        <v>0</v>
      </c>
      <c r="M45" s="24">
        <f t="shared" si="34"/>
        <v>0</v>
      </c>
      <c r="N45" s="2"/>
      <c r="O45" s="2"/>
      <c r="P45" s="2"/>
      <c r="Q45" s="2"/>
      <c r="R45" s="2"/>
      <c r="S45" s="2"/>
      <c r="T45" s="69"/>
      <c r="U45" s="56"/>
      <c r="V45" s="56"/>
      <c r="W45" s="110"/>
      <c r="X45" s="118"/>
      <c r="Y45" s="110"/>
      <c r="Z45" s="156">
        <f>Poor!Z45</f>
        <v>0.25</v>
      </c>
      <c r="AA45" s="147">
        <f t="shared" si="39"/>
        <v>0</v>
      </c>
      <c r="AB45" s="156">
        <f>Poor!AB45</f>
        <v>0.25</v>
      </c>
      <c r="AC45" s="147">
        <f t="shared" si="40"/>
        <v>0</v>
      </c>
      <c r="AD45" s="156">
        <f>Poor!AD45</f>
        <v>0.25</v>
      </c>
      <c r="AE45" s="147">
        <f t="shared" si="41"/>
        <v>0</v>
      </c>
      <c r="AF45" s="122">
        <f t="shared" si="28"/>
        <v>0.25</v>
      </c>
      <c r="AG45" s="147">
        <f t="shared" si="35"/>
        <v>0</v>
      </c>
      <c r="AH45" s="123">
        <f t="shared" si="36"/>
        <v>1</v>
      </c>
      <c r="AI45" s="112">
        <f t="shared" si="36"/>
        <v>0</v>
      </c>
      <c r="AJ45" s="148">
        <f t="shared" si="37"/>
        <v>0</v>
      </c>
      <c r="AK45" s="147">
        <f t="shared" si="38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Construction cash income -- see Data2</v>
      </c>
      <c r="B46" s="104">
        <f>IF([1]Summ!$H1081="",0,[1]Summ!$H1081)</f>
        <v>0</v>
      </c>
      <c r="C46" s="104">
        <f>IF([1]Summ!$I1081="",0,[1]Summ!$I1081)</f>
        <v>0</v>
      </c>
      <c r="D46" s="38">
        <f t="shared" si="24"/>
        <v>0</v>
      </c>
      <c r="E46" s="75">
        <f>Poor!E46</f>
        <v>1</v>
      </c>
      <c r="F46" s="75">
        <f>Poor!F46</f>
        <v>1</v>
      </c>
      <c r="G46" s="75">
        <f>Poor!G46</f>
        <v>1</v>
      </c>
      <c r="H46" s="24">
        <f t="shared" si="29"/>
        <v>1</v>
      </c>
      <c r="I46" s="39">
        <f t="shared" si="30"/>
        <v>0</v>
      </c>
      <c r="J46" s="38">
        <f t="shared" si="31"/>
        <v>0</v>
      </c>
      <c r="K46" s="40">
        <f t="shared" si="32"/>
        <v>0</v>
      </c>
      <c r="L46" s="22">
        <f t="shared" si="33"/>
        <v>0</v>
      </c>
      <c r="M46" s="24">
        <f t="shared" si="34"/>
        <v>0</v>
      </c>
      <c r="N46" s="2"/>
      <c r="O46" s="2"/>
      <c r="P46" s="2"/>
      <c r="Q46" s="2"/>
      <c r="R46" s="2"/>
      <c r="S46" s="2"/>
      <c r="T46" s="69"/>
      <c r="U46" s="56"/>
      <c r="V46" s="56"/>
      <c r="W46" s="110"/>
      <c r="X46" s="118"/>
      <c r="Y46" s="110"/>
      <c r="Z46" s="156">
        <f>Poor!Z46</f>
        <v>0.25</v>
      </c>
      <c r="AA46" s="147">
        <f t="shared" si="39"/>
        <v>0</v>
      </c>
      <c r="AB46" s="156">
        <f>Poor!AB46</f>
        <v>0.25</v>
      </c>
      <c r="AC46" s="147">
        <f t="shared" si="40"/>
        <v>0</v>
      </c>
      <c r="AD46" s="156">
        <f>Poor!AD46</f>
        <v>0.25</v>
      </c>
      <c r="AE46" s="147">
        <f t="shared" si="41"/>
        <v>0</v>
      </c>
      <c r="AF46" s="122">
        <f t="shared" si="28"/>
        <v>0.25</v>
      </c>
      <c r="AG46" s="147">
        <f t="shared" si="35"/>
        <v>0</v>
      </c>
      <c r="AH46" s="123">
        <f t="shared" si="36"/>
        <v>1</v>
      </c>
      <c r="AI46" s="112">
        <f t="shared" si="36"/>
        <v>0</v>
      </c>
      <c r="AJ46" s="148">
        <f t="shared" si="37"/>
        <v>0</v>
      </c>
      <c r="AK46" s="147">
        <f t="shared" si="38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>Domestic work cash income -- see Data2</v>
      </c>
      <c r="B47" s="104">
        <f>IF([1]Summ!$H1082="",0,[1]Summ!$H1082)</f>
        <v>0</v>
      </c>
      <c r="C47" s="104">
        <f>IF([1]Summ!$I1082="",0,[1]Summ!$I1082)</f>
        <v>0</v>
      </c>
      <c r="D47" s="38">
        <f t="shared" si="24"/>
        <v>0</v>
      </c>
      <c r="E47" s="75">
        <f>Poor!E47</f>
        <v>1</v>
      </c>
      <c r="F47" s="75">
        <f>Poor!F47</f>
        <v>1</v>
      </c>
      <c r="G47" s="75">
        <f>Poor!G47</f>
        <v>1</v>
      </c>
      <c r="H47" s="24">
        <f t="shared" si="29"/>
        <v>1</v>
      </c>
      <c r="I47" s="39">
        <f t="shared" si="30"/>
        <v>0</v>
      </c>
      <c r="J47" s="38">
        <f t="shared" si="31"/>
        <v>0</v>
      </c>
      <c r="K47" s="40">
        <f t="shared" si="32"/>
        <v>0</v>
      </c>
      <c r="L47" s="22">
        <f t="shared" si="33"/>
        <v>0</v>
      </c>
      <c r="M47" s="24">
        <f t="shared" si="34"/>
        <v>0</v>
      </c>
      <c r="N47" s="2"/>
      <c r="O47" s="2"/>
      <c r="P47" s="2"/>
      <c r="Q47" s="2"/>
      <c r="R47" s="2"/>
      <c r="S47" s="2"/>
      <c r="T47" s="2"/>
      <c r="U47" s="56"/>
      <c r="V47" s="56"/>
      <c r="W47" s="110"/>
      <c r="X47" s="118"/>
      <c r="Y47" s="110"/>
      <c r="Z47" s="156">
        <f>Poor!Z47</f>
        <v>0.25</v>
      </c>
      <c r="AA47" s="147">
        <f t="shared" si="39"/>
        <v>0</v>
      </c>
      <c r="AB47" s="156">
        <f>Poor!AB47</f>
        <v>0.25</v>
      </c>
      <c r="AC47" s="147">
        <f t="shared" si="40"/>
        <v>0</v>
      </c>
      <c r="AD47" s="156">
        <f>Poor!AD47</f>
        <v>0.25</v>
      </c>
      <c r="AE47" s="147">
        <f t="shared" si="41"/>
        <v>0</v>
      </c>
      <c r="AF47" s="122">
        <f t="shared" si="28"/>
        <v>0.25</v>
      </c>
      <c r="AG47" s="147">
        <f t="shared" si="35"/>
        <v>0</v>
      </c>
      <c r="AH47" s="123">
        <f t="shared" si="36"/>
        <v>1</v>
      </c>
      <c r="AI47" s="112">
        <f t="shared" si="36"/>
        <v>0</v>
      </c>
      <c r="AJ47" s="148">
        <f t="shared" si="37"/>
        <v>0</v>
      </c>
      <c r="AK47" s="147">
        <f t="shared" si="38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>Labour migration(formal employment): no. people per HH</v>
      </c>
      <c r="B48" s="104">
        <f>IF([1]Summ!$H1083="",0,[1]Summ!$H1083)</f>
        <v>19200</v>
      </c>
      <c r="C48" s="104">
        <f>IF([1]Summ!$I1083="",0,[1]Summ!$I1083)</f>
        <v>0</v>
      </c>
      <c r="D48" s="38">
        <f t="shared" si="24"/>
        <v>19200</v>
      </c>
      <c r="E48" s="75">
        <f>Poor!E48</f>
        <v>1</v>
      </c>
      <c r="F48" s="75">
        <f>Poor!F48</f>
        <v>1</v>
      </c>
      <c r="G48" s="75">
        <f>Poor!G48</f>
        <v>1</v>
      </c>
      <c r="H48" s="24">
        <f t="shared" si="29"/>
        <v>1</v>
      </c>
      <c r="I48" s="39">
        <f t="shared" si="30"/>
        <v>19200</v>
      </c>
      <c r="J48" s="38">
        <f t="shared" si="31"/>
        <v>19200</v>
      </c>
      <c r="K48" s="40">
        <f t="shared" si="32"/>
        <v>0.2235938045883312</v>
      </c>
      <c r="L48" s="22">
        <f t="shared" si="33"/>
        <v>0.2235938045883312</v>
      </c>
      <c r="M48" s="24">
        <f t="shared" si="34"/>
        <v>0.2235938045883312</v>
      </c>
      <c r="N48" s="2"/>
      <c r="O48" s="2"/>
      <c r="P48" s="2"/>
      <c r="Q48" s="2"/>
      <c r="R48" s="2"/>
      <c r="S48" s="2"/>
      <c r="T48" s="2"/>
      <c r="U48" s="56"/>
      <c r="V48" s="56"/>
      <c r="W48" s="110"/>
      <c r="X48" s="118"/>
      <c r="Y48" s="110"/>
      <c r="Z48" s="156">
        <f>Poor!Z48</f>
        <v>0.25</v>
      </c>
      <c r="AA48" s="147">
        <f t="shared" si="39"/>
        <v>4800</v>
      </c>
      <c r="AB48" s="156">
        <f>Poor!AB48</f>
        <v>0.25</v>
      </c>
      <c r="AC48" s="147">
        <f t="shared" si="40"/>
        <v>4800</v>
      </c>
      <c r="AD48" s="156">
        <f>Poor!AD48</f>
        <v>0.25</v>
      </c>
      <c r="AE48" s="147">
        <f t="shared" si="41"/>
        <v>4800</v>
      </c>
      <c r="AF48" s="122">
        <f t="shared" si="28"/>
        <v>0.25</v>
      </c>
      <c r="AG48" s="147">
        <f t="shared" si="35"/>
        <v>4800</v>
      </c>
      <c r="AH48" s="123">
        <f t="shared" si="36"/>
        <v>1</v>
      </c>
      <c r="AI48" s="112">
        <f t="shared" si="36"/>
        <v>19200</v>
      </c>
      <c r="AJ48" s="148">
        <f t="shared" si="37"/>
        <v>9600</v>
      </c>
      <c r="AK48" s="147">
        <f t="shared" si="38"/>
        <v>9600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Small business -- see Data2</v>
      </c>
      <c r="B49" s="104">
        <f>IF([1]Summ!$H1084="",0,[1]Summ!$H1084)</f>
        <v>0</v>
      </c>
      <c r="C49" s="104">
        <f>IF([1]Summ!$I1084="",0,[1]Summ!$I1084)</f>
        <v>0</v>
      </c>
      <c r="D49" s="38">
        <f t="shared" si="24"/>
        <v>0</v>
      </c>
      <c r="E49" s="75">
        <f>Poor!E49</f>
        <v>1</v>
      </c>
      <c r="F49" s="75">
        <f>Poor!F49</f>
        <v>1</v>
      </c>
      <c r="G49" s="75">
        <f>Poor!G49</f>
        <v>1</v>
      </c>
      <c r="H49" s="24">
        <f t="shared" si="29"/>
        <v>1</v>
      </c>
      <c r="I49" s="39">
        <f t="shared" si="30"/>
        <v>0</v>
      </c>
      <c r="J49" s="38">
        <f t="shared" si="31"/>
        <v>0</v>
      </c>
      <c r="K49" s="40">
        <f t="shared" si="32"/>
        <v>0</v>
      </c>
      <c r="L49" s="22">
        <f t="shared" si="33"/>
        <v>0</v>
      </c>
      <c r="M49" s="24">
        <f t="shared" si="34"/>
        <v>0</v>
      </c>
      <c r="N49" s="2"/>
      <c r="O49" s="2"/>
      <c r="P49" s="2"/>
      <c r="Q49" s="2"/>
      <c r="R49" s="2"/>
      <c r="S49" s="2"/>
      <c r="T49" s="2"/>
      <c r="U49" s="56"/>
      <c r="V49" s="56"/>
      <c r="W49" s="110"/>
      <c r="X49" s="118"/>
      <c r="Y49" s="110"/>
      <c r="Z49" s="156">
        <f>Poor!Z49</f>
        <v>0.25</v>
      </c>
      <c r="AA49" s="147">
        <f t="shared" si="39"/>
        <v>0</v>
      </c>
      <c r="AB49" s="156">
        <f>Poor!AB49</f>
        <v>0.25</v>
      </c>
      <c r="AC49" s="147">
        <f t="shared" si="40"/>
        <v>0</v>
      </c>
      <c r="AD49" s="156">
        <f>Poor!AD49</f>
        <v>0.25</v>
      </c>
      <c r="AE49" s="147">
        <f t="shared" si="41"/>
        <v>0</v>
      </c>
      <c r="AF49" s="122">
        <f t="shared" si="28"/>
        <v>0.25</v>
      </c>
      <c r="AG49" s="147">
        <f t="shared" si="35"/>
        <v>0</v>
      </c>
      <c r="AH49" s="123">
        <f t="shared" si="36"/>
        <v>1</v>
      </c>
      <c r="AI49" s="112">
        <f t="shared" si="36"/>
        <v>0</v>
      </c>
      <c r="AJ49" s="148">
        <f t="shared" si="37"/>
        <v>0</v>
      </c>
      <c r="AK49" s="147">
        <f t="shared" si="38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>Social development -- see Data2</v>
      </c>
      <c r="B50" s="104">
        <f>IF([1]Summ!$H1085="",0,[1]Summ!$H1085)</f>
        <v>7620</v>
      </c>
      <c r="C50" s="104">
        <f>IF([1]Summ!$I1085="",0,[1]Summ!$I1085)</f>
        <v>0</v>
      </c>
      <c r="D50" s="38">
        <f t="shared" si="24"/>
        <v>7620</v>
      </c>
      <c r="E50" s="75">
        <f>Poor!E50</f>
        <v>1</v>
      </c>
      <c r="F50" s="75">
        <f>Poor!F50</f>
        <v>1</v>
      </c>
      <c r="G50" s="75">
        <f>Poor!G50</f>
        <v>1</v>
      </c>
      <c r="H50" s="24">
        <f t="shared" si="29"/>
        <v>1</v>
      </c>
      <c r="I50" s="39">
        <f t="shared" si="30"/>
        <v>7620</v>
      </c>
      <c r="J50" s="38">
        <f t="shared" si="31"/>
        <v>7620</v>
      </c>
      <c r="K50" s="40">
        <f t="shared" si="32"/>
        <v>8.8738791195993941E-2</v>
      </c>
      <c r="L50" s="22">
        <f t="shared" si="33"/>
        <v>8.8738791195993941E-2</v>
      </c>
      <c r="M50" s="24">
        <f t="shared" si="34"/>
        <v>8.8738791195993941E-2</v>
      </c>
      <c r="N50" s="2"/>
      <c r="O50" s="2"/>
      <c r="P50" s="2"/>
      <c r="Q50" s="2"/>
      <c r="R50" s="2"/>
      <c r="S50" s="2"/>
      <c r="T50" s="2"/>
      <c r="U50" s="56"/>
      <c r="V50" s="56"/>
      <c r="W50" s="110"/>
      <c r="X50" s="118"/>
      <c r="Y50" s="110"/>
      <c r="Z50" s="156">
        <f>Poor!Z55</f>
        <v>0.25</v>
      </c>
      <c r="AA50" s="147">
        <f t="shared" si="39"/>
        <v>1905</v>
      </c>
      <c r="AB50" s="156">
        <f>Poor!AB55</f>
        <v>0.25</v>
      </c>
      <c r="AC50" s="147">
        <f t="shared" si="40"/>
        <v>1905</v>
      </c>
      <c r="AD50" s="156">
        <f>Poor!AD55</f>
        <v>0.25</v>
      </c>
      <c r="AE50" s="147">
        <f t="shared" si="41"/>
        <v>1905</v>
      </c>
      <c r="AF50" s="122">
        <f t="shared" si="28"/>
        <v>0.25</v>
      </c>
      <c r="AG50" s="147">
        <f t="shared" si="35"/>
        <v>1905</v>
      </c>
      <c r="AH50" s="123">
        <f t="shared" si="36"/>
        <v>1</v>
      </c>
      <c r="AI50" s="112">
        <f t="shared" si="36"/>
        <v>7620</v>
      </c>
      <c r="AJ50" s="148">
        <f t="shared" si="37"/>
        <v>3810</v>
      </c>
      <c r="AK50" s="147">
        <f t="shared" si="38"/>
        <v>3810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>Public works -- see Data2</v>
      </c>
      <c r="B51" s="104">
        <f>IF([1]Summ!$H1086="",0,[1]Summ!$H1086)</f>
        <v>0</v>
      </c>
      <c r="C51" s="104">
        <f>IF([1]Summ!$I1086="",0,[1]Summ!$I1086)</f>
        <v>0</v>
      </c>
      <c r="D51" s="38">
        <f t="shared" si="24"/>
        <v>0</v>
      </c>
      <c r="E51" s="75">
        <f>Poor!E51</f>
        <v>1</v>
      </c>
      <c r="F51" s="75">
        <f>Poor!F51</f>
        <v>1</v>
      </c>
      <c r="G51" s="75">
        <f>Poor!G51</f>
        <v>1</v>
      </c>
      <c r="H51" s="24">
        <f t="shared" si="29"/>
        <v>1</v>
      </c>
      <c r="I51" s="39">
        <f t="shared" si="30"/>
        <v>0</v>
      </c>
      <c r="J51" s="38">
        <f t="shared" si="31"/>
        <v>0</v>
      </c>
      <c r="K51" s="40">
        <f t="shared" si="32"/>
        <v>0</v>
      </c>
      <c r="L51" s="22">
        <f t="shared" si="33"/>
        <v>0</v>
      </c>
      <c r="M51" s="24">
        <f t="shared" si="34"/>
        <v>0</v>
      </c>
      <c r="N51" s="2"/>
      <c r="O51" s="2"/>
      <c r="P51" s="2"/>
      <c r="Q51" s="2"/>
      <c r="R51" s="2"/>
      <c r="S51" s="2"/>
      <c r="T51" s="2"/>
      <c r="U51" s="56"/>
      <c r="V51" s="56"/>
      <c r="W51" s="110"/>
      <c r="X51" s="118"/>
      <c r="Y51" s="110"/>
      <c r="Z51" s="156">
        <f>Poor!Z56</f>
        <v>0.25</v>
      </c>
      <c r="AA51" s="147">
        <f t="shared" si="39"/>
        <v>0</v>
      </c>
      <c r="AB51" s="156">
        <f>Poor!AB56</f>
        <v>0.25</v>
      </c>
      <c r="AC51" s="147">
        <f t="shared" si="40"/>
        <v>0</v>
      </c>
      <c r="AD51" s="156">
        <f>Poor!AD56</f>
        <v>0.25</v>
      </c>
      <c r="AE51" s="147">
        <f t="shared" si="41"/>
        <v>0</v>
      </c>
      <c r="AF51" s="122">
        <f t="shared" si="28"/>
        <v>0.25</v>
      </c>
      <c r="AG51" s="147">
        <f t="shared" si="35"/>
        <v>0</v>
      </c>
      <c r="AH51" s="123">
        <f t="shared" si="36"/>
        <v>1</v>
      </c>
      <c r="AI51" s="112">
        <f t="shared" si="36"/>
        <v>0</v>
      </c>
      <c r="AJ51" s="148">
        <f t="shared" si="37"/>
        <v>0</v>
      </c>
      <c r="AK51" s="147">
        <f t="shared" si="38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>Gifts/social support: type (Child support, Pension and Foster Care)</v>
      </c>
      <c r="B52" s="104">
        <f>IF([1]Summ!$H1087="",0,[1]Summ!$H1087)</f>
        <v>0</v>
      </c>
      <c r="C52" s="104">
        <f>IF([1]Summ!$I1087="",0,[1]Summ!$I1087)</f>
        <v>0</v>
      </c>
      <c r="D52" s="38">
        <f t="shared" si="24"/>
        <v>0</v>
      </c>
      <c r="E52" s="75">
        <f>Poor!E52</f>
        <v>1</v>
      </c>
      <c r="F52" s="75">
        <f>Poor!F52</f>
        <v>1</v>
      </c>
      <c r="G52" s="75">
        <f>Poor!G52</f>
        <v>1</v>
      </c>
      <c r="H52" s="24">
        <f t="shared" si="29"/>
        <v>1</v>
      </c>
      <c r="I52" s="39">
        <f t="shared" si="30"/>
        <v>0</v>
      </c>
      <c r="J52" s="38">
        <f t="shared" si="31"/>
        <v>0</v>
      </c>
      <c r="K52" s="40">
        <f t="shared" si="32"/>
        <v>0</v>
      </c>
      <c r="L52" s="22">
        <f t="shared" si="33"/>
        <v>0</v>
      </c>
      <c r="M52" s="24">
        <f t="shared" si="34"/>
        <v>0</v>
      </c>
      <c r="N52" s="2"/>
      <c r="O52" s="2"/>
      <c r="P52" s="2"/>
      <c r="Q52" s="2"/>
      <c r="R52" s="2"/>
      <c r="S52" s="2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39"/>
        <v>0</v>
      </c>
      <c r="AB52" s="156">
        <f>Poor!AB57</f>
        <v>0.25</v>
      </c>
      <c r="AC52" s="147">
        <f t="shared" si="40"/>
        <v>0</v>
      </c>
      <c r="AD52" s="156">
        <f>Poor!AD57</f>
        <v>0.25</v>
      </c>
      <c r="AE52" s="147">
        <f t="shared" si="41"/>
        <v>0</v>
      </c>
      <c r="AF52" s="122">
        <f t="shared" si="28"/>
        <v>0.25</v>
      </c>
      <c r="AG52" s="147">
        <f t="shared" si="35"/>
        <v>0</v>
      </c>
      <c r="AH52" s="123">
        <f t="shared" si="36"/>
        <v>1</v>
      </c>
      <c r="AI52" s="112">
        <f t="shared" si="36"/>
        <v>0</v>
      </c>
      <c r="AJ52" s="148">
        <f t="shared" si="37"/>
        <v>0</v>
      </c>
      <c r="AK52" s="147">
        <f t="shared" si="38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>Remittances: no. times per year</v>
      </c>
      <c r="B53" s="104">
        <f>IF([1]Summ!$H1088="",0,[1]Summ!$H1088)</f>
        <v>12000</v>
      </c>
      <c r="C53" s="104">
        <f>IF([1]Summ!$I1088="",0,[1]Summ!$I1088)</f>
        <v>0</v>
      </c>
      <c r="D53" s="38">
        <f t="shared" si="24"/>
        <v>12000</v>
      </c>
      <c r="E53" s="75">
        <f>Poor!E53</f>
        <v>1</v>
      </c>
      <c r="F53" s="75">
        <f>Poor!F53</f>
        <v>1</v>
      </c>
      <c r="G53" s="75">
        <f>Poor!G53</f>
        <v>1</v>
      </c>
      <c r="H53" s="24">
        <f t="shared" si="29"/>
        <v>1</v>
      </c>
      <c r="I53" s="39">
        <f t="shared" si="30"/>
        <v>12000</v>
      </c>
      <c r="J53" s="38">
        <f t="shared" si="31"/>
        <v>12000</v>
      </c>
      <c r="K53" s="40">
        <f t="shared" si="32"/>
        <v>0.13974612786770699</v>
      </c>
      <c r="L53" s="22">
        <f t="shared" si="33"/>
        <v>0.13974612786770699</v>
      </c>
      <c r="M53" s="24">
        <f t="shared" si="34"/>
        <v>0.13974612786770699</v>
      </c>
      <c r="N53" s="2"/>
      <c r="O53" s="2"/>
      <c r="P53" s="2"/>
      <c r="Q53" s="2"/>
      <c r="R53" s="2"/>
      <c r="S53" s="2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/>
      </c>
      <c r="B54" s="104">
        <f>IF([1]Summ!$H1089="",0,[1]Summ!$H1089)</f>
        <v>0</v>
      </c>
      <c r="C54" s="104">
        <f>IF([1]Summ!$I1089="",0,[1]Summ!$I1089)</f>
        <v>0</v>
      </c>
      <c r="D54" s="38">
        <f t="shared" si="24"/>
        <v>0</v>
      </c>
      <c r="E54" s="75">
        <f>Poor!E54</f>
        <v>1</v>
      </c>
      <c r="F54" s="75">
        <f>Poor!F54</f>
        <v>1</v>
      </c>
      <c r="G54" s="75">
        <f>Poor!G54</f>
        <v>1</v>
      </c>
      <c r="H54" s="24">
        <f t="shared" si="29"/>
        <v>1</v>
      </c>
      <c r="I54" s="39">
        <f t="shared" si="30"/>
        <v>0</v>
      </c>
      <c r="J54" s="38">
        <f t="shared" si="31"/>
        <v>0</v>
      </c>
      <c r="K54" s="40">
        <f t="shared" si="32"/>
        <v>0</v>
      </c>
      <c r="L54" s="22">
        <f t="shared" si="33"/>
        <v>0</v>
      </c>
      <c r="M54" s="24">
        <f t="shared" si="34"/>
        <v>0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/>
      </c>
      <c r="B55" s="104">
        <f>IF([1]Summ!$H1090="",0,[1]Summ!$H1090)</f>
        <v>0</v>
      </c>
      <c r="C55" s="104">
        <f>IF([1]Summ!$I1090="",0,[1]Summ!$I1090)</f>
        <v>0</v>
      </c>
      <c r="D55" s="38">
        <f t="shared" si="24"/>
        <v>0</v>
      </c>
      <c r="E55" s="75">
        <f>Poor!E55</f>
        <v>1</v>
      </c>
      <c r="F55" s="75">
        <f>Poor!F55</f>
        <v>1</v>
      </c>
      <c r="G55" s="75">
        <f>Poor!G55</f>
        <v>1</v>
      </c>
      <c r="H55" s="24">
        <f t="shared" si="29"/>
        <v>1</v>
      </c>
      <c r="I55" s="39">
        <f t="shared" si="30"/>
        <v>0</v>
      </c>
      <c r="J55" s="38">
        <f t="shared" si="31"/>
        <v>0</v>
      </c>
      <c r="K55" s="40">
        <f t="shared" si="32"/>
        <v>0</v>
      </c>
      <c r="L55" s="22">
        <f t="shared" si="33"/>
        <v>0</v>
      </c>
      <c r="M55" s="24">
        <f t="shared" si="34"/>
        <v>0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/>
      </c>
      <c r="B56" s="104">
        <f>IF([1]Summ!$H1091="",0,[1]Summ!$H1091)</f>
        <v>0</v>
      </c>
      <c r="C56" s="104">
        <f>IF([1]Summ!$I1091="",0,[1]Summ!$I1091)</f>
        <v>0</v>
      </c>
      <c r="D56" s="38">
        <f t="shared" si="24"/>
        <v>0</v>
      </c>
      <c r="E56" s="75">
        <f>Poor!E56</f>
        <v>1</v>
      </c>
      <c r="F56" s="75">
        <f>Poor!F56</f>
        <v>1</v>
      </c>
      <c r="G56" s="75">
        <f>Poor!G56</f>
        <v>1</v>
      </c>
      <c r="H56" s="24">
        <f t="shared" si="29"/>
        <v>1</v>
      </c>
      <c r="I56" s="39">
        <f t="shared" si="30"/>
        <v>0</v>
      </c>
      <c r="J56" s="38">
        <f t="shared" si="31"/>
        <v>0</v>
      </c>
      <c r="K56" s="40">
        <f t="shared" si="32"/>
        <v>0</v>
      </c>
      <c r="L56" s="22">
        <f t="shared" si="33"/>
        <v>0</v>
      </c>
      <c r="M56" s="24">
        <f t="shared" si="34"/>
        <v>0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/>
      </c>
      <c r="B57" s="104">
        <f>IF([1]Summ!$H1092="",0,[1]Summ!$H1092)</f>
        <v>0</v>
      </c>
      <c r="C57" s="104">
        <f>IF([1]Summ!$I1092="",0,[1]Summ!$I1092)</f>
        <v>0</v>
      </c>
      <c r="D57" s="38">
        <f t="shared" si="24"/>
        <v>0</v>
      </c>
      <c r="E57" s="75">
        <f>Poor!E57</f>
        <v>1</v>
      </c>
      <c r="F57" s="75">
        <f>Poor!F57</f>
        <v>1</v>
      </c>
      <c r="G57" s="75">
        <f>Poor!G57</f>
        <v>1</v>
      </c>
      <c r="H57" s="24">
        <f t="shared" si="29"/>
        <v>1</v>
      </c>
      <c r="I57" s="39">
        <f t="shared" si="30"/>
        <v>0</v>
      </c>
      <c r="J57" s="38">
        <f t="shared" si="31"/>
        <v>0</v>
      </c>
      <c r="K57" s="40">
        <f t="shared" si="32"/>
        <v>0</v>
      </c>
      <c r="L57" s="22">
        <f t="shared" si="33"/>
        <v>0</v>
      </c>
      <c r="M57" s="24">
        <f t="shared" si="34"/>
        <v>0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/>
      </c>
      <c r="B58" s="104">
        <f>IF([1]Summ!$H1093="",0,[1]Summ!$H1093)</f>
        <v>0</v>
      </c>
      <c r="C58" s="104">
        <f>IF([1]Summ!$I1093="",0,[1]Summ!$I1093)</f>
        <v>0</v>
      </c>
      <c r="D58" s="38">
        <f t="shared" si="24"/>
        <v>0</v>
      </c>
      <c r="E58" s="75">
        <f>Poor!E58</f>
        <v>1</v>
      </c>
      <c r="F58" s="75">
        <f>Poor!F58</f>
        <v>1</v>
      </c>
      <c r="G58" s="75">
        <f>Poor!G58</f>
        <v>1</v>
      </c>
      <c r="H58" s="24">
        <f t="shared" si="29"/>
        <v>1</v>
      </c>
      <c r="I58" s="39">
        <f t="shared" si="30"/>
        <v>0</v>
      </c>
      <c r="J58" s="38">
        <f t="shared" si="31"/>
        <v>0</v>
      </c>
      <c r="K58" s="40">
        <f t="shared" si="32"/>
        <v>0</v>
      </c>
      <c r="L58" s="22">
        <f t="shared" si="33"/>
        <v>0</v>
      </c>
      <c r="M58" s="24">
        <f t="shared" si="34"/>
        <v>0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9"/>
        <v>0</v>
      </c>
      <c r="AB58" s="156">
        <f>Poor!AB58</f>
        <v>0.25</v>
      </c>
      <c r="AC58" s="147">
        <f t="shared" si="40"/>
        <v>0</v>
      </c>
      <c r="AD58" s="156">
        <f>Poor!AD58</f>
        <v>0.25</v>
      </c>
      <c r="AE58" s="147">
        <f t="shared" si="41"/>
        <v>0</v>
      </c>
      <c r="AF58" s="122">
        <f t="shared" si="28"/>
        <v>0.25</v>
      </c>
      <c r="AG58" s="147">
        <f t="shared" si="35"/>
        <v>0</v>
      </c>
      <c r="AH58" s="123">
        <f t="shared" si="36"/>
        <v>1</v>
      </c>
      <c r="AI58" s="112">
        <f t="shared" si="36"/>
        <v>0</v>
      </c>
      <c r="AJ58" s="148">
        <f t="shared" si="37"/>
        <v>0</v>
      </c>
      <c r="AK58" s="147">
        <f t="shared" si="38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/>
      </c>
      <c r="B59" s="104">
        <f>IF([1]Summ!$H1094="",0,[1]Summ!$H1094)</f>
        <v>0</v>
      </c>
      <c r="C59" s="104">
        <f>IF([1]Summ!$I1094="",0,[1]Summ!$I1094)</f>
        <v>0</v>
      </c>
      <c r="D59" s="38">
        <f t="shared" si="24"/>
        <v>0</v>
      </c>
      <c r="E59" s="75">
        <f>Poor!E59</f>
        <v>1</v>
      </c>
      <c r="F59" s="75">
        <f>Poor!F59</f>
        <v>1</v>
      </c>
      <c r="G59" s="75">
        <f>Poor!G59</f>
        <v>1</v>
      </c>
      <c r="H59" s="24">
        <f t="shared" si="29"/>
        <v>1</v>
      </c>
      <c r="I59" s="39">
        <f t="shared" si="30"/>
        <v>0</v>
      </c>
      <c r="J59" s="38">
        <f t="shared" si="31"/>
        <v>0</v>
      </c>
      <c r="K59" s="40">
        <f t="shared" si="32"/>
        <v>0</v>
      </c>
      <c r="L59" s="22">
        <f t="shared" si="33"/>
        <v>0</v>
      </c>
      <c r="M59" s="24">
        <f t="shared" si="34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9"/>
        <v>0</v>
      </c>
      <c r="AB59" s="156">
        <f>Poor!AB59</f>
        <v>0.25</v>
      </c>
      <c r="AC59" s="147">
        <f t="shared" si="40"/>
        <v>0</v>
      </c>
      <c r="AD59" s="156">
        <f>Poor!AD59</f>
        <v>0.25</v>
      </c>
      <c r="AE59" s="147">
        <f t="shared" si="41"/>
        <v>0</v>
      </c>
      <c r="AF59" s="122">
        <f t="shared" si="28"/>
        <v>0.25</v>
      </c>
      <c r="AG59" s="147">
        <f t="shared" si="35"/>
        <v>0</v>
      </c>
      <c r="AH59" s="123">
        <f t="shared" ref="AH59:AI64" si="42">SUM(Z59,AB59,AD59,AF59)</f>
        <v>1</v>
      </c>
      <c r="AI59" s="112">
        <f t="shared" si="42"/>
        <v>0</v>
      </c>
      <c r="AJ59" s="148">
        <f t="shared" si="37"/>
        <v>0</v>
      </c>
      <c r="AK59" s="147">
        <f t="shared" si="38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/>
      </c>
      <c r="B60" s="104">
        <f>IF([1]Summ!$H1095="",0,[1]Summ!$H1095)</f>
        <v>0</v>
      </c>
      <c r="C60" s="104">
        <f>IF([1]Summ!$I1095="",0,[1]Summ!$I1095)</f>
        <v>0</v>
      </c>
      <c r="D60" s="38">
        <f t="shared" si="24"/>
        <v>0</v>
      </c>
      <c r="E60" s="75">
        <f>Poor!E60</f>
        <v>1</v>
      </c>
      <c r="F60" s="75">
        <f>Poor!F60</f>
        <v>1</v>
      </c>
      <c r="G60" s="75">
        <f>Poor!G60</f>
        <v>1</v>
      </c>
      <c r="H60" s="24">
        <f t="shared" si="29"/>
        <v>1</v>
      </c>
      <c r="I60" s="39">
        <f t="shared" si="30"/>
        <v>0</v>
      </c>
      <c r="J60" s="38">
        <f t="shared" si="31"/>
        <v>0</v>
      </c>
      <c r="K60" s="40">
        <f t="shared" si="32"/>
        <v>0</v>
      </c>
      <c r="L60" s="22">
        <f t="shared" si="33"/>
        <v>0</v>
      </c>
      <c r="M60" s="24">
        <f t="shared" si="34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9"/>
        <v>0</v>
      </c>
      <c r="AB60" s="156">
        <f>Poor!AB60</f>
        <v>0.25</v>
      </c>
      <c r="AC60" s="147">
        <f t="shared" si="40"/>
        <v>0</v>
      </c>
      <c r="AD60" s="156">
        <f>Poor!AD60</f>
        <v>0.25</v>
      </c>
      <c r="AE60" s="147">
        <f t="shared" si="41"/>
        <v>0</v>
      </c>
      <c r="AF60" s="122">
        <f t="shared" si="28"/>
        <v>0.25</v>
      </c>
      <c r="AG60" s="147">
        <f t="shared" si="35"/>
        <v>0</v>
      </c>
      <c r="AH60" s="123">
        <f t="shared" si="42"/>
        <v>1</v>
      </c>
      <c r="AI60" s="112">
        <f t="shared" si="42"/>
        <v>0</v>
      </c>
      <c r="AJ60" s="148">
        <f t="shared" si="37"/>
        <v>0</v>
      </c>
      <c r="AK60" s="147">
        <f t="shared" si="38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/>
      </c>
      <c r="B61" s="104">
        <f>IF([1]Summ!$H1096="",0,[1]Summ!$H1096)</f>
        <v>0</v>
      </c>
      <c r="C61" s="104">
        <f>IF([1]Summ!$I1096="",0,[1]Summ!$I1096)</f>
        <v>0</v>
      </c>
      <c r="D61" s="38">
        <f t="shared" si="24"/>
        <v>0</v>
      </c>
      <c r="E61" s="75">
        <f>Poor!E61</f>
        <v>1</v>
      </c>
      <c r="F61" s="75">
        <f>Poor!F61</f>
        <v>1</v>
      </c>
      <c r="G61" s="75">
        <f>Poor!G61</f>
        <v>1</v>
      </c>
      <c r="H61" s="24">
        <f t="shared" si="29"/>
        <v>1</v>
      </c>
      <c r="I61" s="39">
        <f t="shared" si="30"/>
        <v>0</v>
      </c>
      <c r="J61" s="38">
        <f t="shared" si="31"/>
        <v>0</v>
      </c>
      <c r="K61" s="40">
        <f t="shared" si="32"/>
        <v>0</v>
      </c>
      <c r="L61" s="22">
        <f t="shared" si="33"/>
        <v>0</v>
      </c>
      <c r="M61" s="24">
        <f t="shared" si="34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9"/>
        <v>0</v>
      </c>
      <c r="AB61" s="156">
        <f>Poor!AB61</f>
        <v>0.25</v>
      </c>
      <c r="AC61" s="147">
        <f t="shared" si="40"/>
        <v>0</v>
      </c>
      <c r="AD61" s="156">
        <f>Poor!AD61</f>
        <v>0.25</v>
      </c>
      <c r="AE61" s="147">
        <f t="shared" si="41"/>
        <v>0</v>
      </c>
      <c r="AF61" s="122">
        <f t="shared" si="28"/>
        <v>0.25</v>
      </c>
      <c r="AG61" s="147">
        <f t="shared" si="35"/>
        <v>0</v>
      </c>
      <c r="AH61" s="123">
        <f t="shared" si="42"/>
        <v>1</v>
      </c>
      <c r="AI61" s="112">
        <f t="shared" si="42"/>
        <v>0</v>
      </c>
      <c r="AJ61" s="148">
        <f t="shared" si="37"/>
        <v>0</v>
      </c>
      <c r="AK61" s="147">
        <f t="shared" si="38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/>
      </c>
      <c r="B62" s="104">
        <f>IF([1]Summ!$H1097="",0,[1]Summ!$H1097)</f>
        <v>0</v>
      </c>
      <c r="C62" s="104">
        <f>IF([1]Summ!$I1097="",0,[1]Summ!$I1097)</f>
        <v>0</v>
      </c>
      <c r="D62" s="38">
        <f t="shared" si="24"/>
        <v>0</v>
      </c>
      <c r="E62" s="75">
        <f>Poor!E62</f>
        <v>1</v>
      </c>
      <c r="F62" s="75">
        <f>Poor!F62</f>
        <v>1</v>
      </c>
      <c r="G62" s="75">
        <f>Poor!G62</f>
        <v>1</v>
      </c>
      <c r="H62" s="24">
        <f t="shared" si="29"/>
        <v>1</v>
      </c>
      <c r="I62" s="39">
        <f t="shared" si="30"/>
        <v>0</v>
      </c>
      <c r="J62" s="38">
        <f t="shared" si="31"/>
        <v>0</v>
      </c>
      <c r="K62" s="40">
        <f t="shared" si="32"/>
        <v>0</v>
      </c>
      <c r="L62" s="22">
        <f t="shared" si="33"/>
        <v>0</v>
      </c>
      <c r="M62" s="24">
        <f t="shared" si="34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9"/>
        <v>0</v>
      </c>
      <c r="AB62" s="156">
        <f>Poor!AB62</f>
        <v>0.25</v>
      </c>
      <c r="AC62" s="147">
        <f t="shared" si="40"/>
        <v>0</v>
      </c>
      <c r="AD62" s="156">
        <f>Poor!AD62</f>
        <v>0.25</v>
      </c>
      <c r="AE62" s="147">
        <f t="shared" si="41"/>
        <v>0</v>
      </c>
      <c r="AF62" s="122">
        <f t="shared" si="28"/>
        <v>0.25</v>
      </c>
      <c r="AG62" s="147">
        <f t="shared" si="35"/>
        <v>0</v>
      </c>
      <c r="AH62" s="123">
        <f t="shared" si="42"/>
        <v>1</v>
      </c>
      <c r="AI62" s="112">
        <f t="shared" si="42"/>
        <v>0</v>
      </c>
      <c r="AJ62" s="148">
        <f t="shared" si="37"/>
        <v>0</v>
      </c>
      <c r="AK62" s="147">
        <f t="shared" si="38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/>
      </c>
      <c r="B63" s="104">
        <f>IF([1]Summ!$H1098="",0,[1]Summ!$H1098)</f>
        <v>0</v>
      </c>
      <c r="C63" s="104">
        <f>IF([1]Summ!$I1098="",0,[1]Summ!$I1098)</f>
        <v>0</v>
      </c>
      <c r="D63" s="38">
        <f t="shared" si="24"/>
        <v>0</v>
      </c>
      <c r="E63" s="75">
        <f>Poor!E63</f>
        <v>1</v>
      </c>
      <c r="F63" s="75">
        <f>Poor!F63</f>
        <v>1</v>
      </c>
      <c r="G63" s="75">
        <f>Poor!G63</f>
        <v>1</v>
      </c>
      <c r="H63" s="24">
        <f t="shared" si="29"/>
        <v>1</v>
      </c>
      <c r="I63" s="39">
        <f t="shared" si="30"/>
        <v>0</v>
      </c>
      <c r="J63" s="38">
        <f t="shared" si="31"/>
        <v>0</v>
      </c>
      <c r="K63" s="40">
        <f t="shared" si="32"/>
        <v>0</v>
      </c>
      <c r="L63" s="22">
        <f t="shared" si="33"/>
        <v>0</v>
      </c>
      <c r="M63" s="24">
        <f t="shared" si="34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9"/>
        <v>0</v>
      </c>
      <c r="AB63" s="156">
        <f>Poor!AB63</f>
        <v>0.25</v>
      </c>
      <c r="AC63" s="147">
        <f t="shared" si="40"/>
        <v>0</v>
      </c>
      <c r="AD63" s="156">
        <f>Poor!AD63</f>
        <v>0.25</v>
      </c>
      <c r="AE63" s="147">
        <f t="shared" si="41"/>
        <v>0</v>
      </c>
      <c r="AF63" s="122">
        <f t="shared" si="28"/>
        <v>0.25</v>
      </c>
      <c r="AG63" s="147">
        <f t="shared" si="35"/>
        <v>0</v>
      </c>
      <c r="AH63" s="123">
        <f t="shared" si="42"/>
        <v>1</v>
      </c>
      <c r="AI63" s="112">
        <f t="shared" si="42"/>
        <v>0</v>
      </c>
      <c r="AJ63" s="148">
        <f t="shared" si="37"/>
        <v>0</v>
      </c>
      <c r="AK63" s="147">
        <f t="shared" si="38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/>
      </c>
      <c r="B64" s="104">
        <f>IF([1]Summ!$H1099="",0,[1]Summ!$H1099)</f>
        <v>0</v>
      </c>
      <c r="C64" s="104">
        <f>IF([1]Summ!$I1099="",0,[1]Summ!$I1099)</f>
        <v>0</v>
      </c>
      <c r="D64" s="38">
        <f t="shared" si="24"/>
        <v>0</v>
      </c>
      <c r="E64" s="75">
        <f>Poor!E64</f>
        <v>1</v>
      </c>
      <c r="F64" s="75">
        <f>Poor!F64</f>
        <v>1</v>
      </c>
      <c r="G64" s="75">
        <f>Poor!G64</f>
        <v>1</v>
      </c>
      <c r="H64" s="24">
        <f t="shared" si="29"/>
        <v>1</v>
      </c>
      <c r="I64" s="39">
        <f t="shared" si="30"/>
        <v>0</v>
      </c>
      <c r="J64" s="38">
        <f t="shared" si="31"/>
        <v>0</v>
      </c>
      <c r="K64" s="40">
        <f t="shared" si="32"/>
        <v>0</v>
      </c>
      <c r="L64" s="22">
        <f t="shared" si="33"/>
        <v>0</v>
      </c>
      <c r="M64" s="24">
        <f t="shared" si="34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9"/>
        <v>0</v>
      </c>
      <c r="AB64" s="156">
        <f>Poor!AB64</f>
        <v>0.25</v>
      </c>
      <c r="AC64" s="149">
        <f t="shared" si="40"/>
        <v>0</v>
      </c>
      <c r="AD64" s="156">
        <f>Poor!AD64</f>
        <v>0.25</v>
      </c>
      <c r="AE64" s="149">
        <f t="shared" si="41"/>
        <v>0</v>
      </c>
      <c r="AF64" s="150">
        <f t="shared" si="28"/>
        <v>0.25</v>
      </c>
      <c r="AG64" s="149">
        <f t="shared" si="35"/>
        <v>0</v>
      </c>
      <c r="AH64" s="123">
        <f t="shared" si="42"/>
        <v>1</v>
      </c>
      <c r="AI64" s="112">
        <f t="shared" si="42"/>
        <v>0</v>
      </c>
      <c r="AJ64" s="151">
        <f t="shared" si="37"/>
        <v>0</v>
      </c>
      <c r="AK64" s="149">
        <f t="shared" si="38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85870</v>
      </c>
      <c r="C65" s="39">
        <f>SUM(C37:C64)</f>
        <v>-900</v>
      </c>
      <c r="D65" s="42">
        <f>SUM(D37:D64)</f>
        <v>84970</v>
      </c>
      <c r="E65" s="32"/>
      <c r="F65" s="32"/>
      <c r="G65" s="32"/>
      <c r="H65" s="31"/>
      <c r="I65" s="39">
        <f>SUM(I37:I64)</f>
        <v>84970</v>
      </c>
      <c r="J65" s="39">
        <f>SUM(J37:J64)</f>
        <v>85909.497253842099</v>
      </c>
      <c r="K65" s="40">
        <f>SUM(K37:K64)</f>
        <v>1</v>
      </c>
      <c r="L65" s="22">
        <f>SUM(L37:L64)</f>
        <v>1</v>
      </c>
      <c r="M65" s="24">
        <f>SUM(M37:M64)</f>
        <v>1.0004599656904869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13147.5007959576</v>
      </c>
      <c r="AB65" s="137"/>
      <c r="AC65" s="153">
        <f>SUM(AC37:AC64)</f>
        <v>8779.8565010453312</v>
      </c>
      <c r="AD65" s="137"/>
      <c r="AE65" s="153">
        <f>SUM(AE37:AE64)</f>
        <v>15982.428648501465</v>
      </c>
      <c r="AF65" s="137"/>
      <c r="AG65" s="153">
        <f>SUM(AG37:AG64)</f>
        <v>35999.711308337719</v>
      </c>
      <c r="AH65" s="137"/>
      <c r="AI65" s="153">
        <f>SUM(AI37:AI64)</f>
        <v>73909.497253842099</v>
      </c>
      <c r="AJ65" s="153">
        <f>SUM(AJ37:AJ64)</f>
        <v>21927.357297002931</v>
      </c>
      <c r="AK65" s="153">
        <f>SUM(AK37:AK64)</f>
        <v>51982.139956839179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[1]Summ!$H1031</f>
        <v>13068.858465770902</v>
      </c>
      <c r="C70" s="39"/>
      <c r="D70" s="38"/>
      <c r="E70" s="75">
        <f>Poor!E70</f>
        <v>1</v>
      </c>
      <c r="F70" s="75">
        <f>Poor!F70</f>
        <v>1</v>
      </c>
      <c r="G70" s="22"/>
      <c r="H70" s="24">
        <f>(E70*F70)</f>
        <v>1</v>
      </c>
      <c r="I70" s="39">
        <f>I124*I$83</f>
        <v>13068.858465770902</v>
      </c>
      <c r="J70" s="51">
        <f t="shared" ref="J70:J77" si="43">J124*I$83</f>
        <v>13068.858465770902</v>
      </c>
      <c r="K70" s="40">
        <f>B70/B$76</f>
        <v>0.15219353052021545</v>
      </c>
      <c r="L70" s="22">
        <f t="shared" ref="L70:L75" si="44">(L124*G$37*F$9/F$7)/B$130</f>
        <v>0.15219353052021545</v>
      </c>
      <c r="M70" s="24">
        <f>J70/B$76</f>
        <v>0.15219353052021545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3267.2146164427254</v>
      </c>
      <c r="AB70" s="156">
        <f>Poor!AB70</f>
        <v>0.25</v>
      </c>
      <c r="AC70" s="147">
        <f>$J70*AB70</f>
        <v>3267.2146164427254</v>
      </c>
      <c r="AD70" s="156">
        <f>Poor!AD70</f>
        <v>0.25</v>
      </c>
      <c r="AE70" s="147">
        <f>$J70*AD70</f>
        <v>3267.2146164427254</v>
      </c>
      <c r="AF70" s="156">
        <f>Poor!AF70</f>
        <v>0.25</v>
      </c>
      <c r="AG70" s="147">
        <f>$J70*AF70</f>
        <v>3267.2146164427254</v>
      </c>
      <c r="AH70" s="155">
        <f>SUM(Z70,AB70,AD70,AF70)</f>
        <v>1</v>
      </c>
      <c r="AI70" s="147">
        <f>SUM(AA70,AC70,AE70,AG70)</f>
        <v>13068.858465770902</v>
      </c>
      <c r="AJ70" s="148">
        <f>(AA70+AC70)</f>
        <v>6534.4292328854508</v>
      </c>
      <c r="AK70" s="147">
        <f>(AE70+AG70)</f>
        <v>6534.4292328854508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[1]Summ!$H1032</f>
        <v>13631.333333333334</v>
      </c>
      <c r="C71" s="39"/>
      <c r="D71" s="38"/>
      <c r="E71" s="75">
        <f>Poor!E71</f>
        <v>1</v>
      </c>
      <c r="F71" s="75">
        <f>Poor!F71</f>
        <v>1</v>
      </c>
      <c r="G71" s="22"/>
      <c r="H71" s="24">
        <f t="shared" ref="H71:H72" si="45">(E71*F71)</f>
        <v>1</v>
      </c>
      <c r="I71" s="39">
        <f>I125*I$83</f>
        <v>13631.333333333334</v>
      </c>
      <c r="J71" s="51">
        <f t="shared" si="43"/>
        <v>13631.333333333334</v>
      </c>
      <c r="K71" s="40">
        <f t="shared" ref="K71:K72" si="46">B71/B$76</f>
        <v>0.15874383758394472</v>
      </c>
      <c r="L71" s="22">
        <f t="shared" si="44"/>
        <v>0.15874383758394472</v>
      </c>
      <c r="M71" s="24">
        <f t="shared" ref="M71:M72" si="47">J71/B$76</f>
        <v>0.15874383758394472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[1]Summ!$H1033</f>
        <v>24276</v>
      </c>
      <c r="C72" s="39"/>
      <c r="D72" s="38"/>
      <c r="E72" s="75">
        <f>Poor!E72</f>
        <v>1</v>
      </c>
      <c r="F72" s="75">
        <f>Poor!F72</f>
        <v>1</v>
      </c>
      <c r="G72" s="22"/>
      <c r="H72" s="24">
        <f t="shared" si="45"/>
        <v>1</v>
      </c>
      <c r="I72" s="39">
        <f>I126*I$83</f>
        <v>0</v>
      </c>
      <c r="J72" s="51">
        <f t="shared" si="43"/>
        <v>24276</v>
      </c>
      <c r="K72" s="40">
        <f t="shared" si="46"/>
        <v>0.28270641667637125</v>
      </c>
      <c r="L72" s="22">
        <f t="shared" si="44"/>
        <v>0.28270641667637125</v>
      </c>
      <c r="M72" s="24">
        <f t="shared" si="47"/>
        <v>0.28270641667637125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[1]Summ!$H1034</f>
        <v>21400</v>
      </c>
      <c r="C73" s="39"/>
      <c r="D73" s="38"/>
      <c r="E73" s="75">
        <f>Poor!E73</f>
        <v>1</v>
      </c>
      <c r="F73" s="75">
        <f>Poor!F73</f>
        <v>1</v>
      </c>
      <c r="G73" s="22"/>
      <c r="H73" s="24">
        <f>(E73*F73)</f>
        <v>1</v>
      </c>
      <c r="I73" s="39">
        <f>I127*I$83</f>
        <v>0</v>
      </c>
      <c r="J73" s="51">
        <f t="shared" si="43"/>
        <v>21400</v>
      </c>
      <c r="K73" s="40">
        <f>B73/B$76</f>
        <v>0.24921392803074416</v>
      </c>
      <c r="L73" s="22">
        <f t="shared" si="44"/>
        <v>0.24921392803074413</v>
      </c>
      <c r="M73" s="24">
        <f>J73/B$76</f>
        <v>0.24921392803074416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1926</v>
      </c>
      <c r="AB73" s="156">
        <f>Poor!AB73</f>
        <v>0.09</v>
      </c>
      <c r="AC73" s="147">
        <f>$H$73*$B$73*AB73</f>
        <v>1926</v>
      </c>
      <c r="AD73" s="156">
        <f>Poor!AD73</f>
        <v>0.23</v>
      </c>
      <c r="AE73" s="147">
        <f>$H$73*$B$73*AD73</f>
        <v>4922</v>
      </c>
      <c r="AF73" s="156">
        <f>Poor!AF73</f>
        <v>0.59</v>
      </c>
      <c r="AG73" s="147">
        <f>$H$73*$B$73*AF73</f>
        <v>12626</v>
      </c>
      <c r="AH73" s="155">
        <f>SUM(Z73,AB73,AD73,AF73)</f>
        <v>1</v>
      </c>
      <c r="AI73" s="147">
        <f>SUM(AA73,AC73,AE73,AG73)</f>
        <v>21400</v>
      </c>
      <c r="AJ73" s="148">
        <f>(AA73+AC73)</f>
        <v>3852</v>
      </c>
      <c r="AK73" s="147">
        <f>(AE73+AG73)</f>
        <v>17548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2180.4972375690604</v>
      </c>
      <c r="C74" s="39"/>
      <c r="D74" s="38"/>
      <c r="E74" s="32"/>
      <c r="F74" s="32"/>
      <c r="G74" s="32"/>
      <c r="H74" s="31"/>
      <c r="I74" s="39">
        <f>I128*I$83</f>
        <v>71901.1415342291</v>
      </c>
      <c r="J74" s="51">
        <f t="shared" si="43"/>
        <v>2478.3471913343478</v>
      </c>
      <c r="K74" s="40">
        <f>B74/B$76</f>
        <v>2.5393003814708985E-2</v>
      </c>
      <c r="L74" s="22">
        <f t="shared" si="44"/>
        <v>2.5393003814708985E-2</v>
      </c>
      <c r="M74" s="24">
        <f>J74/B$76</f>
        <v>2.8861618625065189E-2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0</v>
      </c>
      <c r="AB74" s="156"/>
      <c r="AC74" s="147">
        <f>AC30*$I$84/4</f>
        <v>54.034818831816175</v>
      </c>
      <c r="AD74" s="156"/>
      <c r="AE74" s="147">
        <f>AE30*$I$84/4</f>
        <v>549.58581706608118</v>
      </c>
      <c r="AF74" s="156"/>
      <c r="AG74" s="147">
        <f>AG30*$I$84/4</f>
        <v>-467.32606859192572</v>
      </c>
      <c r="AH74" s="155"/>
      <c r="AI74" s="147">
        <f>SUM(AA74,AC74,AE74,AG74)</f>
        <v>136.29456730597167</v>
      </c>
      <c r="AJ74" s="148">
        <f>(AA74+AC74)</f>
        <v>54.034818831816175</v>
      </c>
      <c r="AK74" s="147">
        <f>(AE74+AG74)</f>
        <v>82.259748474155458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11313.310963326705</v>
      </c>
      <c r="C75" s="39"/>
      <c r="D75" s="38"/>
      <c r="E75" s="32"/>
      <c r="F75" s="32"/>
      <c r="G75" s="32"/>
      <c r="H75" s="31"/>
      <c r="I75" s="47"/>
      <c r="J75" s="51">
        <f t="shared" si="43"/>
        <v>11054.958263403525</v>
      </c>
      <c r="K75" s="40">
        <f>B75/B$76</f>
        <v>0.13174928337401542</v>
      </c>
      <c r="L75" s="22">
        <f t="shared" si="44"/>
        <v>0.13174928337401537</v>
      </c>
      <c r="M75" s="24">
        <f>J75/B$76</f>
        <v>0.12874063425414609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31763.227536443515</v>
      </c>
      <c r="AB75" s="158"/>
      <c r="AC75" s="149">
        <f>AA75+AC65-SUM(AC70,AC74)</f>
        <v>37221.834602214309</v>
      </c>
      <c r="AD75" s="158"/>
      <c r="AE75" s="149">
        <f>AC75+AE65-SUM(AE70,AE74)</f>
        <v>49387.462817206972</v>
      </c>
      <c r="AF75" s="158"/>
      <c r="AG75" s="149">
        <f>IF(SUM(AG6:AG29)+((AG65-AG70-$J$75)*4/I$83)&lt;1,0,AG65-AG70-$J$75-(1-SUM(AG6:AG29))*I$83/4)</f>
        <v>21882.941356928641</v>
      </c>
      <c r="AH75" s="134"/>
      <c r="AI75" s="149">
        <f>AI76-SUM(AI70,AI74)</f>
        <v>60704.344220765241</v>
      </c>
      <c r="AJ75" s="151">
        <f>AJ76-SUM(AJ70,AJ74)</f>
        <v>15338.893245285664</v>
      </c>
      <c r="AK75" s="149">
        <f>AJ75+AK76-SUM(AK70,AK74)</f>
        <v>60704.344220765241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85870</v>
      </c>
      <c r="C76" s="39"/>
      <c r="D76" s="38"/>
      <c r="E76" s="32"/>
      <c r="F76" s="32"/>
      <c r="G76" s="32"/>
      <c r="H76" s="31"/>
      <c r="I76" s="39">
        <f>I130*I$83</f>
        <v>84970</v>
      </c>
      <c r="J76" s="51">
        <f t="shared" si="43"/>
        <v>85909.497253842113</v>
      </c>
      <c r="K76" s="40">
        <f>SUM(K70:K75)</f>
        <v>1</v>
      </c>
      <c r="L76" s="22">
        <f>SUM(L70:L75)</f>
        <v>0.99999999999999989</v>
      </c>
      <c r="M76" s="24">
        <f>SUM(M70:M75)</f>
        <v>1.0004599656904869</v>
      </c>
      <c r="O76" s="2"/>
      <c r="P76" s="2"/>
      <c r="Q76" s="2"/>
      <c r="R76" s="2"/>
      <c r="S76" s="2"/>
      <c r="T76" s="2"/>
      <c r="U76" s="56"/>
      <c r="V76" s="56"/>
      <c r="W76" s="110"/>
      <c r="X76" s="190"/>
      <c r="Y76" s="190"/>
      <c r="Z76" s="137"/>
      <c r="AA76" s="154">
        <f>AA65</f>
        <v>13147.5007959576</v>
      </c>
      <c r="AB76" s="137"/>
      <c r="AC76" s="153">
        <f>AC65</f>
        <v>8779.8565010453312</v>
      </c>
      <c r="AD76" s="137"/>
      <c r="AE76" s="153">
        <f>AE65</f>
        <v>15982.428648501465</v>
      </c>
      <c r="AF76" s="137"/>
      <c r="AG76" s="153">
        <f>AG65</f>
        <v>35999.711308337719</v>
      </c>
      <c r="AH76" s="137"/>
      <c r="AI76" s="153">
        <f>SUM(AA76,AC76,AE76,AG76)</f>
        <v>73909.497253842113</v>
      </c>
      <c r="AJ76" s="154">
        <f>SUM(AA76,AC76)</f>
        <v>21927.357297002931</v>
      </c>
      <c r="AK76" s="154">
        <f>SUM(AE76,AG76)</f>
        <v>51982.139956839186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13631.333333333328</v>
      </c>
      <c r="J77" s="100">
        <f t="shared" si="43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21882.941356928641</v>
      </c>
      <c r="AB78" s="112"/>
      <c r="AC78" s="112">
        <f>IF(AA75&lt;0,0,AA75)</f>
        <v>31763.227536443515</v>
      </c>
      <c r="AD78" s="112"/>
      <c r="AE78" s="112">
        <f>AC75</f>
        <v>37221.834602214309</v>
      </c>
      <c r="AF78" s="112"/>
      <c r="AG78" s="112">
        <f>AE75</f>
        <v>49387.462817206972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4" t="str">
        <f>[1]Summ!$H1037</f>
        <v>maize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31763.227536443515</v>
      </c>
      <c r="AB79" s="112"/>
      <c r="AC79" s="112">
        <f>AA79-AA74+AC65-AC70</f>
        <v>37275.869421046125</v>
      </c>
      <c r="AD79" s="112"/>
      <c r="AE79" s="112">
        <f>AC79-AC74+AE65-AE70</f>
        <v>49937.048634273051</v>
      </c>
      <c r="AF79" s="112"/>
      <c r="AG79" s="112">
        <f>AE79-AE74+AG65-AG70</f>
        <v>82119.959509101973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[1]Summ!$H1038</f>
        <v>0.58061985920496251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4">
        <f>[1]Summ!$H1039</f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[1]Summ!$H1040</f>
        <v>5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4">
        <f>Poor!AA82</f>
        <v>5.6000000000000005</v>
      </c>
      <c r="AB82" s="162">
        <f>IF($AH$82=0,0,AC82/$AH$82)</f>
        <v>1</v>
      </c>
      <c r="AC82" s="194">
        <f>Poor!AC82</f>
        <v>5.6000000000000005</v>
      </c>
      <c r="AD82" s="162">
        <f>IF($AH$82=0,0,AE82/$AH$82)</f>
        <v>1</v>
      </c>
      <c r="AE82" s="194">
        <f>Poor!AE82</f>
        <v>5.6000000000000005</v>
      </c>
      <c r="AF82" s="162">
        <f>IF($AH$82=0,0,AG82/$AH$82)</f>
        <v>1</v>
      </c>
      <c r="AG82" s="194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7417.4187013433957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7417.4187013433957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4218.967503498</v>
      </c>
      <c r="AB83" s="112"/>
      <c r="AC83" s="165">
        <f>$I$84*AB82/4</f>
        <v>4218.967503498</v>
      </c>
      <c r="AD83" s="112"/>
      <c r="AE83" s="165">
        <f>$I$84*AD82/4</f>
        <v>4218.967503498</v>
      </c>
      <c r="AF83" s="112"/>
      <c r="AG83" s="165">
        <f>$I$84*AF82/4</f>
        <v>4218.967503498</v>
      </c>
      <c r="AH83" s="165">
        <f>SUM(AA83,AC83,AE83,AG83)</f>
        <v>16875.870013992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8">
        <f>B70+((1-D29)*B83)</f>
        <v>16875.870013992</v>
      </c>
      <c r="C84" s="46"/>
      <c r="D84" s="239"/>
      <c r="E84" s="64"/>
      <c r="F84" s="64"/>
      <c r="G84" s="64"/>
      <c r="H84" s="240">
        <f>IF(B84=0,0,I84/B84)</f>
        <v>1</v>
      </c>
      <c r="I84" s="238">
        <f>(B70*H70)+((1-(D29*H29))*I83)</f>
        <v>16875.870013992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1"/>
      <c r="AJ85" s="192"/>
      <c r="AK85" s="193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[1]Summ!$J$892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8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8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 t="shared" ref="B91:C118" si="49">(B37/$B$83)</f>
        <v>2.1570846468599894</v>
      </c>
      <c r="C91" s="75">
        <f t="shared" si="49"/>
        <v>0</v>
      </c>
      <c r="D91" s="24">
        <f t="shared" ref="D91" si="50">(B91+C91)</f>
        <v>2.1570846468599894</v>
      </c>
      <c r="H91" s="24">
        <f>(E37*F37/G37*F$7/F$9)</f>
        <v>1</v>
      </c>
      <c r="I91" s="22">
        <f t="shared" ref="I91" si="51">(D91*H91)</f>
        <v>2.1570846468599894</v>
      </c>
      <c r="J91" s="24">
        <f>IF(I$32&lt;=1+I$131,I91,L91+J$33*(I91-L91))</f>
        <v>2.1570846468599894</v>
      </c>
      <c r="K91" s="22">
        <f t="shared" ref="K91" si="52">(B91)</f>
        <v>2.1570846468599894</v>
      </c>
      <c r="L91" s="22">
        <f t="shared" ref="L91" si="53">(K91*H91)</f>
        <v>2.1570846468599894</v>
      </c>
      <c r="M91" s="231">
        <f t="shared" si="48"/>
        <v>2.1570846468599894</v>
      </c>
      <c r="N91" s="233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4">IF(A38="","",A38)</f>
        <v>Goat sales - local: no. sold</v>
      </c>
      <c r="B92" s="75">
        <f t="shared" si="49"/>
        <v>0.80890674257249606</v>
      </c>
      <c r="C92" s="75">
        <f t="shared" si="49"/>
        <v>0.53927116171499734</v>
      </c>
      <c r="D92" s="24">
        <f t="shared" ref="D92:D118" si="55">(B92+C92)</f>
        <v>1.3481779042874935</v>
      </c>
      <c r="H92" s="24">
        <f t="shared" ref="H92:H118" si="56">(E38*F38/G38*F$7/F$9)</f>
        <v>1</v>
      </c>
      <c r="I92" s="22">
        <f t="shared" ref="I92:I118" si="57">(D92*H92)</f>
        <v>1.3481779042874935</v>
      </c>
      <c r="J92" s="24">
        <f t="shared" ref="J92:J118" si="58">IF(I$32&lt;=1+I$131,I92,L92+J$33*(I92-L92))</f>
        <v>0.78524037594584373</v>
      </c>
      <c r="K92" s="22">
        <f t="shared" ref="K92:K118" si="59">(B92)</f>
        <v>0.80890674257249606</v>
      </c>
      <c r="L92" s="22">
        <f t="shared" ref="L92:L118" si="60">(K92*H92)</f>
        <v>0.80890674257249606</v>
      </c>
      <c r="M92" s="231">
        <f t="shared" ref="M92:M118" si="61">(J92)</f>
        <v>0.78524037594584373</v>
      </c>
      <c r="N92" s="233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4"/>
        <v>Sheep sales - local: no. sold</v>
      </c>
      <c r="B93" s="75">
        <f t="shared" si="49"/>
        <v>0.21570846468599894</v>
      </c>
      <c r="C93" s="75">
        <f t="shared" si="49"/>
        <v>0</v>
      </c>
      <c r="D93" s="24">
        <f t="shared" si="55"/>
        <v>0.21570846468599894</v>
      </c>
      <c r="H93" s="24">
        <f t="shared" si="56"/>
        <v>1</v>
      </c>
      <c r="I93" s="22">
        <f t="shared" si="57"/>
        <v>0.21570846468599894</v>
      </c>
      <c r="J93" s="24">
        <f t="shared" si="58"/>
        <v>0.21570846468599894</v>
      </c>
      <c r="K93" s="22">
        <f t="shared" si="59"/>
        <v>0.21570846468599894</v>
      </c>
      <c r="L93" s="22">
        <f t="shared" si="60"/>
        <v>0.21570846468599894</v>
      </c>
      <c r="M93" s="231">
        <f t="shared" si="61"/>
        <v>0.21570846468599894</v>
      </c>
      <c r="N93" s="233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4"/>
        <v>Chicken sales: no. sold</v>
      </c>
      <c r="B94" s="75">
        <f t="shared" si="49"/>
        <v>0.17526312755737414</v>
      </c>
      <c r="C94" s="75">
        <f t="shared" si="49"/>
        <v>0</v>
      </c>
      <c r="D94" s="24">
        <f t="shared" si="55"/>
        <v>0.17526312755737414</v>
      </c>
      <c r="H94" s="24">
        <f t="shared" si="56"/>
        <v>1</v>
      </c>
      <c r="I94" s="22">
        <f t="shared" si="57"/>
        <v>0.17526312755737414</v>
      </c>
      <c r="J94" s="24">
        <f t="shared" si="58"/>
        <v>0.17526312755737414</v>
      </c>
      <c r="K94" s="22">
        <f t="shared" si="59"/>
        <v>0.17526312755737414</v>
      </c>
      <c r="L94" s="22">
        <f t="shared" si="60"/>
        <v>0.17526312755737414</v>
      </c>
      <c r="M94" s="231">
        <f t="shared" si="61"/>
        <v>0.17526312755737414</v>
      </c>
      <c r="N94" s="233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4"/>
        <v>Maize: kg produced</v>
      </c>
      <c r="B95" s="75">
        <f t="shared" si="49"/>
        <v>0.32356269702899842</v>
      </c>
      <c r="C95" s="75">
        <f t="shared" si="49"/>
        <v>-0.32356269702899842</v>
      </c>
      <c r="D95" s="24">
        <f t="shared" si="55"/>
        <v>0</v>
      </c>
      <c r="H95" s="24">
        <f t="shared" si="56"/>
        <v>1</v>
      </c>
      <c r="I95" s="22">
        <f t="shared" si="57"/>
        <v>0</v>
      </c>
      <c r="J95" s="24">
        <f t="shared" si="58"/>
        <v>0.33776251700498983</v>
      </c>
      <c r="K95" s="22">
        <f t="shared" si="59"/>
        <v>0.32356269702899842</v>
      </c>
      <c r="L95" s="22">
        <f t="shared" si="60"/>
        <v>0.32356269702899842</v>
      </c>
      <c r="M95" s="231">
        <f t="shared" si="61"/>
        <v>0.33776251700498983</v>
      </c>
      <c r="N95" s="233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4"/>
        <v>Beans: kg produced</v>
      </c>
      <c r="B96" s="75">
        <f t="shared" si="49"/>
        <v>2.3256068848959259</v>
      </c>
      <c r="C96" s="75">
        <f t="shared" si="49"/>
        <v>0</v>
      </c>
      <c r="D96" s="24">
        <f t="shared" si="55"/>
        <v>2.3256068848959259</v>
      </c>
      <c r="H96" s="24">
        <f t="shared" si="56"/>
        <v>1</v>
      </c>
      <c r="I96" s="22">
        <f t="shared" si="57"/>
        <v>2.3256068848959259</v>
      </c>
      <c r="J96" s="24">
        <f t="shared" si="58"/>
        <v>2.3256068848959259</v>
      </c>
      <c r="K96" s="22">
        <f t="shared" si="59"/>
        <v>2.3256068848959259</v>
      </c>
      <c r="L96" s="22">
        <f t="shared" si="60"/>
        <v>2.3256068848959259</v>
      </c>
      <c r="M96" s="231">
        <f t="shared" si="61"/>
        <v>2.3256068848959259</v>
      </c>
      <c r="N96" s="233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4"/>
        <v>potatoes: kg produced</v>
      </c>
      <c r="B97" s="75">
        <f t="shared" si="49"/>
        <v>0.33704447607187332</v>
      </c>
      <c r="C97" s="75">
        <f t="shared" si="49"/>
        <v>-0.33704447607187332</v>
      </c>
      <c r="D97" s="24">
        <f t="shared" si="55"/>
        <v>0</v>
      </c>
      <c r="H97" s="24">
        <f t="shared" si="56"/>
        <v>1</v>
      </c>
      <c r="I97" s="22">
        <f t="shared" si="57"/>
        <v>0</v>
      </c>
      <c r="J97" s="24">
        <f t="shared" si="58"/>
        <v>0.351835955213531</v>
      </c>
      <c r="K97" s="22">
        <f t="shared" si="59"/>
        <v>0.33704447607187332</v>
      </c>
      <c r="L97" s="22">
        <f t="shared" si="60"/>
        <v>0.33704447607187332</v>
      </c>
      <c r="M97" s="231">
        <f t="shared" si="61"/>
        <v>0.351835955213531</v>
      </c>
      <c r="N97" s="233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4"/>
        <v>WILD FOODS -- see worksheet Data 3</v>
      </c>
      <c r="B98" s="75">
        <f t="shared" si="49"/>
        <v>0</v>
      </c>
      <c r="C98" s="75">
        <f t="shared" si="49"/>
        <v>0</v>
      </c>
      <c r="D98" s="24">
        <f t="shared" si="55"/>
        <v>0</v>
      </c>
      <c r="H98" s="24">
        <f t="shared" si="56"/>
        <v>1</v>
      </c>
      <c r="I98" s="22">
        <f t="shared" si="57"/>
        <v>0</v>
      </c>
      <c r="J98" s="24">
        <f t="shared" si="58"/>
        <v>0</v>
      </c>
      <c r="K98" s="22">
        <f t="shared" si="59"/>
        <v>0</v>
      </c>
      <c r="L98" s="22">
        <f t="shared" si="60"/>
        <v>0</v>
      </c>
      <c r="M98" s="231">
        <f t="shared" si="61"/>
        <v>0</v>
      </c>
      <c r="N98" s="233">
        <v>6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4"/>
        <v>Agricultural cash income -- see Data2</v>
      </c>
      <c r="B99" s="75">
        <f t="shared" si="49"/>
        <v>0</v>
      </c>
      <c r="C99" s="75">
        <f t="shared" si="49"/>
        <v>0</v>
      </c>
      <c r="D99" s="24">
        <f t="shared" si="55"/>
        <v>0</v>
      </c>
      <c r="H99" s="24">
        <f t="shared" si="56"/>
        <v>1</v>
      </c>
      <c r="I99" s="22">
        <f t="shared" si="57"/>
        <v>0</v>
      </c>
      <c r="J99" s="24">
        <f t="shared" si="58"/>
        <v>0</v>
      </c>
      <c r="K99" s="22">
        <f t="shared" si="59"/>
        <v>0</v>
      </c>
      <c r="L99" s="22">
        <f t="shared" si="60"/>
        <v>0</v>
      </c>
      <c r="M99" s="231">
        <f t="shared" si="61"/>
        <v>0</v>
      </c>
      <c r="N99" s="233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4"/>
        <v>Construction cash income -- see Data2</v>
      </c>
      <c r="B100" s="75">
        <f t="shared" si="49"/>
        <v>0</v>
      </c>
      <c r="C100" s="75">
        <f t="shared" si="49"/>
        <v>0</v>
      </c>
      <c r="D100" s="24">
        <f t="shared" si="55"/>
        <v>0</v>
      </c>
      <c r="H100" s="24">
        <f t="shared" si="56"/>
        <v>1</v>
      </c>
      <c r="I100" s="22">
        <f t="shared" si="57"/>
        <v>0</v>
      </c>
      <c r="J100" s="24">
        <f t="shared" si="58"/>
        <v>0</v>
      </c>
      <c r="K100" s="22">
        <f t="shared" si="59"/>
        <v>0</v>
      </c>
      <c r="L100" s="22">
        <f t="shared" si="60"/>
        <v>0</v>
      </c>
      <c r="M100" s="231">
        <f t="shared" si="61"/>
        <v>0</v>
      </c>
      <c r="N100" s="233">
        <v>7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4"/>
        <v>Domestic work cash income -- see Data2</v>
      </c>
      <c r="B101" s="75">
        <f t="shared" si="49"/>
        <v>0</v>
      </c>
      <c r="C101" s="75">
        <f t="shared" si="49"/>
        <v>0</v>
      </c>
      <c r="D101" s="24">
        <f t="shared" si="55"/>
        <v>0</v>
      </c>
      <c r="H101" s="24">
        <f t="shared" si="56"/>
        <v>1</v>
      </c>
      <c r="I101" s="22">
        <f t="shared" si="57"/>
        <v>0</v>
      </c>
      <c r="J101" s="24">
        <f t="shared" si="58"/>
        <v>0</v>
      </c>
      <c r="K101" s="22">
        <f t="shared" si="59"/>
        <v>0</v>
      </c>
      <c r="L101" s="22">
        <f t="shared" si="60"/>
        <v>0</v>
      </c>
      <c r="M101" s="231">
        <f t="shared" si="61"/>
        <v>0</v>
      </c>
      <c r="N101" s="233">
        <v>7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4"/>
        <v>Labour migration(formal employment): no. people per HH</v>
      </c>
      <c r="B102" s="75">
        <f t="shared" si="49"/>
        <v>2.5885015762319874</v>
      </c>
      <c r="C102" s="75">
        <f t="shared" si="49"/>
        <v>0</v>
      </c>
      <c r="D102" s="24">
        <f t="shared" si="55"/>
        <v>2.5885015762319874</v>
      </c>
      <c r="H102" s="24">
        <f t="shared" si="56"/>
        <v>1</v>
      </c>
      <c r="I102" s="22">
        <f t="shared" si="57"/>
        <v>2.5885015762319874</v>
      </c>
      <c r="J102" s="24">
        <f t="shared" si="58"/>
        <v>2.5885015762319874</v>
      </c>
      <c r="K102" s="22">
        <f t="shared" si="59"/>
        <v>2.5885015762319874</v>
      </c>
      <c r="L102" s="22">
        <f t="shared" si="60"/>
        <v>2.5885015762319874</v>
      </c>
      <c r="M102" s="231">
        <f t="shared" si="61"/>
        <v>2.5885015762319874</v>
      </c>
      <c r="N102" s="233">
        <v>8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4"/>
        <v>Small business -- see Data2</v>
      </c>
      <c r="B103" s="75">
        <f t="shared" si="49"/>
        <v>0</v>
      </c>
      <c r="C103" s="75">
        <f t="shared" si="49"/>
        <v>0</v>
      </c>
      <c r="D103" s="24">
        <f t="shared" si="55"/>
        <v>0</v>
      </c>
      <c r="H103" s="24">
        <f t="shared" si="56"/>
        <v>1</v>
      </c>
      <c r="I103" s="22">
        <f t="shared" si="57"/>
        <v>0</v>
      </c>
      <c r="J103" s="24">
        <f t="shared" si="58"/>
        <v>0</v>
      </c>
      <c r="K103" s="22">
        <f t="shared" si="59"/>
        <v>0</v>
      </c>
      <c r="L103" s="22">
        <f t="shared" si="60"/>
        <v>0</v>
      </c>
      <c r="M103" s="231">
        <f t="shared" si="61"/>
        <v>0</v>
      </c>
      <c r="N103" s="233">
        <v>11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4"/>
        <v>Social development -- see Data2</v>
      </c>
      <c r="B104" s="75">
        <f t="shared" si="49"/>
        <v>1.0273115630670699</v>
      </c>
      <c r="C104" s="75">
        <f t="shared" si="49"/>
        <v>0</v>
      </c>
      <c r="D104" s="24">
        <f t="shared" si="55"/>
        <v>1.0273115630670699</v>
      </c>
      <c r="H104" s="24">
        <f t="shared" si="56"/>
        <v>1</v>
      </c>
      <c r="I104" s="22">
        <f t="shared" si="57"/>
        <v>1.0273115630670699</v>
      </c>
      <c r="J104" s="24">
        <f t="shared" si="58"/>
        <v>1.0273115630670699</v>
      </c>
      <c r="K104" s="22">
        <f t="shared" si="59"/>
        <v>1.0273115630670699</v>
      </c>
      <c r="L104" s="22">
        <f t="shared" si="60"/>
        <v>1.0273115630670699</v>
      </c>
      <c r="M104" s="231">
        <f t="shared" si="61"/>
        <v>1.0273115630670699</v>
      </c>
      <c r="N104" s="233">
        <v>14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4"/>
        <v>Public works -- see Data2</v>
      </c>
      <c r="B105" s="75">
        <f t="shared" si="49"/>
        <v>0</v>
      </c>
      <c r="C105" s="75">
        <f t="shared" si="49"/>
        <v>0</v>
      </c>
      <c r="D105" s="24">
        <f t="shared" si="55"/>
        <v>0</v>
      </c>
      <c r="H105" s="24">
        <f t="shared" si="56"/>
        <v>1</v>
      </c>
      <c r="I105" s="22">
        <f t="shared" si="57"/>
        <v>0</v>
      </c>
      <c r="J105" s="24">
        <f t="shared" si="58"/>
        <v>0</v>
      </c>
      <c r="K105" s="22">
        <f t="shared" si="59"/>
        <v>0</v>
      </c>
      <c r="L105" s="22">
        <f t="shared" si="60"/>
        <v>0</v>
      </c>
      <c r="M105" s="231">
        <f t="shared" si="61"/>
        <v>0</v>
      </c>
      <c r="N105" s="233">
        <v>9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4"/>
        <v>Gifts/social support: type (Child support, Pension and Foster Care)</v>
      </c>
      <c r="B106" s="75">
        <f t="shared" si="49"/>
        <v>0</v>
      </c>
      <c r="C106" s="75">
        <f t="shared" si="49"/>
        <v>0</v>
      </c>
      <c r="D106" s="24">
        <f t="shared" si="55"/>
        <v>0</v>
      </c>
      <c r="H106" s="24">
        <f t="shared" si="56"/>
        <v>1</v>
      </c>
      <c r="I106" s="22">
        <f t="shared" si="57"/>
        <v>0</v>
      </c>
      <c r="J106" s="24">
        <f t="shared" si="58"/>
        <v>0</v>
      </c>
      <c r="K106" s="22">
        <f t="shared" si="59"/>
        <v>0</v>
      </c>
      <c r="L106" s="22">
        <f t="shared" si="60"/>
        <v>0</v>
      </c>
      <c r="M106" s="231">
        <f t="shared" si="61"/>
        <v>0</v>
      </c>
      <c r="N106" s="233">
        <v>15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4"/>
        <v>Remittances: no. times per year</v>
      </c>
      <c r="B107" s="75">
        <f t="shared" si="49"/>
        <v>1.6178134851449921</v>
      </c>
      <c r="C107" s="75">
        <f t="shared" si="49"/>
        <v>0</v>
      </c>
      <c r="D107" s="24">
        <f t="shared" si="55"/>
        <v>1.6178134851449921</v>
      </c>
      <c r="H107" s="24">
        <f t="shared" si="56"/>
        <v>1</v>
      </c>
      <c r="I107" s="22">
        <f t="shared" si="57"/>
        <v>1.6178134851449921</v>
      </c>
      <c r="J107" s="24">
        <f t="shared" si="58"/>
        <v>1.6178134851449921</v>
      </c>
      <c r="K107" s="22">
        <f t="shared" si="59"/>
        <v>1.6178134851449921</v>
      </c>
      <c r="L107" s="22">
        <f t="shared" si="60"/>
        <v>1.6178134851449921</v>
      </c>
      <c r="M107" s="231">
        <f t="shared" si="61"/>
        <v>1.6178134851449921</v>
      </c>
      <c r="N107" s="233">
        <v>15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4"/>
        <v/>
      </c>
      <c r="B108" s="75">
        <f t="shared" si="49"/>
        <v>0</v>
      </c>
      <c r="C108" s="75">
        <f t="shared" si="49"/>
        <v>0</v>
      </c>
      <c r="D108" s="24">
        <f t="shared" si="55"/>
        <v>0</v>
      </c>
      <c r="H108" s="24">
        <f t="shared" si="56"/>
        <v>1</v>
      </c>
      <c r="I108" s="22">
        <f t="shared" si="57"/>
        <v>0</v>
      </c>
      <c r="J108" s="24">
        <f t="shared" si="58"/>
        <v>0</v>
      </c>
      <c r="K108" s="22">
        <f t="shared" si="59"/>
        <v>0</v>
      </c>
      <c r="L108" s="22">
        <f t="shared" si="60"/>
        <v>0</v>
      </c>
      <c r="M108" s="231">
        <f t="shared" si="61"/>
        <v>0</v>
      </c>
      <c r="N108" s="233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4"/>
        <v/>
      </c>
      <c r="B109" s="75">
        <f t="shared" si="49"/>
        <v>0</v>
      </c>
      <c r="C109" s="75">
        <f t="shared" si="49"/>
        <v>0</v>
      </c>
      <c r="D109" s="24">
        <f t="shared" si="55"/>
        <v>0</v>
      </c>
      <c r="H109" s="24">
        <f t="shared" si="56"/>
        <v>1</v>
      </c>
      <c r="I109" s="22">
        <f t="shared" si="57"/>
        <v>0</v>
      </c>
      <c r="J109" s="24">
        <f t="shared" si="58"/>
        <v>0</v>
      </c>
      <c r="K109" s="22">
        <f t="shared" si="59"/>
        <v>0</v>
      </c>
      <c r="L109" s="22">
        <f t="shared" si="60"/>
        <v>0</v>
      </c>
      <c r="M109" s="231">
        <f t="shared" si="61"/>
        <v>0</v>
      </c>
      <c r="N109" s="233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4"/>
        <v/>
      </c>
      <c r="B110" s="75">
        <f t="shared" si="49"/>
        <v>0</v>
      </c>
      <c r="C110" s="75">
        <f t="shared" si="49"/>
        <v>0</v>
      </c>
      <c r="D110" s="24">
        <f t="shared" si="55"/>
        <v>0</v>
      </c>
      <c r="H110" s="24">
        <f t="shared" si="56"/>
        <v>1</v>
      </c>
      <c r="I110" s="22">
        <f t="shared" si="57"/>
        <v>0</v>
      </c>
      <c r="J110" s="24">
        <f t="shared" si="58"/>
        <v>0</v>
      </c>
      <c r="K110" s="22">
        <f t="shared" si="59"/>
        <v>0</v>
      </c>
      <c r="L110" s="22">
        <f t="shared" si="60"/>
        <v>0</v>
      </c>
      <c r="M110" s="231">
        <f t="shared" si="61"/>
        <v>0</v>
      </c>
      <c r="N110" s="233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4"/>
        <v/>
      </c>
      <c r="B111" s="75">
        <f t="shared" si="49"/>
        <v>0</v>
      </c>
      <c r="C111" s="75">
        <f t="shared" si="49"/>
        <v>0</v>
      </c>
      <c r="D111" s="24">
        <f t="shared" si="55"/>
        <v>0</v>
      </c>
      <c r="H111" s="24">
        <f t="shared" si="56"/>
        <v>1</v>
      </c>
      <c r="I111" s="22">
        <f t="shared" si="57"/>
        <v>0</v>
      </c>
      <c r="J111" s="24">
        <f t="shared" si="58"/>
        <v>0</v>
      </c>
      <c r="K111" s="22">
        <f t="shared" si="59"/>
        <v>0</v>
      </c>
      <c r="L111" s="22">
        <f t="shared" si="60"/>
        <v>0</v>
      </c>
      <c r="M111" s="231">
        <f t="shared" si="61"/>
        <v>0</v>
      </c>
      <c r="N111" s="233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4"/>
        <v/>
      </c>
      <c r="B112" s="75">
        <f t="shared" si="49"/>
        <v>0</v>
      </c>
      <c r="C112" s="75">
        <f t="shared" si="49"/>
        <v>0</v>
      </c>
      <c r="D112" s="24">
        <f t="shared" si="55"/>
        <v>0</v>
      </c>
      <c r="H112" s="24">
        <f t="shared" si="56"/>
        <v>1</v>
      </c>
      <c r="I112" s="22">
        <f t="shared" si="57"/>
        <v>0</v>
      </c>
      <c r="J112" s="24">
        <f t="shared" si="58"/>
        <v>0</v>
      </c>
      <c r="K112" s="22">
        <f t="shared" si="59"/>
        <v>0</v>
      </c>
      <c r="L112" s="22">
        <f t="shared" si="60"/>
        <v>0</v>
      </c>
      <c r="M112" s="231">
        <f t="shared" si="61"/>
        <v>0</v>
      </c>
      <c r="N112" s="233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4"/>
        <v/>
      </c>
      <c r="B113" s="75">
        <f t="shared" si="49"/>
        <v>0</v>
      </c>
      <c r="C113" s="75">
        <f t="shared" si="49"/>
        <v>0</v>
      </c>
      <c r="D113" s="24">
        <f t="shared" si="55"/>
        <v>0</v>
      </c>
      <c r="H113" s="24">
        <f t="shared" si="56"/>
        <v>1</v>
      </c>
      <c r="I113" s="22">
        <f t="shared" si="57"/>
        <v>0</v>
      </c>
      <c r="J113" s="24">
        <f t="shared" si="58"/>
        <v>0</v>
      </c>
      <c r="K113" s="22">
        <f t="shared" si="59"/>
        <v>0</v>
      </c>
      <c r="L113" s="22">
        <f t="shared" si="60"/>
        <v>0</v>
      </c>
      <c r="M113" s="231">
        <f t="shared" si="61"/>
        <v>0</v>
      </c>
      <c r="N113" s="233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4"/>
        <v/>
      </c>
      <c r="B114" s="75">
        <f t="shared" si="49"/>
        <v>0</v>
      </c>
      <c r="C114" s="75">
        <f t="shared" si="49"/>
        <v>0</v>
      </c>
      <c r="D114" s="24">
        <f t="shared" si="55"/>
        <v>0</v>
      </c>
      <c r="H114" s="24">
        <f t="shared" si="56"/>
        <v>1</v>
      </c>
      <c r="I114" s="22">
        <f t="shared" si="57"/>
        <v>0</v>
      </c>
      <c r="J114" s="24">
        <f t="shared" si="58"/>
        <v>0</v>
      </c>
      <c r="K114" s="22">
        <f t="shared" si="59"/>
        <v>0</v>
      </c>
      <c r="L114" s="22">
        <f t="shared" si="60"/>
        <v>0</v>
      </c>
      <c r="M114" s="231">
        <f t="shared" si="61"/>
        <v>0</v>
      </c>
      <c r="N114" s="233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4"/>
        <v/>
      </c>
      <c r="B115" s="75">
        <f t="shared" si="49"/>
        <v>0</v>
      </c>
      <c r="C115" s="75">
        <f t="shared" si="49"/>
        <v>0</v>
      </c>
      <c r="D115" s="24">
        <f t="shared" si="55"/>
        <v>0</v>
      </c>
      <c r="H115" s="24">
        <f t="shared" si="56"/>
        <v>1</v>
      </c>
      <c r="I115" s="22">
        <f t="shared" si="57"/>
        <v>0</v>
      </c>
      <c r="J115" s="24">
        <f t="shared" si="58"/>
        <v>0</v>
      </c>
      <c r="K115" s="22">
        <f t="shared" si="59"/>
        <v>0</v>
      </c>
      <c r="L115" s="22">
        <f t="shared" si="60"/>
        <v>0</v>
      </c>
      <c r="M115" s="231">
        <f t="shared" si="61"/>
        <v>0</v>
      </c>
      <c r="N115" s="233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4"/>
        <v/>
      </c>
      <c r="B116" s="75">
        <f t="shared" si="49"/>
        <v>0</v>
      </c>
      <c r="C116" s="75">
        <f t="shared" si="49"/>
        <v>0</v>
      </c>
      <c r="D116" s="24">
        <f t="shared" si="55"/>
        <v>0</v>
      </c>
      <c r="H116" s="24">
        <f t="shared" si="56"/>
        <v>1</v>
      </c>
      <c r="I116" s="22">
        <f t="shared" si="57"/>
        <v>0</v>
      </c>
      <c r="J116" s="24">
        <f t="shared" si="58"/>
        <v>0</v>
      </c>
      <c r="K116" s="22">
        <f t="shared" si="59"/>
        <v>0</v>
      </c>
      <c r="L116" s="22">
        <f t="shared" si="60"/>
        <v>0</v>
      </c>
      <c r="M116" s="231">
        <f t="shared" si="61"/>
        <v>0</v>
      </c>
      <c r="N116" s="233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4"/>
        <v/>
      </c>
      <c r="B117" s="75">
        <f t="shared" si="49"/>
        <v>0</v>
      </c>
      <c r="C117" s="75">
        <f t="shared" si="49"/>
        <v>0</v>
      </c>
      <c r="D117" s="24">
        <f t="shared" si="55"/>
        <v>0</v>
      </c>
      <c r="H117" s="24">
        <f t="shared" si="56"/>
        <v>1</v>
      </c>
      <c r="I117" s="22">
        <f t="shared" si="57"/>
        <v>0</v>
      </c>
      <c r="J117" s="24">
        <f t="shared" si="58"/>
        <v>0</v>
      </c>
      <c r="K117" s="22">
        <f t="shared" si="59"/>
        <v>0</v>
      </c>
      <c r="L117" s="22">
        <f t="shared" si="60"/>
        <v>0</v>
      </c>
      <c r="M117" s="231">
        <f t="shared" si="61"/>
        <v>0</v>
      </c>
      <c r="N117" s="233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4"/>
        <v/>
      </c>
      <c r="B118" s="75">
        <f t="shared" si="49"/>
        <v>0</v>
      </c>
      <c r="C118" s="75">
        <f t="shared" si="49"/>
        <v>0</v>
      </c>
      <c r="D118" s="24">
        <f t="shared" si="55"/>
        <v>0</v>
      </c>
      <c r="H118" s="24">
        <f t="shared" si="56"/>
        <v>1</v>
      </c>
      <c r="I118" s="22">
        <f t="shared" si="57"/>
        <v>0</v>
      </c>
      <c r="J118" s="24">
        <f t="shared" si="58"/>
        <v>0</v>
      </c>
      <c r="K118" s="22">
        <f t="shared" si="59"/>
        <v>0</v>
      </c>
      <c r="L118" s="22">
        <f t="shared" si="60"/>
        <v>0</v>
      </c>
      <c r="M118" s="231">
        <f t="shared" si="61"/>
        <v>0</v>
      </c>
      <c r="N118" s="233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11.576803664116706</v>
      </c>
      <c r="C119" s="22">
        <f>SUM(C91:C118)</f>
        <v>-0.12133601138587441</v>
      </c>
      <c r="D119" s="24">
        <f>SUM(D91:D118)</f>
        <v>11.455467652730832</v>
      </c>
      <c r="E119" s="22"/>
      <c r="F119" s="2"/>
      <c r="G119" s="2"/>
      <c r="H119" s="31"/>
      <c r="I119" s="22">
        <f>SUM(I91:I118)</f>
        <v>11.455467652730832</v>
      </c>
      <c r="J119" s="24">
        <f>SUM(J91:J118)</f>
        <v>11.582128596607703</v>
      </c>
      <c r="K119" s="22">
        <f>SUM(K91:K118)</f>
        <v>11.576803664116706</v>
      </c>
      <c r="L119" s="22">
        <f>SUM(L91:L118)</f>
        <v>11.576803664116706</v>
      </c>
      <c r="M119" s="57">
        <f t="shared" si="48"/>
        <v>11.582128596607703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2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2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1.761914621781288</v>
      </c>
      <c r="C124" s="2"/>
      <c r="D124" s="24"/>
      <c r="H124" s="24">
        <f>(E70*F70/G$37*F$7/F$9)</f>
        <v>1</v>
      </c>
      <c r="I124" s="29">
        <f>IF(SUMPRODUCT($B$124:$B124,$H$124:$H124)&lt;I$119,($B124*$H124),I$119)</f>
        <v>1.761914621781288</v>
      </c>
      <c r="J124" s="241">
        <f>IF(SUMPRODUCT($B$124:$B124,$H$124:$H124)&lt;J$119,($B124*$H124),J$119)</f>
        <v>1.761914621781288</v>
      </c>
      <c r="K124" s="22">
        <f>(B124)</f>
        <v>1.761914621781288</v>
      </c>
      <c r="L124" s="29">
        <f>IF(SUMPRODUCT($B$124:$B124,$H$124:$H124)&lt;L$119,($B124*$H124),L$119)</f>
        <v>1.761914621781288</v>
      </c>
      <c r="M124" s="57">
        <f t="shared" si="62"/>
        <v>1.761914621781288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1.8377462405977585</v>
      </c>
      <c r="C125" s="2"/>
      <c r="D125" s="24"/>
      <c r="H125" s="24">
        <f>(E71*F71/G$37*F$7/F$9)</f>
        <v>1</v>
      </c>
      <c r="I125" s="29">
        <f>IF(SUMPRODUCT($B$124:$B125,$H$124:$H125)&lt;I$119,($B125*$H125),IF(SUMPRODUCT($B$124:$B124,$H$124:$H124)&lt;I$119,I$119-SUMPRODUCT($B$124:$B124,$H$124:$H124),0))</f>
        <v>1.8377462405977585</v>
      </c>
      <c r="J125" s="241">
        <f>IF(SUMPRODUCT($B$124:$B125,$H$124:$H125)&lt;J$119,($B125*$H125),IF(SUMPRODUCT($B$124:$B124,$H$124:$H124)&lt;J$119,J$119-SUMPRODUCT($B$124:$B124,$H$124:$H124),0))</f>
        <v>1.8377462405977585</v>
      </c>
      <c r="K125" s="22">
        <f t="shared" ref="K125:K126" si="63">(B125)</f>
        <v>1.8377462405977585</v>
      </c>
      <c r="L125" s="29">
        <f>IF(SUMPRODUCT($B$124:$B125,$H$124:$H125)&lt;L$119,($B125*$H125),IF(SUMPRODUCT($B$124:$B124,$H$124:$H124)&lt;L$119,L$119-SUMPRODUCT($B$124:$B124,$H$124:$H124),0))</f>
        <v>1.8377462405977585</v>
      </c>
      <c r="M125" s="57">
        <f t="shared" ref="M125:M126" si="64">(J125)</f>
        <v>1.8377462405977585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3.2728366804483189</v>
      </c>
      <c r="C126" s="2"/>
      <c r="D126" s="24"/>
      <c r="H126" s="24">
        <f>(E72*F72/G$37*F$7/F$9)</f>
        <v>1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41">
        <f>IF(SUMPRODUCT($B$124:$B126,$H$124:$H126)&lt;(J$119-J$128),($B126*$H126),IF(SUMPRODUCT($B$124:$B125,$H$124:$H125)&lt;(J$119-J$128),J$119-J$128-SUMPRODUCT($B$124:$B125,$H$124:$H125),0))</f>
        <v>3.2728366804483189</v>
      </c>
      <c r="K126" s="22">
        <f t="shared" si="63"/>
        <v>3.2728366804483189</v>
      </c>
      <c r="L126" s="29">
        <f>IF(SUMPRODUCT($B$124:$B126,$H$124:$H126)&lt;(L$119-L$128),($B126*$H126),IF(SUMPRODUCT($B$124:$B125,$H$124:$H125)&lt;(L$119-L$128),L$119-L$128-SUMPRODUCT($B$124:$B125,$H$124:$H125),0))</f>
        <v>3.2728366804483189</v>
      </c>
      <c r="M126" s="57">
        <f t="shared" si="64"/>
        <v>3.2728366804483189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2.8851007151752359</v>
      </c>
      <c r="C127" s="2"/>
      <c r="D127" s="24"/>
      <c r="H127" s="24">
        <f>(E73*F73/G$37*F$7/F$9)</f>
        <v>1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41">
        <f>IF(SUMPRODUCT($B$124:$B127,$H$124:$H127)&lt;(J$119-J$128),($B127*$H127),IF(SUMPRODUCT($B$124:$B126,$H$124:$H126)&lt;(J$119-J128),J$119-J$128-SUMPRODUCT($B$124:$B126,$H$124:$H126),0))</f>
        <v>2.8851007151752359</v>
      </c>
      <c r="K127" s="22">
        <f>(B127)</f>
        <v>2.8851007151752359</v>
      </c>
      <c r="L127" s="29">
        <f>IF(SUMPRODUCT($B$124:$B127,$H$124:$H127)&lt;(L$119-L$128),($B127*$H127),IF(SUMPRODUCT($B$124:$B126,$H$124:$H126)&lt;(L$119-L128),L$119-L$128-SUMPRODUCT($B$124:$B126,$H$124:$H126),0))</f>
        <v>2.8851007151752359</v>
      </c>
      <c r="M127" s="57">
        <f t="shared" si="62"/>
        <v>2.8851007151752359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0.29396981960505247</v>
      </c>
      <c r="C128" s="2"/>
      <c r="D128" s="31"/>
      <c r="E128" s="2"/>
      <c r="F128" s="2"/>
      <c r="G128" s="2"/>
      <c r="H128" s="24"/>
      <c r="I128" s="29">
        <f>(I30)</f>
        <v>9.693553030949543</v>
      </c>
      <c r="J128" s="232">
        <f>(J30)</f>
        <v>0.33412529225099363</v>
      </c>
      <c r="K128" s="22">
        <f>(B128)</f>
        <v>0.29396981960505247</v>
      </c>
      <c r="L128" s="22">
        <f>IF(L124=L119,0,(L119-L124)/(B119-B124)*K128)</f>
        <v>0.29396981960505247</v>
      </c>
      <c r="M128" s="57">
        <f t="shared" si="62"/>
        <v>0.33412529225099363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1.5252355865090519</v>
      </c>
      <c r="C129" s="2"/>
      <c r="D129" s="31"/>
      <c r="E129" s="2"/>
      <c r="F129" s="2"/>
      <c r="G129" s="2"/>
      <c r="H129" s="24"/>
      <c r="I129" s="29"/>
      <c r="J129" s="232">
        <f>IF(SUM(J124:J128)&gt;J130,0,J130-SUM(J124:J128))</f>
        <v>1.4904050463541072</v>
      </c>
      <c r="K129" s="29">
        <f>(B129)</f>
        <v>1.5252355865090519</v>
      </c>
      <c r="L129" s="60">
        <f>IF(SUM(L124:L128)&gt;L130,0,L130-SUM(L124:L128))</f>
        <v>1.5252355865090514</v>
      </c>
      <c r="M129" s="57">
        <f t="shared" si="62"/>
        <v>1.4904050463541072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11.576803664116706</v>
      </c>
      <c r="C130" s="2"/>
      <c r="D130" s="31"/>
      <c r="E130" s="2"/>
      <c r="F130" s="2"/>
      <c r="G130" s="2"/>
      <c r="H130" s="24"/>
      <c r="I130" s="29">
        <f>(I119)</f>
        <v>11.455467652730832</v>
      </c>
      <c r="J130" s="232">
        <f>(J119)</f>
        <v>11.582128596607703</v>
      </c>
      <c r="K130" s="22">
        <f>(B130)</f>
        <v>11.576803664116706</v>
      </c>
      <c r="L130" s="22">
        <f>(L119)</f>
        <v>11.576803664116706</v>
      </c>
      <c r="M130" s="57">
        <f t="shared" si="62"/>
        <v>11.582128596607703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1.8377462405977578</v>
      </c>
      <c r="J131" s="241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41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formatCells="0" formatColumns="0" formatRow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479" priority="161" operator="equal">
      <formula>16</formula>
    </cfRule>
    <cfRule type="cellIs" dxfId="478" priority="162" operator="equal">
      <formula>15</formula>
    </cfRule>
    <cfRule type="cellIs" dxfId="477" priority="163" operator="equal">
      <formula>14</formula>
    </cfRule>
    <cfRule type="cellIs" dxfId="476" priority="164" operator="equal">
      <formula>13</formula>
    </cfRule>
    <cfRule type="cellIs" dxfId="475" priority="165" operator="equal">
      <formula>12</formula>
    </cfRule>
    <cfRule type="cellIs" dxfId="474" priority="166" operator="equal">
      <formula>11</formula>
    </cfRule>
    <cfRule type="cellIs" dxfId="473" priority="167" operator="equal">
      <formula>10</formula>
    </cfRule>
    <cfRule type="cellIs" dxfId="472" priority="168" operator="equal">
      <formula>9</formula>
    </cfRule>
    <cfRule type="cellIs" dxfId="471" priority="169" operator="equal">
      <formula>8</formula>
    </cfRule>
    <cfRule type="cellIs" dxfId="470" priority="170" operator="equal">
      <formula>7</formula>
    </cfRule>
    <cfRule type="cellIs" dxfId="469" priority="171" operator="equal">
      <formula>6</formula>
    </cfRule>
    <cfRule type="cellIs" dxfId="468" priority="172" operator="equal">
      <formula>5</formula>
    </cfRule>
    <cfRule type="cellIs" dxfId="467" priority="173" operator="equal">
      <formula>4</formula>
    </cfRule>
    <cfRule type="cellIs" dxfId="466" priority="174" operator="equal">
      <formula>3</formula>
    </cfRule>
    <cfRule type="cellIs" dxfId="465" priority="175" operator="equal">
      <formula>2</formula>
    </cfRule>
    <cfRule type="cellIs" dxfId="464" priority="176" operator="equal">
      <formula>1</formula>
    </cfRule>
  </conditionalFormatting>
  <conditionalFormatting sqref="N29">
    <cfRule type="cellIs" dxfId="463" priority="145" operator="equal">
      <formula>16</formula>
    </cfRule>
    <cfRule type="cellIs" dxfId="462" priority="146" operator="equal">
      <formula>15</formula>
    </cfRule>
    <cfRule type="cellIs" dxfId="461" priority="147" operator="equal">
      <formula>14</formula>
    </cfRule>
    <cfRule type="cellIs" dxfId="460" priority="148" operator="equal">
      <formula>13</formula>
    </cfRule>
    <cfRule type="cellIs" dxfId="459" priority="149" operator="equal">
      <formula>12</formula>
    </cfRule>
    <cfRule type="cellIs" dxfId="458" priority="150" operator="equal">
      <formula>11</formula>
    </cfRule>
    <cfRule type="cellIs" dxfId="457" priority="151" operator="equal">
      <formula>10</formula>
    </cfRule>
    <cfRule type="cellIs" dxfId="456" priority="152" operator="equal">
      <formula>9</formula>
    </cfRule>
    <cfRule type="cellIs" dxfId="455" priority="153" operator="equal">
      <formula>8</formula>
    </cfRule>
    <cfRule type="cellIs" dxfId="454" priority="154" operator="equal">
      <formula>7</formula>
    </cfRule>
    <cfRule type="cellIs" dxfId="453" priority="155" operator="equal">
      <formula>6</formula>
    </cfRule>
    <cfRule type="cellIs" dxfId="452" priority="156" operator="equal">
      <formula>5</formula>
    </cfRule>
    <cfRule type="cellIs" dxfId="451" priority="157" operator="equal">
      <formula>4</formula>
    </cfRule>
    <cfRule type="cellIs" dxfId="450" priority="158" operator="equal">
      <formula>3</formula>
    </cfRule>
    <cfRule type="cellIs" dxfId="449" priority="159" operator="equal">
      <formula>2</formula>
    </cfRule>
    <cfRule type="cellIs" dxfId="448" priority="160" operator="equal">
      <formula>1</formula>
    </cfRule>
  </conditionalFormatting>
  <conditionalFormatting sqref="N113:N118">
    <cfRule type="cellIs" dxfId="447" priority="97" operator="equal">
      <formula>16</formula>
    </cfRule>
    <cfRule type="cellIs" dxfId="446" priority="98" operator="equal">
      <formula>15</formula>
    </cfRule>
    <cfRule type="cellIs" dxfId="445" priority="99" operator="equal">
      <formula>14</formula>
    </cfRule>
    <cfRule type="cellIs" dxfId="444" priority="100" operator="equal">
      <formula>13</formula>
    </cfRule>
    <cfRule type="cellIs" dxfId="443" priority="101" operator="equal">
      <formula>12</formula>
    </cfRule>
    <cfRule type="cellIs" dxfId="442" priority="102" operator="equal">
      <formula>11</formula>
    </cfRule>
    <cfRule type="cellIs" dxfId="441" priority="103" operator="equal">
      <formula>10</formula>
    </cfRule>
    <cfRule type="cellIs" dxfId="440" priority="104" operator="equal">
      <formula>9</formula>
    </cfRule>
    <cfRule type="cellIs" dxfId="439" priority="105" operator="equal">
      <formula>8</formula>
    </cfRule>
    <cfRule type="cellIs" dxfId="438" priority="106" operator="equal">
      <formula>7</formula>
    </cfRule>
    <cfRule type="cellIs" dxfId="437" priority="107" operator="equal">
      <formula>6</formula>
    </cfRule>
    <cfRule type="cellIs" dxfId="436" priority="108" operator="equal">
      <formula>5</formula>
    </cfRule>
    <cfRule type="cellIs" dxfId="435" priority="109" operator="equal">
      <formula>4</formula>
    </cfRule>
    <cfRule type="cellIs" dxfId="434" priority="110" operator="equal">
      <formula>3</formula>
    </cfRule>
    <cfRule type="cellIs" dxfId="433" priority="111" operator="equal">
      <formula>2</formula>
    </cfRule>
    <cfRule type="cellIs" dxfId="432" priority="112" operator="equal">
      <formula>1</formula>
    </cfRule>
  </conditionalFormatting>
  <conditionalFormatting sqref="N27:N28">
    <cfRule type="cellIs" dxfId="431" priority="81" operator="equal">
      <formula>16</formula>
    </cfRule>
    <cfRule type="cellIs" dxfId="430" priority="82" operator="equal">
      <formula>15</formula>
    </cfRule>
    <cfRule type="cellIs" dxfId="429" priority="83" operator="equal">
      <formula>14</formula>
    </cfRule>
    <cfRule type="cellIs" dxfId="428" priority="84" operator="equal">
      <formula>13</formula>
    </cfRule>
    <cfRule type="cellIs" dxfId="427" priority="85" operator="equal">
      <formula>12</formula>
    </cfRule>
    <cfRule type="cellIs" dxfId="426" priority="86" operator="equal">
      <formula>11</formula>
    </cfRule>
    <cfRule type="cellIs" dxfId="425" priority="87" operator="equal">
      <formula>10</formula>
    </cfRule>
    <cfRule type="cellIs" dxfId="424" priority="88" operator="equal">
      <formula>9</formula>
    </cfRule>
    <cfRule type="cellIs" dxfId="423" priority="89" operator="equal">
      <formula>8</formula>
    </cfRule>
    <cfRule type="cellIs" dxfId="422" priority="90" operator="equal">
      <formula>7</formula>
    </cfRule>
    <cfRule type="cellIs" dxfId="421" priority="91" operator="equal">
      <formula>6</formula>
    </cfRule>
    <cfRule type="cellIs" dxfId="420" priority="92" operator="equal">
      <formula>5</formula>
    </cfRule>
    <cfRule type="cellIs" dxfId="419" priority="93" operator="equal">
      <formula>4</formula>
    </cfRule>
    <cfRule type="cellIs" dxfId="418" priority="94" operator="equal">
      <formula>3</formula>
    </cfRule>
    <cfRule type="cellIs" dxfId="417" priority="95" operator="equal">
      <formula>2</formula>
    </cfRule>
    <cfRule type="cellIs" dxfId="416" priority="96" operator="equal">
      <formula>1</formula>
    </cfRule>
  </conditionalFormatting>
  <conditionalFormatting sqref="N112">
    <cfRule type="cellIs" dxfId="399" priority="49" operator="equal">
      <formula>16</formula>
    </cfRule>
    <cfRule type="cellIs" dxfId="398" priority="50" operator="equal">
      <formula>15</formula>
    </cfRule>
    <cfRule type="cellIs" dxfId="397" priority="51" operator="equal">
      <formula>14</formula>
    </cfRule>
    <cfRule type="cellIs" dxfId="396" priority="52" operator="equal">
      <formula>13</formula>
    </cfRule>
    <cfRule type="cellIs" dxfId="395" priority="53" operator="equal">
      <formula>12</formula>
    </cfRule>
    <cfRule type="cellIs" dxfId="394" priority="54" operator="equal">
      <formula>11</formula>
    </cfRule>
    <cfRule type="cellIs" dxfId="393" priority="55" operator="equal">
      <formula>10</formula>
    </cfRule>
    <cfRule type="cellIs" dxfId="392" priority="56" operator="equal">
      <formula>9</formula>
    </cfRule>
    <cfRule type="cellIs" dxfId="391" priority="57" operator="equal">
      <formula>8</formula>
    </cfRule>
    <cfRule type="cellIs" dxfId="390" priority="58" operator="equal">
      <formula>7</formula>
    </cfRule>
    <cfRule type="cellIs" dxfId="389" priority="59" operator="equal">
      <formula>6</formula>
    </cfRule>
    <cfRule type="cellIs" dxfId="388" priority="60" operator="equal">
      <formula>5</formula>
    </cfRule>
    <cfRule type="cellIs" dxfId="387" priority="61" operator="equal">
      <formula>4</formula>
    </cfRule>
    <cfRule type="cellIs" dxfId="386" priority="62" operator="equal">
      <formula>3</formula>
    </cfRule>
    <cfRule type="cellIs" dxfId="385" priority="63" operator="equal">
      <formula>2</formula>
    </cfRule>
    <cfRule type="cellIs" dxfId="384" priority="64" operator="equal">
      <formula>1</formula>
    </cfRule>
  </conditionalFormatting>
  <conditionalFormatting sqref="N91:N104">
    <cfRule type="cellIs" dxfId="223" priority="33" operator="equal">
      <formula>16</formula>
    </cfRule>
    <cfRule type="cellIs" dxfId="222" priority="34" operator="equal">
      <formula>15</formula>
    </cfRule>
    <cfRule type="cellIs" dxfId="221" priority="35" operator="equal">
      <formula>14</formula>
    </cfRule>
    <cfRule type="cellIs" dxfId="220" priority="36" operator="equal">
      <formula>13</formula>
    </cfRule>
    <cfRule type="cellIs" dxfId="219" priority="37" operator="equal">
      <formula>12</formula>
    </cfRule>
    <cfRule type="cellIs" dxfId="218" priority="38" operator="equal">
      <formula>11</formula>
    </cfRule>
    <cfRule type="cellIs" dxfId="217" priority="39" operator="equal">
      <formula>10</formula>
    </cfRule>
    <cfRule type="cellIs" dxfId="216" priority="40" operator="equal">
      <formula>9</formula>
    </cfRule>
    <cfRule type="cellIs" dxfId="215" priority="41" operator="equal">
      <formula>8</formula>
    </cfRule>
    <cfRule type="cellIs" dxfId="214" priority="42" operator="equal">
      <formula>7</formula>
    </cfRule>
    <cfRule type="cellIs" dxfId="213" priority="43" operator="equal">
      <formula>6</formula>
    </cfRule>
    <cfRule type="cellIs" dxfId="212" priority="44" operator="equal">
      <formula>5</formula>
    </cfRule>
    <cfRule type="cellIs" dxfId="211" priority="45" operator="equal">
      <formula>4</formula>
    </cfRule>
    <cfRule type="cellIs" dxfId="210" priority="46" operator="equal">
      <formula>3</formula>
    </cfRule>
    <cfRule type="cellIs" dxfId="209" priority="47" operator="equal">
      <formula>2</formula>
    </cfRule>
    <cfRule type="cellIs" dxfId="208" priority="48" operator="equal">
      <formula>1</formula>
    </cfRule>
  </conditionalFormatting>
  <conditionalFormatting sqref="N105:N111">
    <cfRule type="cellIs" dxfId="191" priority="17" operator="equal">
      <formula>16</formula>
    </cfRule>
    <cfRule type="cellIs" dxfId="190" priority="18" operator="equal">
      <formula>15</formula>
    </cfRule>
    <cfRule type="cellIs" dxfId="189" priority="19" operator="equal">
      <formula>14</formula>
    </cfRule>
    <cfRule type="cellIs" dxfId="188" priority="20" operator="equal">
      <formula>13</formula>
    </cfRule>
    <cfRule type="cellIs" dxfId="187" priority="21" operator="equal">
      <formula>12</formula>
    </cfRule>
    <cfRule type="cellIs" dxfId="186" priority="22" operator="equal">
      <formula>11</formula>
    </cfRule>
    <cfRule type="cellIs" dxfId="185" priority="23" operator="equal">
      <formula>10</formula>
    </cfRule>
    <cfRule type="cellIs" dxfId="184" priority="24" operator="equal">
      <formula>9</formula>
    </cfRule>
    <cfRule type="cellIs" dxfId="183" priority="25" operator="equal">
      <formula>8</formula>
    </cfRule>
    <cfRule type="cellIs" dxfId="182" priority="26" operator="equal">
      <formula>7</formula>
    </cfRule>
    <cfRule type="cellIs" dxfId="181" priority="27" operator="equal">
      <formula>6</formula>
    </cfRule>
    <cfRule type="cellIs" dxfId="180" priority="28" operator="equal">
      <formula>5</formula>
    </cfRule>
    <cfRule type="cellIs" dxfId="179" priority="29" operator="equal">
      <formula>4</formula>
    </cfRule>
    <cfRule type="cellIs" dxfId="178" priority="30" operator="equal">
      <formula>3</formula>
    </cfRule>
    <cfRule type="cellIs" dxfId="177" priority="31" operator="equal">
      <formula>2</formula>
    </cfRule>
    <cfRule type="cellIs" dxfId="176" priority="32" operator="equal">
      <formula>1</formula>
    </cfRule>
  </conditionalFormatting>
  <conditionalFormatting sqref="N6:N26">
    <cfRule type="cellIs" dxfId="95" priority="1" operator="equal">
      <formula>16</formula>
    </cfRule>
    <cfRule type="cellIs" dxfId="94" priority="2" operator="equal">
      <formula>15</formula>
    </cfRule>
    <cfRule type="cellIs" dxfId="93" priority="3" operator="equal">
      <formula>14</formula>
    </cfRule>
    <cfRule type="cellIs" dxfId="92" priority="4" operator="equal">
      <formula>13</formula>
    </cfRule>
    <cfRule type="cellIs" dxfId="91" priority="5" operator="equal">
      <formula>12</formula>
    </cfRule>
    <cfRule type="cellIs" dxfId="90" priority="6" operator="equal">
      <formula>11</formula>
    </cfRule>
    <cfRule type="cellIs" dxfId="89" priority="7" operator="equal">
      <formula>10</formula>
    </cfRule>
    <cfRule type="cellIs" dxfId="88" priority="8" operator="equal">
      <formula>9</formula>
    </cfRule>
    <cfRule type="cellIs" dxfId="87" priority="9" operator="equal">
      <formula>8</formula>
    </cfRule>
    <cfRule type="cellIs" dxfId="86" priority="10" operator="equal">
      <formula>7</formula>
    </cfRule>
    <cfRule type="cellIs" dxfId="85" priority="11" operator="equal">
      <formula>6</formula>
    </cfRule>
    <cfRule type="cellIs" dxfId="84" priority="12" operator="equal">
      <formula>5</formula>
    </cfRule>
    <cfRule type="cellIs" dxfId="83" priority="13" operator="equal">
      <formula>4</formula>
    </cfRule>
    <cfRule type="cellIs" dxfId="82" priority="14" operator="equal">
      <formula>3</formula>
    </cfRule>
    <cfRule type="cellIs" dxfId="81" priority="15" operator="equal">
      <formula>2</formula>
    </cfRule>
    <cfRule type="cellIs" dxfId="80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6" sqref="N6:N26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ZAKHC: 59208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1" t="str">
        <f>Poor!Z1</f>
        <v>Apr-Jun</v>
      </c>
      <c r="AA1" s="182"/>
      <c r="AB1" s="181" t="str">
        <f>Poor!AB1</f>
        <v>Jul-Sep</v>
      </c>
      <c r="AC1" s="182"/>
      <c r="AD1" s="181" t="str">
        <f>Poor!AD1</f>
        <v>Oct-Dec</v>
      </c>
      <c r="AE1" s="182"/>
      <c r="AF1" s="181" t="str">
        <f>Poor!AF1</f>
        <v>Jan-Mar</v>
      </c>
      <c r="AG1" s="182"/>
      <c r="AH1" s="117"/>
      <c r="AI1" s="110"/>
      <c r="AJ1" s="181" t="str">
        <f>LEFT(Z1,4) &amp; MID(AB1,5,3)</f>
        <v>Apr-Sep</v>
      </c>
      <c r="AK1" s="182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3" t="str">
        <f>Poor!Z2</f>
        <v>Q1</v>
      </c>
      <c r="AA2" s="254"/>
      <c r="AB2" s="253" t="str">
        <f>Poor!AB2</f>
        <v>Q2</v>
      </c>
      <c r="AC2" s="254"/>
      <c r="AD2" s="253" t="str">
        <f>Poor!AD2</f>
        <v>Q3</v>
      </c>
      <c r="AE2" s="254"/>
      <c r="AF2" s="253" t="str">
        <f>Poor!AF2</f>
        <v>Q4</v>
      </c>
      <c r="AG2" s="254"/>
      <c r="AH2" s="117"/>
      <c r="AI2" s="110"/>
      <c r="AJ2" s="198" t="str">
        <f>Poor!AJ2</f>
        <v>H1</v>
      </c>
      <c r="AK2" s="199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1">
        <f>IF([1]Summ!$J1044="",0,[1]Summ!$J1044)</f>
        <v>8.4480074719800749E-2</v>
      </c>
      <c r="C6" s="102">
        <f>IF([1]Summ!$K1044="",0,[1]Summ!$K1044)</f>
        <v>0</v>
      </c>
      <c r="D6" s="24">
        <f t="shared" ref="D6:D29" si="0">(B6+C6)</f>
        <v>8.4480074719800749E-2</v>
      </c>
      <c r="E6" s="75">
        <f>Middle!E6</f>
        <v>1</v>
      </c>
      <c r="F6" s="2" t="s">
        <v>21</v>
      </c>
      <c r="H6" s="24">
        <f t="shared" ref="H6:H29" si="1">(E6*F$7/F$9)</f>
        <v>1</v>
      </c>
      <c r="I6" s="22">
        <f t="shared" ref="I6:I29" si="2">(D6*H6)</f>
        <v>8.4480074719800749E-2</v>
      </c>
      <c r="J6" s="24">
        <f t="shared" ref="J6:J13" si="3">IF(I$32&lt;=1+I$131,I6,B6*H6+J$33*(I6-B6*H6))</f>
        <v>8.4480074719800749E-2</v>
      </c>
      <c r="K6" s="22">
        <f t="shared" ref="K6:K31" si="4">B6</f>
        <v>8.4480074719800749E-2</v>
      </c>
      <c r="L6" s="22">
        <f t="shared" ref="L6:L29" si="5">IF(K6="","",K6*H6)</f>
        <v>8.4480074719800749E-2</v>
      </c>
      <c r="M6" s="177">
        <f t="shared" ref="M6:M31" si="6">J6</f>
        <v>8.4480074719800749E-2</v>
      </c>
      <c r="N6" s="233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4">
        <f>M6*4</f>
        <v>0.337920298879203</v>
      </c>
      <c r="Z6" s="156">
        <f>Poor!Z6</f>
        <v>0.17</v>
      </c>
      <c r="AA6" s="121">
        <f>$M6*Z6*4</f>
        <v>5.7446450809464512E-2</v>
      </c>
      <c r="AB6" s="156">
        <f>Poor!AB6</f>
        <v>0.17</v>
      </c>
      <c r="AC6" s="121">
        <f t="shared" ref="AC6:AC29" si="7">$M6*AB6*4</f>
        <v>5.7446450809464512E-2</v>
      </c>
      <c r="AD6" s="156">
        <f>Poor!AD6</f>
        <v>0.33</v>
      </c>
      <c r="AE6" s="121">
        <f t="shared" ref="AE6:AE29" si="8">$M6*AD6*4</f>
        <v>0.11151369863013699</v>
      </c>
      <c r="AF6" s="122">
        <f>1-SUM(Z6,AB6,AD6)</f>
        <v>0.32999999999999996</v>
      </c>
      <c r="AG6" s="121">
        <f>$M6*AF6*4</f>
        <v>0.11151369863013698</v>
      </c>
      <c r="AH6" s="123">
        <f>SUM(Z6,AB6,AD6,AF6)</f>
        <v>1</v>
      </c>
      <c r="AI6" s="184">
        <f>SUM(AA6,AC6,AE6,AG6)/4</f>
        <v>8.4480074719800749E-2</v>
      </c>
      <c r="AJ6" s="120">
        <f>(AA6+AC6)/2</f>
        <v>5.7446450809464512E-2</v>
      </c>
      <c r="AK6" s="119">
        <f>(AE6+AG6)/2</f>
        <v>0.11151369863013699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Own meat</v>
      </c>
      <c r="B7" s="101">
        <f>IF([1]Summ!$J1045="",0,[1]Summ!$J1045)</f>
        <v>8.816459682440847E-2</v>
      </c>
      <c r="C7" s="102">
        <f>IF([1]Summ!$K1045="",0,[1]Summ!$K1045)</f>
        <v>0</v>
      </c>
      <c r="D7" s="24">
        <f t="shared" si="0"/>
        <v>8.816459682440847E-2</v>
      </c>
      <c r="E7" s="75">
        <f>Middle!E7</f>
        <v>1</v>
      </c>
      <c r="F7" s="27">
        <v>8800</v>
      </c>
      <c r="H7" s="24">
        <f t="shared" si="1"/>
        <v>1</v>
      </c>
      <c r="I7" s="22">
        <f t="shared" si="2"/>
        <v>8.816459682440847E-2</v>
      </c>
      <c r="J7" s="24">
        <f t="shared" si="3"/>
        <v>8.816459682440847E-2</v>
      </c>
      <c r="K7" s="22">
        <f t="shared" si="4"/>
        <v>8.816459682440847E-2</v>
      </c>
      <c r="L7" s="22">
        <f t="shared" si="5"/>
        <v>8.816459682440847E-2</v>
      </c>
      <c r="M7" s="177">
        <f t="shared" si="6"/>
        <v>8.816459682440847E-2</v>
      </c>
      <c r="N7" s="233">
        <v>3</v>
      </c>
      <c r="O7" s="2"/>
      <c r="P7" s="22"/>
      <c r="Q7" s="59" t="s">
        <v>71</v>
      </c>
      <c r="R7" s="226">
        <f>IF($B$81=0,0,(SUMIF($N$6:$N$28,$U7,K$6:K$28)+SUMIF($N$91:$N$118,$U7,K$91:K$118))*$B$83*$H$84*Poor!$B$81/$B$81)</f>
        <v>1257.3480662983425</v>
      </c>
      <c r="S7" s="226">
        <f>IF($B$81=0,0,(SUMIF($N$6:$N$28,$U7,L$6:L$28)+SUMIF($N$91:$N$118,$U7,L$91:L$118))*$B$83*$H$84*Poor!$B$81/$B$81)</f>
        <v>1257.3480662983425</v>
      </c>
      <c r="T7" s="226">
        <f>IF($B$81=0,0,(SUMIF($N$6:$N$28,$U7,M$6:M$28)+SUMIF($N$91:$N$118,$U7,M$91:M$118))*$B$83*$H$84*Poor!$B$81/$B$81)</f>
        <v>1134.411827739784</v>
      </c>
      <c r="U7" s="227">
        <v>1</v>
      </c>
      <c r="V7" s="56"/>
      <c r="W7" s="115"/>
      <c r="X7" s="118">
        <f>Poor!X7</f>
        <v>4</v>
      </c>
      <c r="Y7" s="184">
        <f t="shared" ref="Y7:Y29" si="9">M7*4</f>
        <v>0.35265838729763388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0.35265838729763388</v>
      </c>
      <c r="AH7" s="123">
        <f t="shared" ref="AH7:AH30" si="12">SUM(Z7,AB7,AD7,AF7)</f>
        <v>1</v>
      </c>
      <c r="AI7" s="184">
        <f t="shared" ref="AI7:AI30" si="13">SUM(AA7,AC7,AE7,AG7)/4</f>
        <v>8.816459682440847E-2</v>
      </c>
      <c r="AJ7" s="120">
        <f t="shared" ref="AJ7:AJ31" si="14">(AA7+AC7)/2</f>
        <v>0</v>
      </c>
      <c r="AK7" s="119">
        <f t="shared" ref="AK7:AK31" si="15">(AE7+AG7)/2</f>
        <v>0.17632919364881694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Maize: kg produced</v>
      </c>
      <c r="B8" s="101">
        <f>IF([1]Summ!$J1046="",0,[1]Summ!$J1046)</f>
        <v>5.9145719178082187E-2</v>
      </c>
      <c r="C8" s="102">
        <f>IF([1]Summ!$K1046="",0,[1]Summ!$K1046)</f>
        <v>0.8871857876712328</v>
      </c>
      <c r="D8" s="24">
        <f t="shared" si="0"/>
        <v>0.946331506849315</v>
      </c>
      <c r="E8" s="75">
        <f>Middle!E8</f>
        <v>1</v>
      </c>
      <c r="F8" s="22" t="s">
        <v>23</v>
      </c>
      <c r="H8" s="24">
        <f t="shared" si="1"/>
        <v>1</v>
      </c>
      <c r="I8" s="22">
        <f t="shared" si="2"/>
        <v>0.946331506849315</v>
      </c>
      <c r="J8" s="24">
        <f t="shared" si="3"/>
        <v>4.55495854159223E-2</v>
      </c>
      <c r="K8" s="22">
        <f t="shared" si="4"/>
        <v>5.9145719178082187E-2</v>
      </c>
      <c r="L8" s="22">
        <f t="shared" si="5"/>
        <v>5.9145719178082187E-2</v>
      </c>
      <c r="M8" s="228">
        <f t="shared" si="6"/>
        <v>4.55495854159223E-2</v>
      </c>
      <c r="N8" s="233">
        <v>1</v>
      </c>
      <c r="O8" s="2"/>
      <c r="P8" s="22"/>
      <c r="Q8" s="59" t="s">
        <v>72</v>
      </c>
      <c r="R8" s="226">
        <f>IF($B$81=0,0,(SUMIF($N$6:$N$28,$U8,K$6:K$28)+SUMIF($N$91:$N$118,$U8,K$91:K$118))*$B$83*$H$84*Poor!$B$81/$B$81)</f>
        <v>10032</v>
      </c>
      <c r="S8" s="226">
        <f>IF($B$81=0,0,(SUMIF($N$6:$N$28,$U8,L$6:L$28)+SUMIF($N$91:$N$118,$U8,L$91:L$118))*$B$83*$H$84*Poor!$B$81/$B$81)</f>
        <v>10032</v>
      </c>
      <c r="T8" s="226">
        <f>IF($B$81=0,0,(SUMIF($N$6:$N$28,$U8,M$6:M$28)+SUMIF($N$91:$N$118,$U8,M$91:M$118))*$B$83*$H$84*Poor!$B$81/$B$81)</f>
        <v>10093.790452564534</v>
      </c>
      <c r="U8" s="227">
        <v>2</v>
      </c>
      <c r="V8" s="56"/>
      <c r="W8" s="115"/>
      <c r="X8" s="118">
        <f>Poor!X8</f>
        <v>1</v>
      </c>
      <c r="Y8" s="184">
        <f t="shared" si="9"/>
        <v>0.1821983416636892</v>
      </c>
      <c r="Z8" s="125">
        <f>IF($Y8=0,0,AA8/$Y8)</f>
        <v>0.55940971268983164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0.10192352196264816</v>
      </c>
      <c r="AB8" s="125">
        <f>IF($Y8=0,0,AC8/$Y8)</f>
        <v>0.44059028731016836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8.0274819701041042E-2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4">
        <f t="shared" si="13"/>
        <v>4.55495854159223E-2</v>
      </c>
      <c r="AJ8" s="120">
        <f t="shared" si="14"/>
        <v>9.10991708318446E-2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Beans: kg produced</v>
      </c>
      <c r="B9" s="101">
        <f>IF([1]Summ!$J1047="",0,[1]Summ!$J1047)</f>
        <v>5.523525840597758E-2</v>
      </c>
      <c r="C9" s="102">
        <f>IF([1]Summ!$K1047="",0,[1]Summ!$K1047)</f>
        <v>0</v>
      </c>
      <c r="D9" s="24">
        <f t="shared" si="0"/>
        <v>5.523525840597758E-2</v>
      </c>
      <c r="E9" s="75">
        <f>Middle!E9</f>
        <v>1</v>
      </c>
      <c r="F9" s="76">
        <f>Poor!F9</f>
        <v>8800</v>
      </c>
      <c r="H9" s="24">
        <f t="shared" si="1"/>
        <v>1</v>
      </c>
      <c r="I9" s="22">
        <f t="shared" si="2"/>
        <v>5.523525840597758E-2</v>
      </c>
      <c r="J9" s="24">
        <f t="shared" si="3"/>
        <v>5.523525840597758E-2</v>
      </c>
      <c r="K9" s="22">
        <f t="shared" si="4"/>
        <v>5.523525840597758E-2</v>
      </c>
      <c r="L9" s="22">
        <f t="shared" si="5"/>
        <v>5.523525840597758E-2</v>
      </c>
      <c r="M9" s="228">
        <f t="shared" si="6"/>
        <v>5.523525840597758E-2</v>
      </c>
      <c r="N9" s="233">
        <v>1</v>
      </c>
      <c r="O9" s="2"/>
      <c r="P9" s="22"/>
      <c r="Q9" s="59" t="s">
        <v>73</v>
      </c>
      <c r="R9" s="226">
        <f>IF($B$81=0,0,(SUMIF($N$6:$N$28,$U9,K$6:K$28)+SUMIF($N$91:$N$118,$U9,K$91:K$118))*$B$83*$H$84*Poor!$B$81/$B$81)</f>
        <v>1463.5175033134919</v>
      </c>
      <c r="S9" s="226">
        <f>IF($B$81=0,0,(SUMIF($N$6:$N$28,$U9,L$6:L$28)+SUMIF($N$91:$N$118,$U9,L$91:L$118))*$B$83*$H$84*Poor!$B$81/$B$81)</f>
        <v>1463.5175033134919</v>
      </c>
      <c r="T9" s="226">
        <f>IF($B$81=0,0,(SUMIF($N$6:$N$28,$U9,M$6:M$28)+SUMIF($N$91:$N$118,$U9,M$91:M$118))*$B$83*$H$84*Poor!$B$81/$B$81)</f>
        <v>1463.5175033134919</v>
      </c>
      <c r="U9" s="227">
        <v>3</v>
      </c>
      <c r="V9" s="56"/>
      <c r="W9" s="115"/>
      <c r="X9" s="118">
        <f>Poor!X9</f>
        <v>1</v>
      </c>
      <c r="Y9" s="184">
        <f t="shared" si="9"/>
        <v>0.22094103362391032</v>
      </c>
      <c r="Z9" s="125">
        <f>IF($Y9=0,0,AA9/$Y9)</f>
        <v>0.55940971268983175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0.12359656014094612</v>
      </c>
      <c r="AB9" s="125">
        <f>IF($Y9=0,0,AC9/$Y9)</f>
        <v>0.44059028731016825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9.7344473482964197E-2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4">
        <f t="shared" si="13"/>
        <v>5.523525840597758E-2</v>
      </c>
      <c r="AJ9" s="120">
        <f t="shared" si="14"/>
        <v>0.11047051681195516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potatoes: kg produced</v>
      </c>
      <c r="B10" s="101">
        <f>IF([1]Summ!$J1048="",0,[1]Summ!$J1048)</f>
        <v>3.3942799501867994E-2</v>
      </c>
      <c r="C10" s="102">
        <f>IF([1]Summ!$K1048="",0,[1]Summ!$K1048)</f>
        <v>5.9126166874221654E-2</v>
      </c>
      <c r="D10" s="24">
        <f t="shared" si="0"/>
        <v>9.3068966376089649E-2</v>
      </c>
      <c r="E10" s="75">
        <f>Middle!E10</f>
        <v>1</v>
      </c>
      <c r="H10" s="24">
        <f t="shared" si="1"/>
        <v>1</v>
      </c>
      <c r="I10" s="22">
        <f t="shared" si="2"/>
        <v>9.3068966376089649E-2</v>
      </c>
      <c r="J10" s="24">
        <f t="shared" si="3"/>
        <v>3.3036690223702231E-2</v>
      </c>
      <c r="K10" s="22">
        <f t="shared" si="4"/>
        <v>3.3942799501867994E-2</v>
      </c>
      <c r="L10" s="22">
        <f t="shared" si="5"/>
        <v>3.3942799501867994E-2</v>
      </c>
      <c r="M10" s="228">
        <f t="shared" si="6"/>
        <v>3.3036690223702231E-2</v>
      </c>
      <c r="N10" s="233">
        <v>1</v>
      </c>
      <c r="O10" s="2"/>
      <c r="P10" s="22"/>
      <c r="Q10" s="59" t="s">
        <v>74</v>
      </c>
      <c r="R10" s="226">
        <f>IF($B$81=0,0,(SUMIF($N$6:$N$28,$U10,K$6:K$28)+SUMIF($N$91:$N$118,$U10,K$91:K$118))*$B$83*$H$84*Poor!$B$81/$B$81)</f>
        <v>0</v>
      </c>
      <c r="S10" s="226">
        <f>IF($B$81=0,0,(SUMIF($N$6:$N$28,$U10,L$6:L$28)+SUMIF($N$91:$N$118,$U10,L$91:L$118))*$B$83*$H$84*Poor!$B$81/$B$81)</f>
        <v>0</v>
      </c>
      <c r="T10" s="226">
        <f>IF($B$81=0,0,(SUMIF($N$6:$N$28,$U10,M$6:M$28)+SUMIF($N$91:$N$118,$U10,M$91:M$118))*$B$83*$H$84*Poor!$B$81/$B$81)</f>
        <v>0</v>
      </c>
      <c r="U10" s="227">
        <v>4</v>
      </c>
      <c r="V10" s="56"/>
      <c r="W10" s="115"/>
      <c r="X10" s="118">
        <f>Poor!X10</f>
        <v>1</v>
      </c>
      <c r="Y10" s="184">
        <f t="shared" si="9"/>
        <v>0.13214676089480892</v>
      </c>
      <c r="Z10" s="125">
        <f>IF($Y10=0,0,AA10/$Y10)</f>
        <v>0.55940971268983164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7.3924181545056936E-2</v>
      </c>
      <c r="AB10" s="125">
        <f>IF($Y10=0,0,AC10/$Y10)</f>
        <v>0.44059028731016836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5.8222579349751988E-2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4">
        <f t="shared" si="13"/>
        <v>3.3036690223702231E-2</v>
      </c>
      <c r="AJ10" s="120">
        <f t="shared" si="14"/>
        <v>6.6073380447404462E-2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WILD FOODS -- see worksheet Data 3</v>
      </c>
      <c r="B11" s="101">
        <f>IF([1]Summ!$J1049="",0,[1]Summ!$J1049)</f>
        <v>0</v>
      </c>
      <c r="C11" s="102">
        <f>IF([1]Summ!$K1049="",0,[1]Summ!$K1049)</f>
        <v>0</v>
      </c>
      <c r="D11" s="24">
        <f t="shared" si="0"/>
        <v>0</v>
      </c>
      <c r="E11" s="75">
        <f>Middle!E11</f>
        <v>1</v>
      </c>
      <c r="H11" s="24">
        <f t="shared" si="1"/>
        <v>1</v>
      </c>
      <c r="I11" s="22">
        <f t="shared" si="2"/>
        <v>0</v>
      </c>
      <c r="J11" s="24">
        <f t="shared" si="3"/>
        <v>0</v>
      </c>
      <c r="K11" s="22">
        <f t="shared" si="4"/>
        <v>0</v>
      </c>
      <c r="L11" s="22">
        <f t="shared" si="5"/>
        <v>0</v>
      </c>
      <c r="M11" s="228">
        <f t="shared" si="6"/>
        <v>0</v>
      </c>
      <c r="N11" s="233">
        <v>6</v>
      </c>
      <c r="O11" s="2"/>
      <c r="P11" s="22"/>
      <c r="Q11" s="59" t="s">
        <v>75</v>
      </c>
      <c r="R11" s="226">
        <f>IF($B$81=0,0,(SUMIF($N$6:$N$28,$U11,K$6:K$28)+SUMIF($N$91:$N$118,$U11,K$91:K$118))*$B$83*$H$84*Poor!$B$81/$B$81)</f>
        <v>32750</v>
      </c>
      <c r="S11" s="226">
        <f>IF($B$81=0,0,(SUMIF($N$6:$N$28,$U11,L$6:L$28)+SUMIF($N$91:$N$118,$U11,L$91:L$118))*$B$83*$H$84*Poor!$B$81/$B$81)</f>
        <v>32750</v>
      </c>
      <c r="T11" s="226">
        <f>IF($B$81=0,0,(SUMIF($N$6:$N$28,$U11,M$6:M$28)+SUMIF($N$91:$N$118,$U11,M$91:M$118))*$B$83*$H$84*Poor!$B$81/$B$81)</f>
        <v>32711.687467407901</v>
      </c>
      <c r="U11" s="227">
        <v>5</v>
      </c>
      <c r="V11" s="56"/>
      <c r="W11" s="115"/>
      <c r="X11" s="118">
        <f>Poor!X11</f>
        <v>1</v>
      </c>
      <c r="Y11" s="184">
        <f t="shared" si="9"/>
        <v>0</v>
      </c>
      <c r="Z11" s="125">
        <f>IF($Y11=0,0,AA11/$Y11)</f>
        <v>0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1</v>
      </c>
      <c r="AG11" s="121">
        <f t="shared" si="11"/>
        <v>0</v>
      </c>
      <c r="AH11" s="123">
        <f t="shared" si="12"/>
        <v>1</v>
      </c>
      <c r="AI11" s="184">
        <f t="shared" si="13"/>
        <v>0</v>
      </c>
      <c r="AJ11" s="120">
        <f t="shared" si="14"/>
        <v>0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/>
      </c>
      <c r="B12" s="101">
        <f>IF([1]Summ!$J1050="",0,[1]Summ!$J1050)</f>
        <v>0</v>
      </c>
      <c r="C12" s="102">
        <f>IF([1]Summ!$K1050="",0,[1]Summ!$K1050)</f>
        <v>0</v>
      </c>
      <c r="D12" s="24">
        <f t="shared" si="0"/>
        <v>0</v>
      </c>
      <c r="E12" s="75">
        <f>Middle!E12</f>
        <v>1</v>
      </c>
      <c r="H12" s="24">
        <f t="shared" si="1"/>
        <v>1</v>
      </c>
      <c r="I12" s="22">
        <f t="shared" si="2"/>
        <v>0</v>
      </c>
      <c r="J12" s="24">
        <f t="shared" si="3"/>
        <v>0</v>
      </c>
      <c r="K12" s="22">
        <f t="shared" si="4"/>
        <v>0</v>
      </c>
      <c r="L12" s="22">
        <f t="shared" si="5"/>
        <v>0</v>
      </c>
      <c r="M12" s="228">
        <f t="shared" si="6"/>
        <v>0</v>
      </c>
      <c r="N12" s="233"/>
      <c r="O12" s="2"/>
      <c r="P12" s="22"/>
      <c r="Q12" s="126" t="s">
        <v>124</v>
      </c>
      <c r="R12" s="226">
        <f>IF($B$81=0,0,(SUMIF($N$6:$N$28,$U12,K$6:K$28)+SUMIF($N$91:$N$118,$U12,K$91:K$118))*$B$83*$H$84*Poor!$B$81/$B$81)</f>
        <v>0</v>
      </c>
      <c r="S12" s="226">
        <f>IF($B$81=0,0,(SUMIF($N$6:$N$28,$U12,L$6:L$28)+SUMIF($N$91:$N$118,$U12,L$91:L$118))*$B$83*$H$84*Poor!$B$81/$B$81)</f>
        <v>0</v>
      </c>
      <c r="T12" s="226">
        <f>IF($B$81=0,0,(SUMIF($N$6:$N$28,$U12,M$6:M$28)+SUMIF($N$91:$N$118,$U12,M$91:M$118))*$B$83*$H$84*Poor!$B$81/$B$81)</f>
        <v>0</v>
      </c>
      <c r="U12" s="227">
        <v>6</v>
      </c>
      <c r="V12" s="56"/>
      <c r="W12" s="117"/>
      <c r="X12" s="118"/>
      <c r="Y12" s="184">
        <f t="shared" si="9"/>
        <v>0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0</v>
      </c>
      <c r="AF12" s="122">
        <f>1-SUM(Z12,AB12,AD12)</f>
        <v>0.32999999999999996</v>
      </c>
      <c r="AG12" s="121">
        <f>$M12*AF12*4</f>
        <v>0</v>
      </c>
      <c r="AH12" s="123">
        <f t="shared" si="12"/>
        <v>1</v>
      </c>
      <c r="AI12" s="184">
        <f t="shared" si="13"/>
        <v>0</v>
      </c>
      <c r="AJ12" s="120">
        <f t="shared" si="14"/>
        <v>0</v>
      </c>
      <c r="AK12" s="119">
        <f t="shared" si="15"/>
        <v>0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/>
      </c>
      <c r="B13" s="101">
        <f>IF([1]Summ!$J1051="",0,[1]Summ!$J1051)</f>
        <v>0</v>
      </c>
      <c r="C13" s="102">
        <f>IF([1]Summ!$K1051="",0,[1]Summ!$K1051)</f>
        <v>0</v>
      </c>
      <c r="D13" s="24">
        <f t="shared" si="0"/>
        <v>0</v>
      </c>
      <c r="E13" s="75">
        <f>Middle!E13</f>
        <v>1</v>
      </c>
      <c r="H13" s="24">
        <f t="shared" si="1"/>
        <v>1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9">
        <f t="shared" si="6"/>
        <v>0</v>
      </c>
      <c r="N13" s="233"/>
      <c r="O13" s="2"/>
      <c r="P13" s="22"/>
      <c r="Q13" s="59" t="s">
        <v>76</v>
      </c>
      <c r="R13" s="226">
        <f>IF($B$81=0,0,(SUMIF($N$6:$N$28,$U13,K$6:K$28)+SUMIF($N$91:$N$118,$U13,K$91:K$118))*$B$83*$H$84*Poor!$B$81/$B$81)</f>
        <v>0</v>
      </c>
      <c r="S13" s="226">
        <f>IF($B$81=0,0,(SUMIF($N$6:$N$28,$U13,L$6:L$28)+SUMIF($N$91:$N$118,$U13,L$91:L$118))*$B$83*$H$84*Poor!$B$81/$B$81)</f>
        <v>0</v>
      </c>
      <c r="T13" s="226">
        <f>IF($B$81=0,0,(SUMIF($N$6:$N$28,$U13,M$6:M$28)+SUMIF($N$91:$N$118,$U13,M$91:M$118))*$B$83*$H$84*Poor!$B$81/$B$81)</f>
        <v>0</v>
      </c>
      <c r="U13" s="227">
        <v>7</v>
      </c>
      <c r="V13" s="56"/>
      <c r="W13" s="110"/>
      <c r="X13" s="118"/>
      <c r="Y13" s="184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4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/>
      </c>
      <c r="B14" s="101">
        <f>IF([1]Summ!$J1052="",0,[1]Summ!$J1052)</f>
        <v>0</v>
      </c>
      <c r="C14" s="102">
        <f>IF([1]Summ!$K1052="",0,[1]Summ!$K1052)</f>
        <v>0</v>
      </c>
      <c r="D14" s="24">
        <f t="shared" si="0"/>
        <v>0</v>
      </c>
      <c r="E14" s="75">
        <f>Middle!E14</f>
        <v>1</v>
      </c>
      <c r="F14" s="22"/>
      <c r="H14" s="24">
        <f t="shared" si="1"/>
        <v>1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9">
        <f t="shared" si="6"/>
        <v>0</v>
      </c>
      <c r="N14" s="233"/>
      <c r="O14" s="2"/>
      <c r="P14" s="22"/>
      <c r="Q14" s="126" t="s">
        <v>77</v>
      </c>
      <c r="R14" s="226">
        <f>IF($B$81=0,0,(SUMIF($N$6:$N$28,$U14,K$6:K$28)+SUMIF($N$91:$N$118,$U14,K$91:K$118))*$B$83*$H$84*Poor!$B$81/$B$81)</f>
        <v>75600</v>
      </c>
      <c r="S14" s="226">
        <f>IF($B$81=0,0,(SUMIF($N$6:$N$28,$U14,L$6:L$28)+SUMIF($N$91:$N$118,$U14,L$91:L$118))*$B$83*$H$84*Poor!$B$81/$B$81)</f>
        <v>75600</v>
      </c>
      <c r="T14" s="226">
        <f>IF($B$81=0,0,(SUMIF($N$6:$N$28,$U14,M$6:M$28)+SUMIF($N$91:$N$118,$U14,M$91:M$118))*$B$83*$H$84*Poor!$B$81/$B$81)</f>
        <v>75600</v>
      </c>
      <c r="U14" s="227">
        <v>8</v>
      </c>
      <c r="V14" s="56"/>
      <c r="W14" s="110"/>
      <c r="X14" s="118"/>
      <c r="Y14" s="184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4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/>
      </c>
      <c r="B15" s="101">
        <f>IF([1]Summ!$J1053="",0,[1]Summ!$J1053)</f>
        <v>0</v>
      </c>
      <c r="C15" s="102">
        <f>IF([1]Summ!$K1053="",0,[1]Summ!$K1053)</f>
        <v>0</v>
      </c>
      <c r="D15" s="24">
        <f t="shared" si="0"/>
        <v>0</v>
      </c>
      <c r="E15" s="75">
        <f>Middle!E15</f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30">
        <f t="shared" si="6"/>
        <v>0</v>
      </c>
      <c r="N15" s="233"/>
      <c r="O15" s="2"/>
      <c r="P15" s="22"/>
      <c r="Q15" s="59" t="s">
        <v>126</v>
      </c>
      <c r="R15" s="226">
        <f>IF($B$81=0,0,(SUMIF($N$6:$N$28,$U15,K$6:K$28)+SUMIF($N$91:$N$118,$U15,K$91:K$118))*$B$83*$H$84*Poor!$B$81/$B$81)</f>
        <v>0</v>
      </c>
      <c r="S15" s="226">
        <f>IF($B$81=0,0,(SUMIF($N$6:$N$28,$U15,L$6:L$28)+SUMIF($N$91:$N$118,$U15,L$91:L$118))*$B$83*$H$84*Poor!$B$81/$B$81)</f>
        <v>0</v>
      </c>
      <c r="T15" s="226">
        <f>IF($B$81=0,0,(SUMIF($N$6:$N$28,$U15,M$6:M$28)+SUMIF($N$91:$N$118,$U15,M$91:M$118))*$B$83*$H$84*Poor!$B$81/$B$81)</f>
        <v>0</v>
      </c>
      <c r="U15" s="227">
        <v>9</v>
      </c>
      <c r="V15" s="56"/>
      <c r="W15" s="110"/>
      <c r="X15" s="118"/>
      <c r="Y15" s="184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4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/>
      </c>
      <c r="B16" s="101">
        <f>IF([1]Summ!$J1054="",0,[1]Summ!$J1054)</f>
        <v>0</v>
      </c>
      <c r="C16" s="102">
        <f>IF([1]Summ!$K1054="",0,[1]Summ!$K1054)</f>
        <v>0</v>
      </c>
      <c r="D16" s="24">
        <f t="shared" si="0"/>
        <v>0</v>
      </c>
      <c r="E16" s="75">
        <f>Middle!E16</f>
        <v>1</v>
      </c>
      <c r="F16" s="22"/>
      <c r="H16" s="24">
        <f t="shared" si="1"/>
        <v>1</v>
      </c>
      <c r="I16" s="22">
        <f t="shared" si="2"/>
        <v>0</v>
      </c>
      <c r="J16" s="24">
        <f>IF(I$32&lt;=1+I131,I16,B16*H16+J$33*(I16-B16*H16))</f>
        <v>0</v>
      </c>
      <c r="K16" s="22">
        <f t="shared" si="4"/>
        <v>0</v>
      </c>
      <c r="L16" s="22">
        <f t="shared" si="5"/>
        <v>0</v>
      </c>
      <c r="M16" s="228">
        <f t="shared" si="6"/>
        <v>0</v>
      </c>
      <c r="N16" s="233"/>
      <c r="O16" s="2"/>
      <c r="P16" s="22"/>
      <c r="Q16" s="126" t="s">
        <v>78</v>
      </c>
      <c r="R16" s="226">
        <f>IF($B$81=0,0,(SUMIF($N$6:$N$28,$U16,K$6:K$28)+SUMIF($N$91:$N$118,$U16,K$91:K$118))*$B$83*$H$84*Poor!$B$81/$B$81)</f>
        <v>0</v>
      </c>
      <c r="S16" s="226">
        <f>IF($B$81=0,0,(SUMIF($N$6:$N$28,$U16,L$6:L$28)+SUMIF($N$91:$N$118,$U16,L$91:L$118))*$B$83*$H$84*Poor!$B$81/$B$81)</f>
        <v>0</v>
      </c>
      <c r="T16" s="226">
        <f>IF($B$81=0,0,(SUMIF($N$6:$N$28,$U16,M$6:M$28)+SUMIF($N$91:$N$118,$U16,M$91:M$118))*$B$83*$H$84*Poor!$B$81/$B$81)</f>
        <v>0</v>
      </c>
      <c r="U16" s="227">
        <v>10</v>
      </c>
      <c r="V16" s="56"/>
      <c r="W16" s="110"/>
      <c r="X16" s="118"/>
      <c r="Y16" s="184">
        <f t="shared" si="9"/>
        <v>0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0</v>
      </c>
      <c r="AH16" s="123">
        <f t="shared" si="12"/>
        <v>1</v>
      </c>
      <c r="AI16" s="184">
        <f t="shared" si="13"/>
        <v>0</v>
      </c>
      <c r="AJ16" s="120">
        <f t="shared" si="14"/>
        <v>0</v>
      </c>
      <c r="AK16" s="119">
        <f t="shared" si="15"/>
        <v>0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/>
      </c>
      <c r="B17" s="101">
        <f>IF([1]Summ!$J1055="",0,[1]Summ!$J1055)</f>
        <v>0</v>
      </c>
      <c r="C17" s="102">
        <f>IF([1]Summ!$K1055="",0,[1]Summ!$K1055)</f>
        <v>0</v>
      </c>
      <c r="D17" s="24">
        <f t="shared" si="0"/>
        <v>0</v>
      </c>
      <c r="E17" s="75">
        <f>Middle!E17</f>
        <v>1</v>
      </c>
      <c r="F17" s="22"/>
      <c r="H17" s="24">
        <f t="shared" si="1"/>
        <v>1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9">
        <f t="shared" si="6"/>
        <v>0</v>
      </c>
      <c r="N17" s="233"/>
      <c r="O17" s="2"/>
      <c r="P17" s="22"/>
      <c r="Q17" s="126" t="s">
        <v>125</v>
      </c>
      <c r="R17" s="226">
        <f>IF($B$81=0,0,(SUMIF($N$6:$N$28,$U17,K$6:K$28)+SUMIF($N$91:$N$118,$U17,K$91:K$118))*$B$83*$H$84*Poor!$B$81/$B$81)</f>
        <v>62700</v>
      </c>
      <c r="S17" s="226">
        <f>IF($B$81=0,0,(SUMIF($N$6:$N$28,$U17,L$6:L$28)+SUMIF($N$91:$N$118,$U17,L$91:L$118))*$B$83*$H$84*Poor!$B$81/$B$81)</f>
        <v>62700</v>
      </c>
      <c r="T17" s="226">
        <f>IF($B$81=0,0,(SUMIF($N$6:$N$28,$U17,M$6:M$28)+SUMIF($N$91:$N$118,$U17,M$91:M$118))*$B$83*$H$84*Poor!$B$81/$B$81)</f>
        <v>62700</v>
      </c>
      <c r="U17" s="227">
        <v>11</v>
      </c>
      <c r="V17" s="56"/>
      <c r="W17" s="110"/>
      <c r="X17" s="118"/>
      <c r="Y17" s="184">
        <f t="shared" si="9"/>
        <v>0</v>
      </c>
      <c r="Z17" s="156">
        <f>Poor!Z17</f>
        <v>0.29409999999999997</v>
      </c>
      <c r="AA17" s="121">
        <f t="shared" si="16"/>
        <v>0</v>
      </c>
      <c r="AB17" s="156">
        <f>Poor!AB17</f>
        <v>0.17649999999999999</v>
      </c>
      <c r="AC17" s="121">
        <f t="shared" si="7"/>
        <v>0</v>
      </c>
      <c r="AD17" s="156">
        <f>Poor!AD17</f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4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/>
      </c>
      <c r="B18" s="101">
        <f>IF([1]Summ!$J1056="",0,[1]Summ!$J1056)</f>
        <v>0</v>
      </c>
      <c r="C18" s="102">
        <f>IF([1]Summ!$K1056="",0,[1]Summ!$K1056)</f>
        <v>0</v>
      </c>
      <c r="D18" s="24">
        <f t="shared" ref="D18:D25" si="18">(B18+C18)</f>
        <v>0</v>
      </c>
      <c r="E18" s="75">
        <f>Middle!E18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9">
        <f t="shared" ref="M18:M25" si="23">J18</f>
        <v>0</v>
      </c>
      <c r="N18" s="233"/>
      <c r="O18" s="2"/>
      <c r="P18" s="22"/>
      <c r="Q18" s="59" t="s">
        <v>79</v>
      </c>
      <c r="R18" s="226">
        <f>IF($B$81=0,0,(SUMIF($N$6:$N$28,$U18,K$6:K$28)+SUMIF($N$91:$N$118,$U18,K$91:K$118))*$B$83*$H$84*Poor!$B$81/$B$81)</f>
        <v>0</v>
      </c>
      <c r="S18" s="226">
        <f>IF($B$81=0,0,(SUMIF($N$6:$N$28,$U18,L$6:L$28)+SUMIF($N$91:$N$118,$U18,L$91:L$118))*$B$83*$H$84*Poor!$B$81/$B$81)</f>
        <v>0</v>
      </c>
      <c r="T18" s="226">
        <f>IF($B$81=0,0,(SUMIF($N$6:$N$28,$U18,M$6:M$28)+SUMIF($N$91:$N$118,$U18,M$91:M$118))*$B$83*$H$84*Poor!$B$81/$B$81)</f>
        <v>0</v>
      </c>
      <c r="U18" s="227">
        <v>12</v>
      </c>
      <c r="V18" s="56"/>
      <c r="W18" s="110"/>
      <c r="X18" s="118"/>
      <c r="Y18" s="184"/>
      <c r="Z18" s="156"/>
      <c r="AA18" s="121"/>
      <c r="AB18" s="156"/>
      <c r="AC18" s="121"/>
      <c r="AD18" s="156"/>
      <c r="AE18" s="121"/>
      <c r="AF18" s="122"/>
      <c r="AG18" s="121"/>
      <c r="AH18" s="123"/>
      <c r="AI18" s="184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/>
      </c>
      <c r="B19" s="101">
        <f>IF([1]Summ!$J1057="",0,[1]Summ!$J1057)</f>
        <v>0</v>
      </c>
      <c r="C19" s="102">
        <f>IF([1]Summ!$K1057="",0,[1]Summ!$K1057)</f>
        <v>0</v>
      </c>
      <c r="D19" s="24">
        <f t="shared" si="18"/>
        <v>0</v>
      </c>
      <c r="E19" s="75">
        <f>Middle!E19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9">
        <f t="shared" si="23"/>
        <v>0</v>
      </c>
      <c r="N19" s="233"/>
      <c r="O19" s="2"/>
      <c r="P19" s="22"/>
      <c r="Q19" s="59" t="s">
        <v>80</v>
      </c>
      <c r="R19" s="226">
        <f>IF($B$81=0,0,(SUMIF($N$6:$N$28,$U19,K$6:K$28)+SUMIF($N$91:$N$118,$U19,K$91:K$118))*$B$83*$H$84*Poor!$B$81/$B$81)</f>
        <v>0</v>
      </c>
      <c r="S19" s="226">
        <f>IF($B$81=0,0,(SUMIF($N$6:$N$28,$U19,L$6:L$28)+SUMIF($N$91:$N$118,$U19,L$91:L$118))*$B$83*$H$84*Poor!$B$81/$B$81)</f>
        <v>0</v>
      </c>
      <c r="T19" s="226">
        <f>IF($B$81=0,0,(SUMIF($N$6:$N$28,$U19,M$6:M$28)+SUMIF($N$91:$N$118,$U19,M$91:M$118))*$B$83*$H$84*Poor!$B$81/$B$81)</f>
        <v>0</v>
      </c>
      <c r="U19" s="227">
        <v>13</v>
      </c>
      <c r="V19" s="56"/>
      <c r="W19" s="110"/>
      <c r="X19" s="118"/>
      <c r="Y19" s="184"/>
      <c r="Z19" s="156"/>
      <c r="AA19" s="121"/>
      <c r="AB19" s="156"/>
      <c r="AC19" s="121"/>
      <c r="AD19" s="156"/>
      <c r="AE19" s="121"/>
      <c r="AF19" s="122"/>
      <c r="AG19" s="121"/>
      <c r="AH19" s="123"/>
      <c r="AI19" s="184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/>
      </c>
      <c r="B20" s="101">
        <f>IF([1]Summ!$J1058="",0,[1]Summ!$J1058)</f>
        <v>0</v>
      </c>
      <c r="C20" s="102">
        <f>IF([1]Summ!$K1058="",0,[1]Summ!$K1058)</f>
        <v>0</v>
      </c>
      <c r="D20" s="24">
        <f t="shared" si="18"/>
        <v>0</v>
      </c>
      <c r="E20" s="75">
        <f>Middle!E20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9">
        <f t="shared" si="23"/>
        <v>0</v>
      </c>
      <c r="N20" s="233"/>
      <c r="O20" s="2"/>
      <c r="P20" s="22"/>
      <c r="Q20" s="59" t="s">
        <v>81</v>
      </c>
      <c r="R20" s="226">
        <f>IF($B$81=0,0,(SUMIF($N$6:$N$28,$U20,K$6:K$28)+SUMIF($N$91:$N$118,$U20,K$91:K$118))*$B$83*$H$84*Poor!$B$81/$B$81)</f>
        <v>7620</v>
      </c>
      <c r="S20" s="226">
        <f>IF($B$81=0,0,(SUMIF($N$6:$N$28,$U20,L$6:L$28)+SUMIF($N$91:$N$118,$U20,L$91:L$118))*$B$83*$H$84*Poor!$B$81/$B$81)</f>
        <v>7620</v>
      </c>
      <c r="T20" s="226">
        <f>IF($B$81=0,0,(SUMIF($N$6:$N$28,$U20,M$6:M$28)+SUMIF($N$91:$N$118,$U20,M$91:M$118))*$B$83*$H$84*Poor!$B$81/$B$81)</f>
        <v>7620</v>
      </c>
      <c r="U20" s="227">
        <v>14</v>
      </c>
      <c r="V20" s="56"/>
      <c r="W20" s="110"/>
      <c r="X20" s="118"/>
      <c r="Y20" s="184"/>
      <c r="Z20" s="156"/>
      <c r="AA20" s="121"/>
      <c r="AB20" s="156"/>
      <c r="AC20" s="121"/>
      <c r="AD20" s="156"/>
      <c r="AE20" s="121"/>
      <c r="AF20" s="122"/>
      <c r="AG20" s="121"/>
      <c r="AH20" s="123"/>
      <c r="AI20" s="184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/>
      </c>
      <c r="B21" s="101">
        <f>IF([1]Summ!$J1059="",0,[1]Summ!$J1059)</f>
        <v>0</v>
      </c>
      <c r="C21" s="102">
        <f>IF([1]Summ!$K1059="",0,[1]Summ!$K1059)</f>
        <v>0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9">
        <f t="shared" si="23"/>
        <v>0</v>
      </c>
      <c r="N21" s="233"/>
      <c r="O21" s="2"/>
      <c r="P21" s="22"/>
      <c r="Q21" s="59" t="s">
        <v>82</v>
      </c>
      <c r="R21" s="226">
        <f>IF($B$81=0,0,(SUMIF($N$6:$N$28,$U21,K$6:K$28)+SUMIF($N$91:$N$118,$U21,K$91:K$118))*$B$83*$H$84*Poor!$B$81/$B$81)</f>
        <v>26040</v>
      </c>
      <c r="S21" s="226">
        <f>IF($B$81=0,0,(SUMIF($N$6:$N$28,$U21,L$6:L$28)+SUMIF($N$91:$N$118,$U21,L$91:L$118))*$B$83*$H$84*Poor!$B$81/$B$81)</f>
        <v>26040</v>
      </c>
      <c r="T21" s="226">
        <f>IF($B$81=0,0,(SUMIF($N$6:$N$28,$U21,M$6:M$28)+SUMIF($N$91:$N$118,$U21,M$91:M$118))*$B$83*$H$84*Poor!$B$81/$B$81)</f>
        <v>26040</v>
      </c>
      <c r="U21" s="227">
        <v>15</v>
      </c>
      <c r="V21" s="56"/>
      <c r="W21" s="110"/>
      <c r="X21" s="118"/>
      <c r="Y21" s="184"/>
      <c r="Z21" s="156"/>
      <c r="AA21" s="121"/>
      <c r="AB21" s="156"/>
      <c r="AC21" s="121"/>
      <c r="AD21" s="156"/>
      <c r="AE21" s="121"/>
      <c r="AF21" s="122"/>
      <c r="AG21" s="121"/>
      <c r="AH21" s="123"/>
      <c r="AI21" s="184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/>
      </c>
      <c r="B22" s="101">
        <f>IF([1]Summ!$J1060="",0,[1]Summ!$J1060)</f>
        <v>0</v>
      </c>
      <c r="C22" s="102">
        <f>IF([1]Summ!$K1060="",0,[1]Summ!$K1060)</f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9">
        <f t="shared" si="23"/>
        <v>0</v>
      </c>
      <c r="N22" s="233"/>
      <c r="O22" s="2"/>
      <c r="P22" s="22"/>
      <c r="Q22" s="59" t="s">
        <v>83</v>
      </c>
      <c r="R22" s="226">
        <f>IF($B$81=0,0,(SUMIF($N$6:$N$28,$U22,K$6:K$28)+SUMIF($N$91:$N$118,$U22,K$91:K$118))*$B$83*$H$84*Poor!$B$81/$B$81)</f>
        <v>0</v>
      </c>
      <c r="S22" s="226">
        <f>IF($B$81=0,0,(SUMIF($N$6:$N$28,$U22,L$6:L$28)+SUMIF($N$91:$N$118,$U22,L$91:L$118))*$B$83*$H$84*Poor!$B$81/$B$81)</f>
        <v>0</v>
      </c>
      <c r="T22" s="226">
        <f>IF($B$81=0,0,(SUMIF($N$6:$N$28,$U22,M$6:M$28)+SUMIF($N$91:$N$118,$U22,M$91:M$118))*$B$83*$H$84*Poor!$B$81/$B$81)</f>
        <v>0</v>
      </c>
      <c r="U22" s="227">
        <v>16</v>
      </c>
      <c r="V22" s="56"/>
      <c r="W22" s="110"/>
      <c r="X22" s="118"/>
      <c r="Y22" s="184"/>
      <c r="Z22" s="156"/>
      <c r="AA22" s="121"/>
      <c r="AB22" s="156"/>
      <c r="AC22" s="121"/>
      <c r="AD22" s="156"/>
      <c r="AE22" s="121"/>
      <c r="AF22" s="122"/>
      <c r="AG22" s="121"/>
      <c r="AH22" s="123"/>
      <c r="AI22" s="184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/>
      </c>
      <c r="B23" s="101">
        <f>IF([1]Summ!$J1061="",0,[1]Summ!$J1061)</f>
        <v>0</v>
      </c>
      <c r="C23" s="102">
        <f>IF([1]Summ!$K1061="",0,[1]Summ!$K1061)</f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9">
        <f t="shared" si="23"/>
        <v>0</v>
      </c>
      <c r="N23" s="233"/>
      <c r="O23" s="2"/>
      <c r="P23" s="22"/>
      <c r="Q23" s="171" t="s">
        <v>100</v>
      </c>
      <c r="R23" s="179">
        <f>SUM(R7:R22)</f>
        <v>217462.86556961184</v>
      </c>
      <c r="S23" s="179">
        <f>SUM(S7:S22)</f>
        <v>217462.86556961184</v>
      </c>
      <c r="T23" s="179">
        <f>SUM(T7:T22)</f>
        <v>217363.40725102572</v>
      </c>
      <c r="U23" s="56"/>
      <c r="V23" s="56"/>
      <c r="W23" s="110"/>
      <c r="X23" s="118"/>
      <c r="Y23" s="184"/>
      <c r="Z23" s="156"/>
      <c r="AA23" s="121"/>
      <c r="AB23" s="156"/>
      <c r="AC23" s="121"/>
      <c r="AD23" s="156"/>
      <c r="AE23" s="121"/>
      <c r="AF23" s="122"/>
      <c r="AG23" s="121"/>
      <c r="AH23" s="123"/>
      <c r="AI23" s="184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/>
      </c>
      <c r="B24" s="101">
        <f>IF([1]Summ!$J1062="",0,[1]Summ!$J1062)</f>
        <v>0</v>
      </c>
      <c r="C24" s="102">
        <f>IF([1]Summ!$K1062="",0,[1]Summ!$K1062)</f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9">
        <f t="shared" si="23"/>
        <v>0</v>
      </c>
      <c r="N24" s="233"/>
      <c r="O24" s="2"/>
      <c r="P24" s="22"/>
      <c r="Q24" s="59" t="s">
        <v>137</v>
      </c>
      <c r="R24" s="41">
        <f>IF($B$81=0,0,($B$124*$H$124)+1-($D$29*$H$29)-($D$28*$H$28))*$I$83*Poor!$B$81/$B$81</f>
        <v>19286.708587419434</v>
      </c>
      <c r="S24" s="41">
        <f>IF($B$81=0,0,($B$124*($H$124)+1-($D$29*$H$29)-($D$28*$H$28))*$I$83*Poor!$B$81/$B$81)</f>
        <v>19286.708587419434</v>
      </c>
      <c r="T24" s="41">
        <f>IF($B$81=0,0,($B$124*($H$124)+1-($D$29*$H$29)-($D$28*$H$28))*$I$83*Poor!$B$81/$B$81)</f>
        <v>19286.708587419434</v>
      </c>
      <c r="U24" s="56"/>
      <c r="V24" s="56"/>
      <c r="W24" s="110"/>
      <c r="X24" s="118"/>
      <c r="Y24" s="184"/>
      <c r="Z24" s="156"/>
      <c r="AA24" s="121"/>
      <c r="AB24" s="156"/>
      <c r="AC24" s="121"/>
      <c r="AD24" s="156"/>
      <c r="AE24" s="121"/>
      <c r="AF24" s="122"/>
      <c r="AG24" s="121"/>
      <c r="AH24" s="123"/>
      <c r="AI24" s="184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/>
      </c>
      <c r="B25" s="101">
        <f>IF([1]Summ!$J1063="",0,[1]Summ!$J1063)</f>
        <v>0</v>
      </c>
      <c r="C25" s="102">
        <f>IF([1]Summ!$K1063="",0,[1]Summ!$K1063)</f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9">
        <f t="shared" si="23"/>
        <v>0</v>
      </c>
      <c r="N25" s="233"/>
      <c r="O25" s="2"/>
      <c r="P25" s="22"/>
      <c r="Q25" s="142" t="s">
        <v>138</v>
      </c>
      <c r="R25" s="41">
        <f>IF($B$81=0,0,($B$124*$H$124)+($B$125*$H$125*$H$84)+1-($D$29*$H$29)-($D$28*$H$28))*$I$83*Poor!$B$81/$B$81</f>
        <v>34865.375254086102</v>
      </c>
      <c r="S25" s="41">
        <f>IF($B$81=0,0,($B$124*$H$124)+($B$125*$H$125*$H$84)+1-($D$29*$H$29)-($D$28*$H$28))*$I$83*Poor!$B$81/$B$81</f>
        <v>34865.375254086102</v>
      </c>
      <c r="T25" s="41">
        <f>IF($B$81=0,0,($B$124*$H$124)+($B$125*$H$125*$H$84)+1-($D$29*$H$29)-($D$28*$H$28))*$I$83*Poor!$B$81/$B$81</f>
        <v>34865.375254086102</v>
      </c>
      <c r="U25" s="56"/>
      <c r="V25" s="56"/>
      <c r="W25" s="110"/>
      <c r="X25" s="118"/>
      <c r="Y25" s="184"/>
      <c r="Z25" s="156"/>
      <c r="AA25" s="121"/>
      <c r="AB25" s="156"/>
      <c r="AC25" s="121"/>
      <c r="AD25" s="156"/>
      <c r="AE25" s="121"/>
      <c r="AF25" s="122"/>
      <c r="AG25" s="121"/>
      <c r="AH25" s="123"/>
      <c r="AI25" s="184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f>IF([1]Summ!$J1064="",0,[1]Summ!$J1064)</f>
        <v>0</v>
      </c>
      <c r="C26" s="102">
        <f>IF([1]Summ!$K1064="",0,[1]Summ!$K1064)</f>
        <v>0</v>
      </c>
      <c r="D26" s="24">
        <f t="shared" si="0"/>
        <v>0</v>
      </c>
      <c r="E26" s="75">
        <f>Middle!E26</f>
        <v>1</v>
      </c>
      <c r="F26" s="22"/>
      <c r="H26" s="24">
        <f t="shared" si="1"/>
        <v>1</v>
      </c>
      <c r="I26" s="22">
        <f t="shared" si="2"/>
        <v>0</v>
      </c>
      <c r="J26" s="24">
        <f>IF(I$32&lt;=1+I131,I26,B26*H26+J$33*(I26-B26*H26))</f>
        <v>0</v>
      </c>
      <c r="K26" s="22">
        <f t="shared" si="4"/>
        <v>0</v>
      </c>
      <c r="L26" s="22">
        <f t="shared" si="5"/>
        <v>0</v>
      </c>
      <c r="M26" s="228">
        <f t="shared" si="6"/>
        <v>0</v>
      </c>
      <c r="N26" s="233">
        <v>12</v>
      </c>
      <c r="O26" s="2"/>
      <c r="P26" s="22"/>
      <c r="Q26" s="59" t="s">
        <v>139</v>
      </c>
      <c r="R26" s="41">
        <f>IF($B$81=0,0,($B$124*$H$124)+($B$125*$H$125*$H$84)+($B$126*$H$126*$H$84)+1-($D$29*$H$29)-($D$28*$H$28))*$I$83*Poor!$B$81/$B$81</f>
        <v>62609.375254086102</v>
      </c>
      <c r="S26" s="41">
        <f>IF($B$81=0,0,($B$124*$H$124)+($B$125*$H$125*$H$84)+($B$126*$H$126*$H$84)+1-($D$29*$H$29)-($D$28*$H$28))*$I$83*Poor!$B$81/$B$81</f>
        <v>62609.375254086102</v>
      </c>
      <c r="T26" s="41">
        <f>IF($B$81=0,0,($B$124*$H$124)+($B$125*$H$125*$H$84)+($B$126*$H$126*$H$84)+1-($D$29*$H$29)-($D$28*$H$28))*$I$83*Poor!$B$81/$B$81</f>
        <v>62609.375254086102</v>
      </c>
      <c r="U26" s="56"/>
      <c r="V26" s="56"/>
      <c r="W26" s="110"/>
      <c r="X26" s="118"/>
      <c r="Y26" s="184">
        <f t="shared" si="9"/>
        <v>0</v>
      </c>
      <c r="Z26" s="156">
        <f>Poor!Z26</f>
        <v>0.25</v>
      </c>
      <c r="AA26" s="121">
        <f t="shared" si="16"/>
        <v>0</v>
      </c>
      <c r="AB26" s="156">
        <f>Poor!AB26</f>
        <v>0.25</v>
      </c>
      <c r="AC26" s="121">
        <f t="shared" si="7"/>
        <v>0</v>
      </c>
      <c r="AD26" s="156">
        <f>Poor!AD26</f>
        <v>0.25</v>
      </c>
      <c r="AE26" s="121">
        <f t="shared" si="8"/>
        <v>0</v>
      </c>
      <c r="AF26" s="122">
        <f t="shared" si="10"/>
        <v>0.25</v>
      </c>
      <c r="AG26" s="121">
        <f t="shared" si="11"/>
        <v>0</v>
      </c>
      <c r="AH26" s="123">
        <f t="shared" si="12"/>
        <v>1</v>
      </c>
      <c r="AI26" s="184">
        <f t="shared" si="13"/>
        <v>0</v>
      </c>
      <c r="AJ26" s="120">
        <f t="shared" si="14"/>
        <v>0</v>
      </c>
      <c r="AK26" s="119">
        <f t="shared" si="15"/>
        <v>0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f>IF([1]Summ!$J1065="",0,[1]Summ!$J1065)</f>
        <v>3.314115504358655E-2</v>
      </c>
      <c r="C27" s="102">
        <f>IF([1]Summ!$K1065="",0,[1]Summ!$K1065)</f>
        <v>-3.314115504358655E-2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3.3649043676685413E-2</v>
      </c>
      <c r="K27" s="22">
        <f t="shared" si="4"/>
        <v>3.314115504358655E-2</v>
      </c>
      <c r="L27" s="22">
        <f t="shared" si="5"/>
        <v>3.314115504358655E-2</v>
      </c>
      <c r="M27" s="230">
        <f t="shared" si="6"/>
        <v>3.3649043676685413E-2</v>
      </c>
      <c r="N27" s="233"/>
      <c r="O27" s="2"/>
      <c r="P27" s="22"/>
      <c r="Q27" s="126" t="s">
        <v>140</v>
      </c>
      <c r="R27" s="41">
        <f>IF($B$81=0,0,($B$124*$H$124)+($B$125*$H$125*$H$84)+($B$126*$H$126*$H$84)+($B$127*$H$127*$H$84)+1-($D$29*$H$29)-($D$28*$H$28))*$I$83*Poor!$B$81/$B$81</f>
        <v>73809.375254086117</v>
      </c>
      <c r="S27" s="41">
        <f>IF($B$81=0,0,($B$124*$H$124)+($B$125*$H$125*$H$84)+($B$126*$H$126*$H$84)+($B$127*$H$127*$H$84)+1-($D$29*$H$29)-($D$28*$H$28))*$I$83*Poor!$B$81/$B$81</f>
        <v>73809.375254086117</v>
      </c>
      <c r="T27" s="41">
        <f>IF($B$81=0,0,($B$124*$H$124)+($B$125*$H$125*$H$84)+($B$126*$H$126*$H$84)+($B$127*$H$127*$H$84)+1-($D$29*$H$29)-($D$28*$H$28))*$I$83*Poor!$B$81/$B$81</f>
        <v>73809.375254086117</v>
      </c>
      <c r="U27" s="56"/>
      <c r="V27" s="56"/>
      <c r="W27" s="110"/>
      <c r="X27" s="118"/>
      <c r="Y27" s="184">
        <f t="shared" si="9"/>
        <v>0.13459617470674165</v>
      </c>
      <c r="Z27" s="156">
        <f>Poor!Z27</f>
        <v>0.25</v>
      </c>
      <c r="AA27" s="121">
        <f t="shared" si="16"/>
        <v>3.3649043676685413E-2</v>
      </c>
      <c r="AB27" s="156">
        <f>Poor!AB27</f>
        <v>0.25</v>
      </c>
      <c r="AC27" s="121">
        <f t="shared" si="7"/>
        <v>3.3649043676685413E-2</v>
      </c>
      <c r="AD27" s="156">
        <f>Poor!AD27</f>
        <v>0.25</v>
      </c>
      <c r="AE27" s="121">
        <f t="shared" si="8"/>
        <v>3.3649043676685413E-2</v>
      </c>
      <c r="AF27" s="122">
        <f t="shared" si="10"/>
        <v>0.25</v>
      </c>
      <c r="AG27" s="121">
        <f t="shared" si="11"/>
        <v>3.3649043676685413E-2</v>
      </c>
      <c r="AH27" s="123">
        <f t="shared" si="12"/>
        <v>1</v>
      </c>
      <c r="AI27" s="184">
        <f t="shared" si="13"/>
        <v>3.3649043676685413E-2</v>
      </c>
      <c r="AJ27" s="120">
        <f t="shared" si="14"/>
        <v>3.3649043676685413E-2</v>
      </c>
      <c r="AK27" s="119">
        <f t="shared" si="15"/>
        <v>3.3649043676685413E-2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f>IF([1]Summ!$J1066="",0,[1]Summ!$J1066)</f>
        <v>6.7650971357409703E-2</v>
      </c>
      <c r="C28" s="102">
        <f>IF([1]Summ!$K1066="",0,[1]Summ!$K1066)</f>
        <v>-6.7650971357409703E-2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6.8687723375416829E-2</v>
      </c>
      <c r="K28" s="22">
        <f t="shared" si="4"/>
        <v>6.7650971357409703E-2</v>
      </c>
      <c r="L28" s="22">
        <f t="shared" si="5"/>
        <v>6.7650971357409703E-2</v>
      </c>
      <c r="M28" s="228">
        <f t="shared" si="6"/>
        <v>6.8687723375416829E-2</v>
      </c>
      <c r="N28" s="233"/>
      <c r="O28" s="2"/>
      <c r="P28" s="22"/>
      <c r="Q28" s="59"/>
      <c r="R28" s="180"/>
      <c r="S28" s="180"/>
      <c r="T28" s="180"/>
      <c r="U28" s="56"/>
      <c r="V28" s="56"/>
      <c r="W28" s="110"/>
      <c r="X28" s="118"/>
      <c r="Y28" s="184">
        <f t="shared" si="9"/>
        <v>0.27475089350166731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0.13737544675083366</v>
      </c>
      <c r="AF28" s="122">
        <f t="shared" si="10"/>
        <v>0.5</v>
      </c>
      <c r="AG28" s="121">
        <f t="shared" si="11"/>
        <v>0.13737544675083366</v>
      </c>
      <c r="AH28" s="123">
        <f t="shared" si="12"/>
        <v>1</v>
      </c>
      <c r="AI28" s="184">
        <f t="shared" si="13"/>
        <v>6.8687723375416829E-2</v>
      </c>
      <c r="AJ28" s="120">
        <f t="shared" si="14"/>
        <v>0</v>
      </c>
      <c r="AK28" s="119">
        <f t="shared" si="15"/>
        <v>0.13737544675083366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f>IF([1]Summ!$J1067="",0,[1]Summ!$J1067)</f>
        <v>0.60760804651307587</v>
      </c>
      <c r="C29" s="102">
        <f>IF([1]Summ!$K1067="",0,[1]Summ!$K1067)</f>
        <v>-0.12086093158097647</v>
      </c>
      <c r="D29" s="24">
        <f t="shared" si="0"/>
        <v>0.48674711493209943</v>
      </c>
      <c r="E29" s="75">
        <f>Middle!E29</f>
        <v>1</v>
      </c>
      <c r="F29" s="22"/>
      <c r="H29" s="24">
        <f t="shared" si="1"/>
        <v>1</v>
      </c>
      <c r="I29" s="22">
        <f t="shared" si="2"/>
        <v>0.48674711493209943</v>
      </c>
      <c r="J29" s="24">
        <f>IF(I$32&lt;=1+I131,I29,B29*H29+J$33*(I29-B29*H29))</f>
        <v>0.60946024186519887</v>
      </c>
      <c r="K29" s="22">
        <f t="shared" si="4"/>
        <v>0.60760804651307587</v>
      </c>
      <c r="L29" s="22">
        <f t="shared" si="5"/>
        <v>0.60760804651307587</v>
      </c>
      <c r="M29" s="175">
        <f t="shared" si="6"/>
        <v>0.60946024186519887</v>
      </c>
      <c r="N29" s="233"/>
      <c r="P29" s="22"/>
      <c r="V29" s="56"/>
      <c r="W29" s="110"/>
      <c r="X29" s="118"/>
      <c r="Y29" s="184">
        <f t="shared" si="9"/>
        <v>2.4378409674607955</v>
      </c>
      <c r="Z29" s="156">
        <f>Poor!Z29</f>
        <v>0.25</v>
      </c>
      <c r="AA29" s="121">
        <f t="shared" si="16"/>
        <v>0.60946024186519887</v>
      </c>
      <c r="AB29" s="156">
        <f>Poor!AB29</f>
        <v>0.25</v>
      </c>
      <c r="AC29" s="121">
        <f t="shared" si="7"/>
        <v>0.60946024186519887</v>
      </c>
      <c r="AD29" s="156">
        <f>Poor!AD29</f>
        <v>0.25</v>
      </c>
      <c r="AE29" s="121">
        <f t="shared" si="8"/>
        <v>0.60946024186519887</v>
      </c>
      <c r="AF29" s="122">
        <f t="shared" si="10"/>
        <v>0.25</v>
      </c>
      <c r="AG29" s="121">
        <f t="shared" si="11"/>
        <v>0.60946024186519887</v>
      </c>
      <c r="AH29" s="123">
        <f t="shared" si="12"/>
        <v>1</v>
      </c>
      <c r="AI29" s="184">
        <f t="shared" si="13"/>
        <v>0.60946024186519887</v>
      </c>
      <c r="AJ29" s="120">
        <f t="shared" si="14"/>
        <v>0.60946024186519887</v>
      </c>
      <c r="AK29" s="119">
        <f t="shared" si="15"/>
        <v>0.60946024186519887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IF([1]Summ!$J1068="",0,[1]Summ!$J1068)</f>
        <v>0.31510492901618925</v>
      </c>
      <c r="C30" s="65"/>
      <c r="D30" s="24">
        <f>(D119-B124)</f>
        <v>23.389523838368149</v>
      </c>
      <c r="E30" s="75">
        <f>Middle!E30</f>
        <v>1</v>
      </c>
      <c r="H30" s="96">
        <f>(E30*F$7/F$9)</f>
        <v>1</v>
      </c>
      <c r="I30" s="29">
        <f>IF(E30&gt;=1,I119-I124,MIN(I119-I124,B30*H30))</f>
        <v>23.389523838368149</v>
      </c>
      <c r="J30" s="235">
        <f>IF(I$32&lt;=$B$32,I30,$B$32-SUM(J6:J29))</f>
        <v>0.32621033605328598</v>
      </c>
      <c r="K30" s="22">
        <f t="shared" si="4"/>
        <v>0.31510492901618925</v>
      </c>
      <c r="L30" s="22">
        <f>IF(L124=L119,0,IF(K30="",0,(L119-L124)/(B119-B124)*K30))</f>
        <v>0.31510492901618925</v>
      </c>
      <c r="M30" s="175">
        <f t="shared" si="6"/>
        <v>0.32621033605328598</v>
      </c>
      <c r="N30" s="166" t="s">
        <v>86</v>
      </c>
      <c r="O30" s="2"/>
      <c r="P30" s="22"/>
      <c r="V30" s="56"/>
      <c r="W30" s="110"/>
      <c r="X30" s="118"/>
      <c r="Y30" s="184">
        <f>M30*4</f>
        <v>1.3048413442131439</v>
      </c>
      <c r="Z30" s="122">
        <f>IF($Y30=0,0,AA30/($Y$30))</f>
        <v>0</v>
      </c>
      <c r="AA30" s="188">
        <f>IF(AA79*4/$I$83+SUM(AA6:AA29)&lt;1,AA79*4/$I$83,1-SUM(AA6:AA29))</f>
        <v>0</v>
      </c>
      <c r="AB30" s="122">
        <f>IF($Y30=0,0,AC30/($Y$30))</f>
        <v>4.8743390448934616E-2</v>
      </c>
      <c r="AC30" s="188">
        <f>IF(AC79*4/$I$83+SUM(AC6:AC29)&lt;1,AC79*4/$I$83,1-SUM(AC6:AC29))</f>
        <v>6.3602391114893964E-2</v>
      </c>
      <c r="AD30" s="122">
        <f>IF($Y30=0,0,AE30/($Y$30))</f>
        <v>8.2769885822611702E-2</v>
      </c>
      <c r="AE30" s="188">
        <f>IF(AE79*4/$I$83+SUM(AE6:AE29)&lt;1,AE79*4/$I$83,1-SUM(AE6:AE29))</f>
        <v>0.10800156907714509</v>
      </c>
      <c r="AF30" s="122">
        <f>IF($Y30=0,0,AG30/($Y$30))</f>
        <v>-0.18749928434251417</v>
      </c>
      <c r="AG30" s="188">
        <f>IF(AG79*4/$I$83+SUM(AG6:AG29)&lt;1,AG79*4/$I$83,1-SUM(AG6:AG29))</f>
        <v>-0.24465681822048868</v>
      </c>
      <c r="AH30" s="123">
        <f t="shared" si="12"/>
        <v>-5.5986008070967846E-2</v>
      </c>
      <c r="AI30" s="184">
        <f t="shared" si="13"/>
        <v>-1.8263214507112407E-2</v>
      </c>
      <c r="AJ30" s="120">
        <f t="shared" si="14"/>
        <v>3.1801195557446982E-2</v>
      </c>
      <c r="AK30" s="119">
        <f t="shared" si="15"/>
        <v>-6.8327624571671797E-2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6">
        <f>($B$32-SUM(J6:J30))</f>
        <v>0</v>
      </c>
      <c r="K31" s="22" t="str">
        <f t="shared" si="4"/>
        <v/>
      </c>
      <c r="L31" s="22">
        <f>(1-SUM(L6:L30))</f>
        <v>-0.34447355056039841</v>
      </c>
      <c r="M31" s="178">
        <f t="shared" si="6"/>
        <v>0</v>
      </c>
      <c r="N31" s="167">
        <f>M31*I83</f>
        <v>0</v>
      </c>
      <c r="P31" s="22"/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3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1.3444735505603984</v>
      </c>
      <c r="C32" s="29">
        <f>SUM(C6:C31)</f>
        <v>0.72465889656348181</v>
      </c>
      <c r="D32" s="24">
        <f>SUM(D6:D30)</f>
        <v>25.143551356475839</v>
      </c>
      <c r="E32" s="2"/>
      <c r="F32" s="2"/>
      <c r="H32" s="17"/>
      <c r="I32" s="22">
        <f>SUM(I6:I30)</f>
        <v>25.143551356475839</v>
      </c>
      <c r="J32" s="17"/>
      <c r="L32" s="22">
        <f>SUM(L6:L30)</f>
        <v>1.3444735505603984</v>
      </c>
      <c r="M32" s="23"/>
      <c r="N32" s="56"/>
      <c r="O32" s="2"/>
      <c r="P32" s="22"/>
      <c r="V32" s="56"/>
      <c r="W32" s="110"/>
      <c r="X32" s="118"/>
      <c r="Y32" s="115">
        <f>SUM(Y6:Y31)</f>
        <v>5.3778942022415936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-1.5325013036838964E-2</v>
      </c>
      <c r="K33" s="14"/>
      <c r="L33" s="11"/>
      <c r="M33" s="30"/>
      <c r="N33" s="168" t="s">
        <v>87</v>
      </c>
      <c r="O33" s="2"/>
      <c r="P33" s="2"/>
      <c r="R33" s="180">
        <v>57052</v>
      </c>
      <c r="S33" s="180">
        <v>64618</v>
      </c>
      <c r="T33" s="22">
        <f>S33/R33</f>
        <v>1.1326158592161537</v>
      </c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R34" s="180">
        <v>17060</v>
      </c>
      <c r="S34" s="180">
        <v>19322</v>
      </c>
      <c r="T34" s="22">
        <f t="shared" ref="T34:T37" si="24">S34/R34</f>
        <v>1.132590855803048</v>
      </c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180">
        <v>31038</v>
      </c>
      <c r="S35" s="180">
        <v>35155</v>
      </c>
      <c r="T35" s="22">
        <f t="shared" si="24"/>
        <v>1.1326438559185514</v>
      </c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R36" s="180">
        <v>58782</v>
      </c>
      <c r="S36" s="180">
        <v>66578</v>
      </c>
      <c r="T36" s="22">
        <f t="shared" si="24"/>
        <v>1.1326256336973903</v>
      </c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Cattle sales - local: no. sold</v>
      </c>
      <c r="B37" s="104">
        <f>IF([1]Summ!$J1072="",0,[1]Summ!$J1072)</f>
        <v>22350</v>
      </c>
      <c r="C37" s="104">
        <f>IF([1]Summ!$K1072="",0,[1]Summ!$K1072)</f>
        <v>0</v>
      </c>
      <c r="D37" s="38">
        <f t="shared" ref="D37:D64" si="25">B37+C37</f>
        <v>22350</v>
      </c>
      <c r="E37" s="75">
        <f>Middle!E37</f>
        <v>1</v>
      </c>
      <c r="F37" s="75">
        <f>Middle!F37</f>
        <v>1</v>
      </c>
      <c r="G37" s="75">
        <f>Middle!G37</f>
        <v>1</v>
      </c>
      <c r="H37" s="24">
        <f t="shared" ref="H37:H52" si="26">(E37*F37)</f>
        <v>1</v>
      </c>
      <c r="I37" s="39">
        <f t="shared" ref="I37:I52" si="27">D37*H37</f>
        <v>22350</v>
      </c>
      <c r="J37" s="38">
        <f>J91*I$83</f>
        <v>22350</v>
      </c>
      <c r="K37" s="40">
        <f t="shared" ref="K37:K52" si="28">(B37/B$65)</f>
        <v>0.10407838243101024</v>
      </c>
      <c r="L37" s="22">
        <f t="shared" ref="L37:L52" si="29">(K37*H37)</f>
        <v>0.10407838243101024</v>
      </c>
      <c r="M37" s="24">
        <f t="shared" ref="M37:M52" si="30">J37/B$65</f>
        <v>0.10407838243101024</v>
      </c>
      <c r="N37" s="2"/>
      <c r="O37" s="2"/>
      <c r="P37" s="2"/>
      <c r="Q37" s="2"/>
      <c r="R37" s="180">
        <v>69014</v>
      </c>
      <c r="S37" s="180">
        <v>78166</v>
      </c>
      <c r="T37" s="224">
        <f t="shared" si="24"/>
        <v>1.1326107746254384</v>
      </c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31">1-SUM(Z37,AB37,AD37)</f>
        <v>1</v>
      </c>
      <c r="AG37" s="147">
        <f>$J37*AF37</f>
        <v>22350</v>
      </c>
      <c r="AH37" s="123">
        <f>SUM(Z37,AB37,AD37,AF37)</f>
        <v>1</v>
      </c>
      <c r="AI37" s="112">
        <f>SUM(AA37,AC37,AE37,AG37)</f>
        <v>22350</v>
      </c>
      <c r="AJ37" s="148">
        <f>(AA37+AC37)</f>
        <v>0</v>
      </c>
      <c r="AK37" s="147">
        <f>(AE37+AG37)</f>
        <v>22350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Goat sales - local: no. sold</v>
      </c>
      <c r="B38" s="104">
        <f>IF([1]Summ!$J1073="",0,[1]Summ!$J1073)</f>
        <v>8000</v>
      </c>
      <c r="C38" s="104">
        <f>IF([1]Summ!$K1073="",0,[1]Summ!$K1073)</f>
        <v>2500</v>
      </c>
      <c r="D38" s="38">
        <f t="shared" si="25"/>
        <v>10500</v>
      </c>
      <c r="E38" s="75">
        <f>Middle!E38</f>
        <v>1</v>
      </c>
      <c r="F38" s="75">
        <f>Middle!F38</f>
        <v>1</v>
      </c>
      <c r="G38" s="22">
        <f t="shared" ref="G38:G64" si="32">(G$37)</f>
        <v>1</v>
      </c>
      <c r="H38" s="24">
        <f t="shared" si="26"/>
        <v>1</v>
      </c>
      <c r="I38" s="39">
        <f t="shared" si="27"/>
        <v>10500</v>
      </c>
      <c r="J38" s="38">
        <f t="shared" ref="J38:J64" si="33">J92*I$83</f>
        <v>7961.6874674079017</v>
      </c>
      <c r="K38" s="40">
        <f t="shared" si="28"/>
        <v>3.725400713414237E-2</v>
      </c>
      <c r="L38" s="22">
        <f t="shared" si="29"/>
        <v>3.725400713414237E-2</v>
      </c>
      <c r="M38" s="24">
        <f t="shared" si="30"/>
        <v>3.7075595213828229E-2</v>
      </c>
      <c r="N38" s="2"/>
      <c r="O38" s="2"/>
      <c r="P38" s="2"/>
      <c r="Q38" s="59"/>
      <c r="R38" s="180"/>
      <c r="S38" s="180"/>
      <c r="T38" s="180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31"/>
        <v>1</v>
      </c>
      <c r="AG38" s="147">
        <f t="shared" ref="AG38:AG64" si="34">$J38*AF38</f>
        <v>7961.6874674079017</v>
      </c>
      <c r="AH38" s="123">
        <f t="shared" ref="AH38:AI58" si="35">SUM(Z38,AB38,AD38,AF38)</f>
        <v>1</v>
      </c>
      <c r="AI38" s="112">
        <f t="shared" si="35"/>
        <v>7961.6874674079017</v>
      </c>
      <c r="AJ38" s="148">
        <f t="shared" ref="AJ38:AJ64" si="36">(AA38+AC38)</f>
        <v>0</v>
      </c>
      <c r="AK38" s="147">
        <f t="shared" ref="AK38:AK64" si="37">(AE38+AG38)</f>
        <v>7961.6874674079017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Sheep sales - local: no. sold</v>
      </c>
      <c r="B39" s="104">
        <f>IF([1]Summ!$J1074="",0,[1]Summ!$J1074)</f>
        <v>2400</v>
      </c>
      <c r="C39" s="104">
        <f>IF([1]Summ!$K1074="",0,[1]Summ!$K1074)</f>
        <v>0</v>
      </c>
      <c r="D39" s="38">
        <f t="shared" si="25"/>
        <v>2400</v>
      </c>
      <c r="E39" s="75">
        <f>Middle!E39</f>
        <v>1</v>
      </c>
      <c r="F39" s="75">
        <f>Middle!F39</f>
        <v>1</v>
      </c>
      <c r="G39" s="22">
        <f t="shared" si="32"/>
        <v>1</v>
      </c>
      <c r="H39" s="24">
        <f t="shared" si="26"/>
        <v>1</v>
      </c>
      <c r="I39" s="39">
        <f t="shared" si="27"/>
        <v>2400</v>
      </c>
      <c r="J39" s="38">
        <f t="shared" si="33"/>
        <v>2399.9999999999995</v>
      </c>
      <c r="K39" s="40">
        <f t="shared" si="28"/>
        <v>1.1176202140242709E-2</v>
      </c>
      <c r="L39" s="22">
        <f t="shared" si="29"/>
        <v>1.1176202140242709E-2</v>
      </c>
      <c r="M39" s="24">
        <f t="shared" si="30"/>
        <v>1.1176202140242708E-2</v>
      </c>
      <c r="N39" s="2"/>
      <c r="O39" s="2"/>
      <c r="P39" s="2"/>
      <c r="Q39" s="59"/>
      <c r="R39" s="180"/>
      <c r="S39" s="180"/>
      <c r="T39" s="180"/>
      <c r="U39" s="56"/>
      <c r="V39" s="56"/>
      <c r="W39" s="115"/>
      <c r="X39" s="118">
        <f>X8</f>
        <v>1</v>
      </c>
      <c r="Y39" s="110"/>
      <c r="Z39" s="122">
        <f>Z8</f>
        <v>0.55940971268983164</v>
      </c>
      <c r="AA39" s="147">
        <f>$J39*Z39</f>
        <v>1342.5833104555957</v>
      </c>
      <c r="AB39" s="122">
        <f>AB8</f>
        <v>0.44059028731016836</v>
      </c>
      <c r="AC39" s="147">
        <f>$J39*AB39</f>
        <v>1057.4166895444039</v>
      </c>
      <c r="AD39" s="122">
        <f>AD8</f>
        <v>0</v>
      </c>
      <c r="AE39" s="147">
        <f>$J39*AD39</f>
        <v>0</v>
      </c>
      <c r="AF39" s="122">
        <f t="shared" si="31"/>
        <v>0</v>
      </c>
      <c r="AG39" s="147">
        <f t="shared" si="34"/>
        <v>0</v>
      </c>
      <c r="AH39" s="123">
        <f t="shared" si="35"/>
        <v>1</v>
      </c>
      <c r="AI39" s="112">
        <f t="shared" si="35"/>
        <v>2399.9999999999995</v>
      </c>
      <c r="AJ39" s="148">
        <f t="shared" si="36"/>
        <v>2399.9999999999995</v>
      </c>
      <c r="AK39" s="147">
        <f t="shared" si="37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Chicken sales: no. sold</v>
      </c>
      <c r="B40" s="104">
        <f>IF([1]Summ!$J1075="",0,[1]Summ!$J1075)</f>
        <v>0</v>
      </c>
      <c r="C40" s="104">
        <f>IF([1]Summ!$K1075="",0,[1]Summ!$K1075)</f>
        <v>0</v>
      </c>
      <c r="D40" s="38">
        <f t="shared" si="25"/>
        <v>0</v>
      </c>
      <c r="E40" s="75">
        <f>Middle!E40</f>
        <v>1</v>
      </c>
      <c r="F40" s="75">
        <f>Middle!F40</f>
        <v>1</v>
      </c>
      <c r="G40" s="22">
        <f t="shared" si="32"/>
        <v>1</v>
      </c>
      <c r="H40" s="24">
        <f t="shared" si="26"/>
        <v>1</v>
      </c>
      <c r="I40" s="39">
        <f t="shared" si="27"/>
        <v>0</v>
      </c>
      <c r="J40" s="38">
        <f t="shared" si="33"/>
        <v>0</v>
      </c>
      <c r="K40" s="40">
        <f t="shared" si="28"/>
        <v>0</v>
      </c>
      <c r="L40" s="22">
        <f t="shared" si="29"/>
        <v>0</v>
      </c>
      <c r="M40" s="24">
        <f t="shared" si="30"/>
        <v>0</v>
      </c>
      <c r="N40" s="2"/>
      <c r="O40" s="2"/>
      <c r="P40" s="2"/>
      <c r="Q40" s="56"/>
      <c r="R40" s="68"/>
      <c r="S40" s="68"/>
      <c r="T40" s="68"/>
      <c r="U40" s="56"/>
      <c r="V40" s="56"/>
      <c r="W40" s="115"/>
      <c r="X40" s="118">
        <f>X9</f>
        <v>1</v>
      </c>
      <c r="Y40" s="110"/>
      <c r="Z40" s="122">
        <f>Z9</f>
        <v>0.55940971268983175</v>
      </c>
      <c r="AA40" s="147">
        <f>$J40*Z40</f>
        <v>0</v>
      </c>
      <c r="AB40" s="122">
        <f>AB9</f>
        <v>0.44059028731016825</v>
      </c>
      <c r="AC40" s="147">
        <f>$J40*AB40</f>
        <v>0</v>
      </c>
      <c r="AD40" s="122">
        <f>AD9</f>
        <v>0</v>
      </c>
      <c r="AE40" s="147">
        <f>$J40*AD40</f>
        <v>0</v>
      </c>
      <c r="AF40" s="122">
        <f t="shared" si="31"/>
        <v>0</v>
      </c>
      <c r="AG40" s="147">
        <f t="shared" si="34"/>
        <v>0</v>
      </c>
      <c r="AH40" s="123">
        <f t="shared" si="35"/>
        <v>1</v>
      </c>
      <c r="AI40" s="112">
        <f t="shared" si="35"/>
        <v>0</v>
      </c>
      <c r="AJ40" s="148">
        <f t="shared" si="36"/>
        <v>0</v>
      </c>
      <c r="AK40" s="147">
        <f t="shared" si="37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Maize: kg produced</v>
      </c>
      <c r="B41" s="104">
        <f>IF([1]Summ!$J1076="",0,[1]Summ!$J1076)</f>
        <v>3600</v>
      </c>
      <c r="C41" s="104">
        <f>IF([1]Summ!$K1076="",0,[1]Summ!$K1076)</f>
        <v>-3600</v>
      </c>
      <c r="D41" s="38">
        <f t="shared" si="25"/>
        <v>0</v>
      </c>
      <c r="E41" s="75">
        <f>Middle!E41</f>
        <v>1</v>
      </c>
      <c r="F41" s="75">
        <f>Middle!F41</f>
        <v>1</v>
      </c>
      <c r="G41" s="22">
        <f t="shared" si="32"/>
        <v>1</v>
      </c>
      <c r="H41" s="24">
        <f t="shared" si="26"/>
        <v>1</v>
      </c>
      <c r="I41" s="39">
        <f t="shared" si="27"/>
        <v>0</v>
      </c>
      <c r="J41" s="38">
        <f t="shared" si="33"/>
        <v>3655.1700469326202</v>
      </c>
      <c r="K41" s="40">
        <f t="shared" si="28"/>
        <v>1.6764303210364064E-2</v>
      </c>
      <c r="L41" s="22">
        <f t="shared" si="29"/>
        <v>1.6764303210364064E-2</v>
      </c>
      <c r="M41" s="24">
        <f t="shared" si="30"/>
        <v>1.7021216375616415E-2</v>
      </c>
      <c r="N41" s="2"/>
      <c r="O41" s="2"/>
      <c r="P41" s="2"/>
      <c r="Q41" s="59"/>
      <c r="R41" s="219"/>
      <c r="S41" s="219"/>
      <c r="T41" s="219"/>
      <c r="U41" s="56"/>
      <c r="V41" s="56"/>
      <c r="W41" s="115"/>
      <c r="X41" s="118">
        <f>X11</f>
        <v>1</v>
      </c>
      <c r="Y41" s="110"/>
      <c r="Z41" s="122">
        <f>Z11</f>
        <v>0</v>
      </c>
      <c r="AA41" s="147">
        <f>$J41*Z41</f>
        <v>0</v>
      </c>
      <c r="AB41" s="122">
        <f>AB11</f>
        <v>0</v>
      </c>
      <c r="AC41" s="147">
        <f>$J41*AB41</f>
        <v>0</v>
      </c>
      <c r="AD41" s="122">
        <f>AD11</f>
        <v>0</v>
      </c>
      <c r="AE41" s="147">
        <f>$J41*AD41</f>
        <v>0</v>
      </c>
      <c r="AF41" s="122">
        <f t="shared" si="31"/>
        <v>1</v>
      </c>
      <c r="AG41" s="147">
        <f t="shared" si="34"/>
        <v>3655.1700469326202</v>
      </c>
      <c r="AH41" s="123">
        <f t="shared" si="35"/>
        <v>1</v>
      </c>
      <c r="AI41" s="112">
        <f t="shared" si="35"/>
        <v>3655.1700469326202</v>
      </c>
      <c r="AJ41" s="148">
        <f t="shared" si="36"/>
        <v>0</v>
      </c>
      <c r="AK41" s="147">
        <f t="shared" si="37"/>
        <v>3655.1700469326202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Beans: kg produced</v>
      </c>
      <c r="B42" s="104">
        <f>IF([1]Summ!$J1077="",0,[1]Summ!$J1077)</f>
        <v>6000</v>
      </c>
      <c r="C42" s="104">
        <f>IF([1]Summ!$K1077="",0,[1]Summ!$K1077)</f>
        <v>0</v>
      </c>
      <c r="D42" s="38">
        <f t="shared" si="25"/>
        <v>6000</v>
      </c>
      <c r="E42" s="75">
        <f>Middle!E42</f>
        <v>1</v>
      </c>
      <c r="F42" s="75">
        <f>Middle!F42</f>
        <v>1</v>
      </c>
      <c r="G42" s="22">
        <f t="shared" si="32"/>
        <v>1</v>
      </c>
      <c r="H42" s="24">
        <f t="shared" si="26"/>
        <v>1</v>
      </c>
      <c r="I42" s="39">
        <f t="shared" si="27"/>
        <v>6000</v>
      </c>
      <c r="J42" s="38">
        <f t="shared" si="33"/>
        <v>6000</v>
      </c>
      <c r="K42" s="40">
        <f t="shared" si="28"/>
        <v>2.7940505350606774E-2</v>
      </c>
      <c r="L42" s="22">
        <f t="shared" si="29"/>
        <v>2.7940505350606774E-2</v>
      </c>
      <c r="M42" s="24">
        <f t="shared" si="30"/>
        <v>2.7940505350606774E-2</v>
      </c>
      <c r="N42" s="2"/>
      <c r="O42" s="2"/>
      <c r="P42" s="2"/>
      <c r="Q42" s="59"/>
      <c r="R42" s="219"/>
      <c r="S42" s="219"/>
      <c r="T42" s="219"/>
      <c r="U42" s="56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1500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3000</v>
      </c>
      <c r="AF42" s="122">
        <f t="shared" si="31"/>
        <v>0.25</v>
      </c>
      <c r="AG42" s="147">
        <f t="shared" si="34"/>
        <v>1500</v>
      </c>
      <c r="AH42" s="123">
        <f t="shared" si="35"/>
        <v>1</v>
      </c>
      <c r="AI42" s="112">
        <f t="shared" si="35"/>
        <v>6000</v>
      </c>
      <c r="AJ42" s="148">
        <f t="shared" si="36"/>
        <v>1500</v>
      </c>
      <c r="AK42" s="147">
        <f t="shared" si="37"/>
        <v>4500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potatoes: kg produced</v>
      </c>
      <c r="B43" s="104">
        <f>IF([1]Summ!$J1078="",0,[1]Summ!$J1078)</f>
        <v>432</v>
      </c>
      <c r="C43" s="104">
        <f>IF([1]Summ!$K1078="",0,[1]Summ!$K1078)</f>
        <v>-432</v>
      </c>
      <c r="D43" s="38">
        <f t="shared" si="25"/>
        <v>0</v>
      </c>
      <c r="E43" s="75">
        <f>Middle!E43</f>
        <v>1</v>
      </c>
      <c r="F43" s="75">
        <f>Middle!F43</f>
        <v>1</v>
      </c>
      <c r="G43" s="22">
        <f t="shared" si="32"/>
        <v>1</v>
      </c>
      <c r="H43" s="24">
        <f t="shared" si="26"/>
        <v>1</v>
      </c>
      <c r="I43" s="39">
        <f t="shared" si="27"/>
        <v>0</v>
      </c>
      <c r="J43" s="38">
        <f t="shared" si="33"/>
        <v>438.62040563191448</v>
      </c>
      <c r="K43" s="40">
        <f t="shared" si="28"/>
        <v>2.0117163852436878E-3</v>
      </c>
      <c r="L43" s="22">
        <f t="shared" si="29"/>
        <v>2.0117163852436878E-3</v>
      </c>
      <c r="M43" s="24">
        <f t="shared" si="30"/>
        <v>2.0425459650739702E-3</v>
      </c>
      <c r="N43" s="2"/>
      <c r="O43" s="2"/>
      <c r="P43" s="2"/>
      <c r="Q43" s="56"/>
      <c r="R43" s="56"/>
      <c r="S43" s="56"/>
      <c r="T43" s="56"/>
      <c r="U43" s="56"/>
      <c r="V43" s="56"/>
      <c r="W43" s="115"/>
      <c r="X43" s="118"/>
      <c r="Y43" s="110"/>
      <c r="Z43" s="156">
        <f>Poor!Z43</f>
        <v>0.25</v>
      </c>
      <c r="AA43" s="147">
        <f t="shared" si="38"/>
        <v>109.65510140797862</v>
      </c>
      <c r="AB43" s="156">
        <f>Poor!AB43</f>
        <v>0.25</v>
      </c>
      <c r="AC43" s="147">
        <f t="shared" si="39"/>
        <v>109.65510140797862</v>
      </c>
      <c r="AD43" s="156">
        <f>Poor!AD43</f>
        <v>0.25</v>
      </c>
      <c r="AE43" s="147">
        <f t="shared" si="40"/>
        <v>109.65510140797862</v>
      </c>
      <c r="AF43" s="122">
        <f t="shared" si="31"/>
        <v>0.25</v>
      </c>
      <c r="AG43" s="147">
        <f t="shared" si="34"/>
        <v>109.65510140797862</v>
      </c>
      <c r="AH43" s="123">
        <f t="shared" si="35"/>
        <v>1</v>
      </c>
      <c r="AI43" s="112">
        <f t="shared" si="35"/>
        <v>438.62040563191448</v>
      </c>
      <c r="AJ43" s="148">
        <f t="shared" si="36"/>
        <v>219.31020281595724</v>
      </c>
      <c r="AK43" s="147">
        <f t="shared" si="37"/>
        <v>219.31020281595724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>WILD FOODS -- see worksheet Data 3</v>
      </c>
      <c r="B44" s="104">
        <f>IF([1]Summ!$J1079="",0,[1]Summ!$J1079)</f>
        <v>0</v>
      </c>
      <c r="C44" s="104">
        <f>IF([1]Summ!$K1079="",0,[1]Summ!$K1079)</f>
        <v>0</v>
      </c>
      <c r="D44" s="38">
        <f t="shared" si="25"/>
        <v>0</v>
      </c>
      <c r="E44" s="75">
        <f>Middle!E44</f>
        <v>1</v>
      </c>
      <c r="F44" s="75">
        <f>Middle!F44</f>
        <v>1</v>
      </c>
      <c r="G44" s="22">
        <f t="shared" si="32"/>
        <v>1</v>
      </c>
      <c r="H44" s="24">
        <f t="shared" si="26"/>
        <v>1</v>
      </c>
      <c r="I44" s="39">
        <f t="shared" si="27"/>
        <v>0</v>
      </c>
      <c r="J44" s="38">
        <f t="shared" si="33"/>
        <v>0</v>
      </c>
      <c r="K44" s="40">
        <f t="shared" si="28"/>
        <v>0</v>
      </c>
      <c r="L44" s="22">
        <f t="shared" si="29"/>
        <v>0</v>
      </c>
      <c r="M44" s="24">
        <f t="shared" si="30"/>
        <v>0</v>
      </c>
      <c r="N44" s="2"/>
      <c r="O44" s="2"/>
      <c r="P44" s="2"/>
      <c r="Q44" s="59"/>
      <c r="R44" s="219"/>
      <c r="S44" s="219"/>
      <c r="T44" s="219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0</v>
      </c>
      <c r="AB44" s="156">
        <f>Poor!AB44</f>
        <v>0.25</v>
      </c>
      <c r="AC44" s="147">
        <f t="shared" si="39"/>
        <v>0</v>
      </c>
      <c r="AD44" s="156">
        <f>Poor!AD44</f>
        <v>0.25</v>
      </c>
      <c r="AE44" s="147">
        <f t="shared" si="40"/>
        <v>0</v>
      </c>
      <c r="AF44" s="122">
        <f t="shared" si="31"/>
        <v>0.25</v>
      </c>
      <c r="AG44" s="147">
        <f t="shared" si="34"/>
        <v>0</v>
      </c>
      <c r="AH44" s="123">
        <f t="shared" si="35"/>
        <v>1</v>
      </c>
      <c r="AI44" s="112">
        <f t="shared" si="35"/>
        <v>0</v>
      </c>
      <c r="AJ44" s="148">
        <f t="shared" si="36"/>
        <v>0</v>
      </c>
      <c r="AK44" s="147">
        <f t="shared" si="37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>Agricultural cash income -- see Data2</v>
      </c>
      <c r="B45" s="104">
        <f>IF([1]Summ!$J1080="",0,[1]Summ!$J1080)</f>
        <v>0</v>
      </c>
      <c r="C45" s="104">
        <f>IF([1]Summ!$K1080="",0,[1]Summ!$K1080)</f>
        <v>0</v>
      </c>
      <c r="D45" s="38">
        <f t="shared" si="25"/>
        <v>0</v>
      </c>
      <c r="E45" s="75">
        <f>Middle!E45</f>
        <v>1</v>
      </c>
      <c r="F45" s="75">
        <f>Middle!F45</f>
        <v>1</v>
      </c>
      <c r="G45" s="22">
        <f t="shared" si="32"/>
        <v>1</v>
      </c>
      <c r="H45" s="24">
        <f t="shared" si="26"/>
        <v>1</v>
      </c>
      <c r="I45" s="39">
        <f t="shared" si="27"/>
        <v>0</v>
      </c>
      <c r="J45" s="38">
        <f t="shared" si="33"/>
        <v>0</v>
      </c>
      <c r="K45" s="40">
        <f t="shared" si="28"/>
        <v>0</v>
      </c>
      <c r="L45" s="22">
        <f t="shared" si="29"/>
        <v>0</v>
      </c>
      <c r="M45" s="24">
        <f t="shared" si="30"/>
        <v>0</v>
      </c>
      <c r="N45" s="2"/>
      <c r="O45" s="2"/>
      <c r="P45" s="2"/>
      <c r="Q45" s="2"/>
      <c r="R45" s="2"/>
      <c r="S45" s="2"/>
      <c r="T45" s="69"/>
      <c r="U45" s="56"/>
      <c r="V45" s="56"/>
      <c r="W45" s="110"/>
      <c r="X45" s="118"/>
      <c r="Y45" s="110"/>
      <c r="Z45" s="156">
        <f>Poor!Z45</f>
        <v>0.25</v>
      </c>
      <c r="AA45" s="147">
        <f t="shared" si="38"/>
        <v>0</v>
      </c>
      <c r="AB45" s="156">
        <f>Poor!AB45</f>
        <v>0.25</v>
      </c>
      <c r="AC45" s="147">
        <f t="shared" si="39"/>
        <v>0</v>
      </c>
      <c r="AD45" s="156">
        <f>Poor!AD45</f>
        <v>0.25</v>
      </c>
      <c r="AE45" s="147">
        <f t="shared" si="40"/>
        <v>0</v>
      </c>
      <c r="AF45" s="122">
        <f t="shared" si="31"/>
        <v>0.25</v>
      </c>
      <c r="AG45" s="147">
        <f t="shared" si="34"/>
        <v>0</v>
      </c>
      <c r="AH45" s="123">
        <f t="shared" si="35"/>
        <v>1</v>
      </c>
      <c r="AI45" s="112">
        <f t="shared" si="35"/>
        <v>0</v>
      </c>
      <c r="AJ45" s="148">
        <f t="shared" si="36"/>
        <v>0</v>
      </c>
      <c r="AK45" s="147">
        <f t="shared" si="37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Construction cash income -- see Data2</v>
      </c>
      <c r="B46" s="104">
        <f>IF([1]Summ!$J1081="",0,[1]Summ!$J1081)</f>
        <v>0</v>
      </c>
      <c r="C46" s="104">
        <f>IF([1]Summ!$K1081="",0,[1]Summ!$K1081)</f>
        <v>0</v>
      </c>
      <c r="D46" s="38">
        <f t="shared" si="25"/>
        <v>0</v>
      </c>
      <c r="E46" s="75">
        <f>Middle!E46</f>
        <v>1</v>
      </c>
      <c r="F46" s="75">
        <f>Middle!F46</f>
        <v>1</v>
      </c>
      <c r="G46" s="22">
        <f t="shared" si="32"/>
        <v>1</v>
      </c>
      <c r="H46" s="24">
        <f t="shared" si="26"/>
        <v>1</v>
      </c>
      <c r="I46" s="39">
        <f t="shared" si="27"/>
        <v>0</v>
      </c>
      <c r="J46" s="38">
        <f t="shared" si="33"/>
        <v>0</v>
      </c>
      <c r="K46" s="40">
        <f t="shared" si="28"/>
        <v>0</v>
      </c>
      <c r="L46" s="22">
        <f t="shared" si="29"/>
        <v>0</v>
      </c>
      <c r="M46" s="24">
        <f t="shared" si="30"/>
        <v>0</v>
      </c>
      <c r="N46" s="2"/>
      <c r="O46" s="2"/>
      <c r="P46" s="2"/>
      <c r="Q46" s="2"/>
      <c r="R46" s="2"/>
      <c r="S46" s="2"/>
      <c r="T46" s="69"/>
      <c r="U46" s="56"/>
      <c r="V46" s="56"/>
      <c r="W46" s="110"/>
      <c r="X46" s="118"/>
      <c r="Y46" s="110"/>
      <c r="Z46" s="156">
        <f>Poor!Z46</f>
        <v>0.25</v>
      </c>
      <c r="AA46" s="147">
        <f t="shared" si="38"/>
        <v>0</v>
      </c>
      <c r="AB46" s="156">
        <f>Poor!AB46</f>
        <v>0.25</v>
      </c>
      <c r="AC46" s="147">
        <f t="shared" si="39"/>
        <v>0</v>
      </c>
      <c r="AD46" s="156">
        <f>Poor!AD46</f>
        <v>0.25</v>
      </c>
      <c r="AE46" s="147">
        <f t="shared" si="40"/>
        <v>0</v>
      </c>
      <c r="AF46" s="122">
        <f t="shared" si="31"/>
        <v>0.25</v>
      </c>
      <c r="AG46" s="147">
        <f t="shared" si="34"/>
        <v>0</v>
      </c>
      <c r="AH46" s="123">
        <f t="shared" si="35"/>
        <v>1</v>
      </c>
      <c r="AI46" s="112">
        <f t="shared" si="35"/>
        <v>0</v>
      </c>
      <c r="AJ46" s="148">
        <f t="shared" si="36"/>
        <v>0</v>
      </c>
      <c r="AK46" s="147">
        <f t="shared" si="37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>Domestic work cash income -- see Data2</v>
      </c>
      <c r="B47" s="104">
        <f>IF([1]Summ!$J1082="",0,[1]Summ!$J1082)</f>
        <v>0</v>
      </c>
      <c r="C47" s="104">
        <f>IF([1]Summ!$K1082="",0,[1]Summ!$K1082)</f>
        <v>0</v>
      </c>
      <c r="D47" s="38">
        <f t="shared" si="25"/>
        <v>0</v>
      </c>
      <c r="E47" s="75">
        <f>Middle!E47</f>
        <v>1</v>
      </c>
      <c r="F47" s="75">
        <f>Middle!F47</f>
        <v>1</v>
      </c>
      <c r="G47" s="22">
        <f t="shared" si="32"/>
        <v>1</v>
      </c>
      <c r="H47" s="24">
        <f t="shared" si="26"/>
        <v>1</v>
      </c>
      <c r="I47" s="39">
        <f t="shared" si="27"/>
        <v>0</v>
      </c>
      <c r="J47" s="38">
        <f t="shared" si="33"/>
        <v>0</v>
      </c>
      <c r="K47" s="40">
        <f t="shared" si="28"/>
        <v>0</v>
      </c>
      <c r="L47" s="22">
        <f t="shared" si="29"/>
        <v>0</v>
      </c>
      <c r="M47" s="24">
        <f t="shared" si="30"/>
        <v>0</v>
      </c>
      <c r="N47" s="2"/>
      <c r="O47" s="2"/>
      <c r="P47" s="2"/>
      <c r="Q47" s="2"/>
      <c r="R47" s="2"/>
      <c r="S47" s="2"/>
      <c r="T47" s="2"/>
      <c r="U47" s="56"/>
      <c r="V47" s="56"/>
      <c r="W47" s="110"/>
      <c r="X47" s="118"/>
      <c r="Y47" s="110"/>
      <c r="Z47" s="156">
        <f>Poor!Z47</f>
        <v>0.25</v>
      </c>
      <c r="AA47" s="147">
        <f t="shared" si="38"/>
        <v>0</v>
      </c>
      <c r="AB47" s="156">
        <f>Poor!AB47</f>
        <v>0.25</v>
      </c>
      <c r="AC47" s="147">
        <f t="shared" si="39"/>
        <v>0</v>
      </c>
      <c r="AD47" s="156">
        <f>Poor!AD47</f>
        <v>0.25</v>
      </c>
      <c r="AE47" s="147">
        <f t="shared" si="40"/>
        <v>0</v>
      </c>
      <c r="AF47" s="122">
        <f t="shared" si="31"/>
        <v>0.25</v>
      </c>
      <c r="AG47" s="147">
        <f t="shared" si="34"/>
        <v>0</v>
      </c>
      <c r="AH47" s="123">
        <f t="shared" si="35"/>
        <v>1</v>
      </c>
      <c r="AI47" s="112">
        <f t="shared" si="35"/>
        <v>0</v>
      </c>
      <c r="AJ47" s="148">
        <f t="shared" si="36"/>
        <v>0</v>
      </c>
      <c r="AK47" s="147">
        <f t="shared" si="37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>Labour migration(formal employment): no. people per HH</v>
      </c>
      <c r="B48" s="104">
        <f>IF([1]Summ!$J1083="",0,[1]Summ!$J1083)</f>
        <v>75600</v>
      </c>
      <c r="C48" s="104">
        <f>IF([1]Summ!$K1083="",0,[1]Summ!$K1083)</f>
        <v>0</v>
      </c>
      <c r="D48" s="38">
        <f t="shared" si="25"/>
        <v>75600</v>
      </c>
      <c r="E48" s="75">
        <f>Middle!E48</f>
        <v>1</v>
      </c>
      <c r="F48" s="75">
        <f>Middle!F48</f>
        <v>1</v>
      </c>
      <c r="G48" s="22">
        <f t="shared" si="32"/>
        <v>1</v>
      </c>
      <c r="H48" s="24">
        <f t="shared" si="26"/>
        <v>1</v>
      </c>
      <c r="I48" s="39">
        <f t="shared" si="27"/>
        <v>75600</v>
      </c>
      <c r="J48" s="38">
        <f t="shared" si="33"/>
        <v>75600</v>
      </c>
      <c r="K48" s="40">
        <f t="shared" si="28"/>
        <v>0.35205036741764534</v>
      </c>
      <c r="L48" s="22">
        <f t="shared" si="29"/>
        <v>0.35205036741764534</v>
      </c>
      <c r="M48" s="24">
        <f t="shared" si="30"/>
        <v>0.35205036741764534</v>
      </c>
      <c r="N48" s="2"/>
      <c r="O48" s="2"/>
      <c r="P48" s="2"/>
      <c r="Q48" s="2"/>
      <c r="R48" s="2"/>
      <c r="S48" s="2"/>
      <c r="T48" s="2"/>
      <c r="U48" s="56"/>
      <c r="V48" s="56"/>
      <c r="W48" s="110"/>
      <c r="X48" s="118"/>
      <c r="Y48" s="110"/>
      <c r="Z48" s="156">
        <f>Poor!Z48</f>
        <v>0.25</v>
      </c>
      <c r="AA48" s="147">
        <f t="shared" si="38"/>
        <v>18900</v>
      </c>
      <c r="AB48" s="156">
        <f>Poor!AB48</f>
        <v>0.25</v>
      </c>
      <c r="AC48" s="147">
        <f t="shared" si="39"/>
        <v>18900</v>
      </c>
      <c r="AD48" s="156">
        <f>Poor!AD48</f>
        <v>0.25</v>
      </c>
      <c r="AE48" s="147">
        <f t="shared" si="40"/>
        <v>18900</v>
      </c>
      <c r="AF48" s="122">
        <f t="shared" si="31"/>
        <v>0.25</v>
      </c>
      <c r="AG48" s="147">
        <f t="shared" si="34"/>
        <v>18900</v>
      </c>
      <c r="AH48" s="123">
        <f t="shared" si="35"/>
        <v>1</v>
      </c>
      <c r="AI48" s="112">
        <f t="shared" si="35"/>
        <v>75600</v>
      </c>
      <c r="AJ48" s="148">
        <f t="shared" si="36"/>
        <v>37800</v>
      </c>
      <c r="AK48" s="147">
        <f t="shared" si="37"/>
        <v>37800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Small business -- see Data2</v>
      </c>
      <c r="B49" s="104">
        <f>IF([1]Summ!$J1084="",0,[1]Summ!$J1084)</f>
        <v>62700</v>
      </c>
      <c r="C49" s="104">
        <f>IF([1]Summ!$K1084="",0,[1]Summ!$K1084)</f>
        <v>0</v>
      </c>
      <c r="D49" s="38">
        <f t="shared" si="25"/>
        <v>62700</v>
      </c>
      <c r="E49" s="75">
        <f>Middle!E49</f>
        <v>1</v>
      </c>
      <c r="F49" s="75">
        <f>Middle!F49</f>
        <v>1</v>
      </c>
      <c r="G49" s="22">
        <f t="shared" si="32"/>
        <v>1</v>
      </c>
      <c r="H49" s="24">
        <f t="shared" si="26"/>
        <v>1</v>
      </c>
      <c r="I49" s="39">
        <f t="shared" si="27"/>
        <v>62700</v>
      </c>
      <c r="J49" s="38">
        <f t="shared" si="33"/>
        <v>62700</v>
      </c>
      <c r="K49" s="40">
        <f t="shared" si="28"/>
        <v>0.29197828091384082</v>
      </c>
      <c r="L49" s="22">
        <f t="shared" si="29"/>
        <v>0.29197828091384082</v>
      </c>
      <c r="M49" s="24">
        <f t="shared" si="30"/>
        <v>0.29197828091384082</v>
      </c>
      <c r="N49" s="2"/>
      <c r="O49" s="2"/>
      <c r="P49" s="2"/>
      <c r="Q49" s="2"/>
      <c r="R49" s="2"/>
      <c r="S49" s="2"/>
      <c r="T49" s="2"/>
      <c r="U49" s="56"/>
      <c r="V49" s="56"/>
      <c r="W49" s="110"/>
      <c r="X49" s="118"/>
      <c r="Y49" s="110"/>
      <c r="Z49" s="156">
        <f>Poor!Z49</f>
        <v>0.25</v>
      </c>
      <c r="AA49" s="147">
        <f t="shared" si="38"/>
        <v>15675</v>
      </c>
      <c r="AB49" s="156">
        <f>Poor!AB49</f>
        <v>0.25</v>
      </c>
      <c r="AC49" s="147">
        <f t="shared" si="39"/>
        <v>15675</v>
      </c>
      <c r="AD49" s="156">
        <f>Poor!AD49</f>
        <v>0.25</v>
      </c>
      <c r="AE49" s="147">
        <f t="shared" si="40"/>
        <v>15675</v>
      </c>
      <c r="AF49" s="122">
        <f t="shared" si="31"/>
        <v>0.25</v>
      </c>
      <c r="AG49" s="147">
        <f t="shared" si="34"/>
        <v>15675</v>
      </c>
      <c r="AH49" s="123">
        <f t="shared" si="35"/>
        <v>1</v>
      </c>
      <c r="AI49" s="112">
        <f t="shared" si="35"/>
        <v>62700</v>
      </c>
      <c r="AJ49" s="148">
        <f t="shared" si="36"/>
        <v>31350</v>
      </c>
      <c r="AK49" s="147">
        <f t="shared" si="37"/>
        <v>31350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>Social development -- see Data2</v>
      </c>
      <c r="B50" s="104">
        <f>IF([1]Summ!$J1085="",0,[1]Summ!$J1085)</f>
        <v>7620</v>
      </c>
      <c r="C50" s="104">
        <f>IF([1]Summ!$K1085="",0,[1]Summ!$K1085)</f>
        <v>0</v>
      </c>
      <c r="D50" s="38">
        <f t="shared" si="25"/>
        <v>7620</v>
      </c>
      <c r="E50" s="75">
        <f>Middle!E50</f>
        <v>1</v>
      </c>
      <c r="F50" s="75">
        <f>Middle!F50</f>
        <v>1</v>
      </c>
      <c r="G50" s="22">
        <f t="shared" si="32"/>
        <v>1</v>
      </c>
      <c r="H50" s="24">
        <f t="shared" si="26"/>
        <v>1</v>
      </c>
      <c r="I50" s="39">
        <f t="shared" si="27"/>
        <v>7620</v>
      </c>
      <c r="J50" s="38">
        <f t="shared" si="33"/>
        <v>7620</v>
      </c>
      <c r="K50" s="40">
        <f t="shared" si="28"/>
        <v>3.5484441795270605E-2</v>
      </c>
      <c r="L50" s="22">
        <f t="shared" si="29"/>
        <v>3.5484441795270605E-2</v>
      </c>
      <c r="M50" s="24">
        <f t="shared" si="30"/>
        <v>3.5484441795270605E-2</v>
      </c>
      <c r="N50" s="2"/>
      <c r="O50" s="2"/>
      <c r="P50" s="2"/>
      <c r="Q50" s="2"/>
      <c r="R50" s="2"/>
      <c r="S50" s="2"/>
      <c r="T50" s="2"/>
      <c r="U50" s="56"/>
      <c r="V50" s="56"/>
      <c r="W50" s="110"/>
      <c r="X50" s="118"/>
      <c r="Y50" s="110"/>
      <c r="Z50" s="156">
        <f>Poor!Z55</f>
        <v>0.25</v>
      </c>
      <c r="AA50" s="147">
        <f t="shared" si="38"/>
        <v>1905</v>
      </c>
      <c r="AB50" s="156">
        <f>Poor!AB55</f>
        <v>0.25</v>
      </c>
      <c r="AC50" s="147">
        <f t="shared" si="39"/>
        <v>1905</v>
      </c>
      <c r="AD50" s="156">
        <f>Poor!AD55</f>
        <v>0.25</v>
      </c>
      <c r="AE50" s="147">
        <f t="shared" si="40"/>
        <v>1905</v>
      </c>
      <c r="AF50" s="122">
        <f t="shared" si="31"/>
        <v>0.25</v>
      </c>
      <c r="AG50" s="147">
        <f t="shared" si="34"/>
        <v>1905</v>
      </c>
      <c r="AH50" s="123">
        <f t="shared" si="35"/>
        <v>1</v>
      </c>
      <c r="AI50" s="112">
        <f t="shared" si="35"/>
        <v>7620</v>
      </c>
      <c r="AJ50" s="148">
        <f t="shared" si="36"/>
        <v>3810</v>
      </c>
      <c r="AK50" s="147">
        <f t="shared" si="37"/>
        <v>3810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>Public works -- see Data2</v>
      </c>
      <c r="B51" s="104">
        <f>IF([1]Summ!$J1086="",0,[1]Summ!$J1086)</f>
        <v>0</v>
      </c>
      <c r="C51" s="104">
        <f>IF([1]Summ!$K1086="",0,[1]Summ!$K1086)</f>
        <v>0</v>
      </c>
      <c r="D51" s="38">
        <f t="shared" si="25"/>
        <v>0</v>
      </c>
      <c r="E51" s="75">
        <f>Middle!E51</f>
        <v>1</v>
      </c>
      <c r="F51" s="75">
        <f>Middle!F51</f>
        <v>1</v>
      </c>
      <c r="G51" s="22">
        <f t="shared" si="32"/>
        <v>1</v>
      </c>
      <c r="H51" s="24">
        <f t="shared" si="26"/>
        <v>1</v>
      </c>
      <c r="I51" s="39">
        <f t="shared" si="27"/>
        <v>0</v>
      </c>
      <c r="J51" s="38">
        <f t="shared" si="33"/>
        <v>0</v>
      </c>
      <c r="K51" s="40">
        <f t="shared" si="28"/>
        <v>0</v>
      </c>
      <c r="L51" s="22">
        <f t="shared" si="29"/>
        <v>0</v>
      </c>
      <c r="M51" s="24">
        <f t="shared" si="30"/>
        <v>0</v>
      </c>
      <c r="N51" s="2"/>
      <c r="O51" s="2"/>
      <c r="P51" s="2"/>
      <c r="Q51" s="2"/>
      <c r="R51" s="2"/>
      <c r="S51" s="2"/>
      <c r="T51" s="2"/>
      <c r="U51" s="56"/>
      <c r="V51" s="56"/>
      <c r="W51" s="110"/>
      <c r="X51" s="118"/>
      <c r="Y51" s="110"/>
      <c r="Z51" s="156">
        <f>Poor!Z56</f>
        <v>0.25</v>
      </c>
      <c r="AA51" s="147">
        <f t="shared" si="38"/>
        <v>0</v>
      </c>
      <c r="AB51" s="156">
        <f>Poor!AB56</f>
        <v>0.25</v>
      </c>
      <c r="AC51" s="147">
        <f t="shared" si="39"/>
        <v>0</v>
      </c>
      <c r="AD51" s="156">
        <f>Poor!AD56</f>
        <v>0.25</v>
      </c>
      <c r="AE51" s="147">
        <f t="shared" si="40"/>
        <v>0</v>
      </c>
      <c r="AF51" s="122">
        <f t="shared" si="31"/>
        <v>0.25</v>
      </c>
      <c r="AG51" s="147">
        <f t="shared" si="34"/>
        <v>0</v>
      </c>
      <c r="AH51" s="123">
        <f t="shared" si="35"/>
        <v>1</v>
      </c>
      <c r="AI51" s="112">
        <f t="shared" si="35"/>
        <v>0</v>
      </c>
      <c r="AJ51" s="148">
        <f t="shared" si="36"/>
        <v>0</v>
      </c>
      <c r="AK51" s="147">
        <f t="shared" si="37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>Gifts/social support: type (Child support, Pension and Foster Care)</v>
      </c>
      <c r="B52" s="104">
        <f>IF([1]Summ!$J1087="",0,[1]Summ!$J1087)</f>
        <v>17040</v>
      </c>
      <c r="C52" s="104">
        <f>IF([1]Summ!$K1087="",0,[1]Summ!$K1087)</f>
        <v>0</v>
      </c>
      <c r="D52" s="38">
        <f t="shared" si="25"/>
        <v>17040</v>
      </c>
      <c r="E52" s="75">
        <f>Middle!E52</f>
        <v>1</v>
      </c>
      <c r="F52" s="75">
        <f>Middle!F52</f>
        <v>1</v>
      </c>
      <c r="G52" s="22">
        <f t="shared" si="32"/>
        <v>1</v>
      </c>
      <c r="H52" s="24">
        <f t="shared" si="26"/>
        <v>1</v>
      </c>
      <c r="I52" s="39">
        <f t="shared" si="27"/>
        <v>17040</v>
      </c>
      <c r="J52" s="38">
        <f t="shared" si="33"/>
        <v>17040</v>
      </c>
      <c r="K52" s="40">
        <f t="shared" si="28"/>
        <v>7.9351035195723243E-2</v>
      </c>
      <c r="L52" s="22">
        <f t="shared" si="29"/>
        <v>7.9351035195723243E-2</v>
      </c>
      <c r="M52" s="24">
        <f t="shared" si="30"/>
        <v>7.9351035195723243E-2</v>
      </c>
      <c r="N52" s="2"/>
      <c r="O52" s="2"/>
      <c r="P52" s="2"/>
      <c r="Q52" s="2"/>
      <c r="R52" s="2"/>
      <c r="S52" s="2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4260</v>
      </c>
      <c r="AB52" s="156">
        <f>Poor!AB57</f>
        <v>0.25</v>
      </c>
      <c r="AC52" s="147">
        <f t="shared" si="39"/>
        <v>4260</v>
      </c>
      <c r="AD52" s="156">
        <f>Poor!AD57</f>
        <v>0.25</v>
      </c>
      <c r="AE52" s="147">
        <f t="shared" si="40"/>
        <v>4260</v>
      </c>
      <c r="AF52" s="122">
        <f t="shared" si="31"/>
        <v>0.25</v>
      </c>
      <c r="AG52" s="147">
        <f t="shared" si="34"/>
        <v>4260</v>
      </c>
      <c r="AH52" s="123">
        <f t="shared" si="35"/>
        <v>1</v>
      </c>
      <c r="AI52" s="112">
        <f t="shared" si="35"/>
        <v>17040</v>
      </c>
      <c r="AJ52" s="148">
        <f t="shared" si="36"/>
        <v>8520</v>
      </c>
      <c r="AK52" s="147">
        <f t="shared" si="37"/>
        <v>8520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>Remittances: no. times per year</v>
      </c>
      <c r="B53" s="104">
        <f>IF([1]Summ!$J1088="",0,[1]Summ!$J1088)</f>
        <v>9000</v>
      </c>
      <c r="C53" s="104">
        <f>IF([1]Summ!$K1088="",0,[1]Summ!$K1088)</f>
        <v>0</v>
      </c>
      <c r="D53" s="38">
        <f t="shared" si="25"/>
        <v>9000</v>
      </c>
      <c r="E53" s="75">
        <f>Middle!E53</f>
        <v>1</v>
      </c>
      <c r="F53" s="75">
        <f>Middle!F53</f>
        <v>1</v>
      </c>
      <c r="G53" s="22">
        <f t="shared" si="32"/>
        <v>1</v>
      </c>
      <c r="H53" s="24">
        <f t="shared" ref="H53:H64" si="41">(E53*F53)</f>
        <v>1</v>
      </c>
      <c r="I53" s="39">
        <f t="shared" ref="I53:I64" si="42">D53*H53</f>
        <v>9000</v>
      </c>
      <c r="J53" s="38">
        <f t="shared" si="33"/>
        <v>9000</v>
      </c>
      <c r="K53" s="40">
        <f t="shared" ref="K53:K64" si="43">(B53/B$65)</f>
        <v>4.1910758025910162E-2</v>
      </c>
      <c r="L53" s="22">
        <f t="shared" ref="L53:L64" si="44">(K53*H53)</f>
        <v>4.1910758025910162E-2</v>
      </c>
      <c r="M53" s="24">
        <f t="shared" ref="M53:M64" si="45">J53/B$65</f>
        <v>4.1910758025910162E-2</v>
      </c>
      <c r="N53" s="2"/>
      <c r="O53" s="2"/>
      <c r="P53" s="2"/>
      <c r="Q53" s="2"/>
      <c r="R53" s="2"/>
      <c r="S53" s="2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/>
      </c>
      <c r="B54" s="104">
        <f>IF([1]Summ!$J1089="",0,[1]Summ!$J1089)</f>
        <v>0</v>
      </c>
      <c r="C54" s="104">
        <f>IF([1]Summ!$K1089="",0,[1]Summ!$K1089)</f>
        <v>0</v>
      </c>
      <c r="D54" s="38">
        <f t="shared" si="25"/>
        <v>0</v>
      </c>
      <c r="E54" s="75">
        <f>Middle!E54</f>
        <v>1</v>
      </c>
      <c r="F54" s="75">
        <f>Middle!F54</f>
        <v>1</v>
      </c>
      <c r="G54" s="22">
        <f t="shared" si="32"/>
        <v>1</v>
      </c>
      <c r="H54" s="24">
        <f t="shared" si="41"/>
        <v>1</v>
      </c>
      <c r="I54" s="39">
        <f t="shared" si="42"/>
        <v>0</v>
      </c>
      <c r="J54" s="38">
        <f t="shared" si="33"/>
        <v>0</v>
      </c>
      <c r="K54" s="40">
        <f t="shared" si="43"/>
        <v>0</v>
      </c>
      <c r="L54" s="22">
        <f t="shared" si="44"/>
        <v>0</v>
      </c>
      <c r="M54" s="24">
        <f t="shared" si="45"/>
        <v>0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/>
      </c>
      <c r="B55" s="104">
        <f>IF([1]Summ!$J1090="",0,[1]Summ!$J1090)</f>
        <v>0</v>
      </c>
      <c r="C55" s="104">
        <f>IF([1]Summ!$K1090="",0,[1]Summ!$K1090)</f>
        <v>0</v>
      </c>
      <c r="D55" s="38">
        <f t="shared" si="25"/>
        <v>0</v>
      </c>
      <c r="E55" s="75">
        <f>Middle!E55</f>
        <v>1</v>
      </c>
      <c r="F55" s="75">
        <f>Middle!F55</f>
        <v>1</v>
      </c>
      <c r="G55" s="22">
        <f t="shared" si="32"/>
        <v>1</v>
      </c>
      <c r="H55" s="24">
        <f t="shared" si="41"/>
        <v>1</v>
      </c>
      <c r="I55" s="39">
        <f t="shared" si="42"/>
        <v>0</v>
      </c>
      <c r="J55" s="38">
        <f t="shared" si="33"/>
        <v>0</v>
      </c>
      <c r="K55" s="40">
        <f t="shared" si="43"/>
        <v>0</v>
      </c>
      <c r="L55" s="22">
        <f t="shared" si="44"/>
        <v>0</v>
      </c>
      <c r="M55" s="24">
        <f t="shared" si="45"/>
        <v>0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/>
      </c>
      <c r="B56" s="104">
        <f>IF([1]Summ!$J1091="",0,[1]Summ!$J1091)</f>
        <v>0</v>
      </c>
      <c r="C56" s="104">
        <f>IF([1]Summ!$K1091="",0,[1]Summ!$K1091)</f>
        <v>0</v>
      </c>
      <c r="D56" s="38">
        <f t="shared" si="25"/>
        <v>0</v>
      </c>
      <c r="E56" s="75">
        <f>Middle!E56</f>
        <v>1</v>
      </c>
      <c r="F56" s="75">
        <f>Middle!F56</f>
        <v>1</v>
      </c>
      <c r="G56" s="22">
        <f t="shared" si="32"/>
        <v>1</v>
      </c>
      <c r="H56" s="24">
        <f t="shared" si="41"/>
        <v>1</v>
      </c>
      <c r="I56" s="39">
        <f t="shared" si="42"/>
        <v>0</v>
      </c>
      <c r="J56" s="38">
        <f t="shared" si="33"/>
        <v>0</v>
      </c>
      <c r="K56" s="40">
        <f t="shared" si="43"/>
        <v>0</v>
      </c>
      <c r="L56" s="22">
        <f t="shared" si="44"/>
        <v>0</v>
      </c>
      <c r="M56" s="24">
        <f t="shared" si="45"/>
        <v>0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/>
      </c>
      <c r="B57" s="104">
        <f>IF([1]Summ!$J1092="",0,[1]Summ!$J1092)</f>
        <v>0</v>
      </c>
      <c r="C57" s="104">
        <f>IF([1]Summ!$K1092="",0,[1]Summ!$K1092)</f>
        <v>0</v>
      </c>
      <c r="D57" s="38">
        <f t="shared" si="25"/>
        <v>0</v>
      </c>
      <c r="E57" s="75">
        <f>Middle!E57</f>
        <v>1</v>
      </c>
      <c r="F57" s="75">
        <f>Middle!F57</f>
        <v>1</v>
      </c>
      <c r="G57" s="22">
        <f t="shared" si="32"/>
        <v>1</v>
      </c>
      <c r="H57" s="24">
        <f t="shared" si="41"/>
        <v>1</v>
      </c>
      <c r="I57" s="39">
        <f t="shared" si="42"/>
        <v>0</v>
      </c>
      <c r="J57" s="38">
        <f t="shared" si="33"/>
        <v>0</v>
      </c>
      <c r="K57" s="40">
        <f t="shared" si="43"/>
        <v>0</v>
      </c>
      <c r="L57" s="22">
        <f t="shared" si="44"/>
        <v>0</v>
      </c>
      <c r="M57" s="24">
        <f t="shared" si="45"/>
        <v>0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/>
      </c>
      <c r="B58" s="104">
        <f>IF([1]Summ!$J1093="",0,[1]Summ!$J1093)</f>
        <v>0</v>
      </c>
      <c r="C58" s="104">
        <f>IF([1]Summ!$K1093="",0,[1]Summ!$K1093)</f>
        <v>0</v>
      </c>
      <c r="D58" s="38">
        <f t="shared" si="25"/>
        <v>0</v>
      </c>
      <c r="E58" s="75">
        <f>Middle!E58</f>
        <v>1</v>
      </c>
      <c r="F58" s="75">
        <f>Middle!F58</f>
        <v>1</v>
      </c>
      <c r="G58" s="22">
        <f t="shared" si="32"/>
        <v>1</v>
      </c>
      <c r="H58" s="24">
        <f t="shared" si="41"/>
        <v>1</v>
      </c>
      <c r="I58" s="39">
        <f t="shared" si="42"/>
        <v>0</v>
      </c>
      <c r="J58" s="38">
        <f t="shared" si="33"/>
        <v>0</v>
      </c>
      <c r="K58" s="40">
        <f t="shared" si="43"/>
        <v>0</v>
      </c>
      <c r="L58" s="22">
        <f t="shared" si="44"/>
        <v>0</v>
      </c>
      <c r="M58" s="24">
        <f t="shared" si="45"/>
        <v>0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0</v>
      </c>
      <c r="AB58" s="156">
        <f>Poor!AB58</f>
        <v>0.25</v>
      </c>
      <c r="AC58" s="147">
        <f t="shared" si="39"/>
        <v>0</v>
      </c>
      <c r="AD58" s="156">
        <f>Poor!AD58</f>
        <v>0.25</v>
      </c>
      <c r="AE58" s="147">
        <f t="shared" si="40"/>
        <v>0</v>
      </c>
      <c r="AF58" s="122">
        <f t="shared" si="31"/>
        <v>0.25</v>
      </c>
      <c r="AG58" s="147">
        <f t="shared" si="34"/>
        <v>0</v>
      </c>
      <c r="AH58" s="123">
        <f t="shared" si="35"/>
        <v>1</v>
      </c>
      <c r="AI58" s="112">
        <f t="shared" si="35"/>
        <v>0</v>
      </c>
      <c r="AJ58" s="148">
        <f t="shared" si="36"/>
        <v>0</v>
      </c>
      <c r="AK58" s="147">
        <f t="shared" si="37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/>
      </c>
      <c r="B59" s="104">
        <f>IF([1]Summ!$J1094="",0,[1]Summ!$J1094)</f>
        <v>0</v>
      </c>
      <c r="C59" s="104">
        <f>IF([1]Summ!$K1094="",0,[1]Summ!$K1094)</f>
        <v>0</v>
      </c>
      <c r="D59" s="38">
        <f t="shared" si="25"/>
        <v>0</v>
      </c>
      <c r="E59" s="75">
        <f>Middle!E59</f>
        <v>1</v>
      </c>
      <c r="F59" s="75">
        <f>Middle!F59</f>
        <v>1</v>
      </c>
      <c r="G59" s="22">
        <f t="shared" si="32"/>
        <v>1</v>
      </c>
      <c r="H59" s="24">
        <f t="shared" si="41"/>
        <v>1</v>
      </c>
      <c r="I59" s="39">
        <f t="shared" si="42"/>
        <v>0</v>
      </c>
      <c r="J59" s="38">
        <f t="shared" si="33"/>
        <v>0</v>
      </c>
      <c r="K59" s="40">
        <f t="shared" si="43"/>
        <v>0</v>
      </c>
      <c r="L59" s="22">
        <f t="shared" si="44"/>
        <v>0</v>
      </c>
      <c r="M59" s="24">
        <f t="shared" si="4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0</v>
      </c>
      <c r="AB59" s="156">
        <f>Poor!AB59</f>
        <v>0.25</v>
      </c>
      <c r="AC59" s="147">
        <f t="shared" si="39"/>
        <v>0</v>
      </c>
      <c r="AD59" s="156">
        <f>Poor!AD59</f>
        <v>0.25</v>
      </c>
      <c r="AE59" s="147">
        <f t="shared" si="40"/>
        <v>0</v>
      </c>
      <c r="AF59" s="122">
        <f t="shared" si="31"/>
        <v>0.25</v>
      </c>
      <c r="AG59" s="147">
        <f t="shared" si="34"/>
        <v>0</v>
      </c>
      <c r="AH59" s="123">
        <f t="shared" ref="AH59:AI64" si="46">SUM(Z59,AB59,AD59,AF59)</f>
        <v>1</v>
      </c>
      <c r="AI59" s="112">
        <f t="shared" si="46"/>
        <v>0</v>
      </c>
      <c r="AJ59" s="148">
        <f t="shared" si="36"/>
        <v>0</v>
      </c>
      <c r="AK59" s="147">
        <f t="shared" si="37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/>
      </c>
      <c r="B60" s="104">
        <f>IF([1]Summ!$J1095="",0,[1]Summ!$J1095)</f>
        <v>0</v>
      </c>
      <c r="C60" s="104">
        <f>IF([1]Summ!$K1095="",0,[1]Summ!$K1095)</f>
        <v>0</v>
      </c>
      <c r="D60" s="38">
        <f t="shared" si="25"/>
        <v>0</v>
      </c>
      <c r="E60" s="75">
        <f>Middle!E60</f>
        <v>1</v>
      </c>
      <c r="F60" s="75">
        <f>Middle!F60</f>
        <v>1</v>
      </c>
      <c r="G60" s="22">
        <f t="shared" si="32"/>
        <v>1</v>
      </c>
      <c r="H60" s="24">
        <f t="shared" si="41"/>
        <v>1</v>
      </c>
      <c r="I60" s="39">
        <f t="shared" si="42"/>
        <v>0</v>
      </c>
      <c r="J60" s="38">
        <f t="shared" si="33"/>
        <v>0</v>
      </c>
      <c r="K60" s="40">
        <f t="shared" si="43"/>
        <v>0</v>
      </c>
      <c r="L60" s="22">
        <f t="shared" si="44"/>
        <v>0</v>
      </c>
      <c r="M60" s="24">
        <f t="shared" si="45"/>
        <v>0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0</v>
      </c>
      <c r="AB60" s="156">
        <f>Poor!AB60</f>
        <v>0.25</v>
      </c>
      <c r="AC60" s="147">
        <f t="shared" si="39"/>
        <v>0</v>
      </c>
      <c r="AD60" s="156">
        <f>Poor!AD60</f>
        <v>0.25</v>
      </c>
      <c r="AE60" s="147">
        <f t="shared" si="40"/>
        <v>0</v>
      </c>
      <c r="AF60" s="122">
        <f t="shared" si="31"/>
        <v>0.25</v>
      </c>
      <c r="AG60" s="147">
        <f t="shared" si="34"/>
        <v>0</v>
      </c>
      <c r="AH60" s="123">
        <f t="shared" si="46"/>
        <v>1</v>
      </c>
      <c r="AI60" s="112">
        <f t="shared" si="46"/>
        <v>0</v>
      </c>
      <c r="AJ60" s="148">
        <f t="shared" si="36"/>
        <v>0</v>
      </c>
      <c r="AK60" s="147">
        <f t="shared" si="37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/>
      </c>
      <c r="B61" s="104">
        <f>IF([1]Summ!$J1096="",0,[1]Summ!$J1096)</f>
        <v>0</v>
      </c>
      <c r="C61" s="104">
        <f>IF([1]Summ!$K1096="",0,[1]Summ!$K1096)</f>
        <v>0</v>
      </c>
      <c r="D61" s="38">
        <f t="shared" si="25"/>
        <v>0</v>
      </c>
      <c r="E61" s="75">
        <f>Middle!E61</f>
        <v>1</v>
      </c>
      <c r="F61" s="75">
        <f>Middle!F61</f>
        <v>1</v>
      </c>
      <c r="G61" s="22">
        <f t="shared" si="32"/>
        <v>1</v>
      </c>
      <c r="H61" s="24">
        <f t="shared" si="41"/>
        <v>1</v>
      </c>
      <c r="I61" s="39">
        <f t="shared" si="42"/>
        <v>0</v>
      </c>
      <c r="J61" s="38">
        <f t="shared" si="33"/>
        <v>0</v>
      </c>
      <c r="K61" s="40">
        <f t="shared" si="43"/>
        <v>0</v>
      </c>
      <c r="L61" s="22">
        <f t="shared" si="44"/>
        <v>0</v>
      </c>
      <c r="M61" s="24">
        <f t="shared" si="4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0</v>
      </c>
      <c r="AB61" s="156">
        <f>Poor!AB61</f>
        <v>0.25</v>
      </c>
      <c r="AC61" s="147">
        <f t="shared" si="39"/>
        <v>0</v>
      </c>
      <c r="AD61" s="156">
        <f>Poor!AD61</f>
        <v>0.25</v>
      </c>
      <c r="AE61" s="147">
        <f t="shared" si="40"/>
        <v>0</v>
      </c>
      <c r="AF61" s="122">
        <f t="shared" si="31"/>
        <v>0.25</v>
      </c>
      <c r="AG61" s="147">
        <f t="shared" si="34"/>
        <v>0</v>
      </c>
      <c r="AH61" s="123">
        <f t="shared" si="46"/>
        <v>1</v>
      </c>
      <c r="AI61" s="112">
        <f t="shared" si="46"/>
        <v>0</v>
      </c>
      <c r="AJ61" s="148">
        <f t="shared" si="36"/>
        <v>0</v>
      </c>
      <c r="AK61" s="147">
        <f t="shared" si="37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/>
      </c>
      <c r="B62" s="104">
        <f>IF([1]Summ!$J1097="",0,[1]Summ!$J1097)</f>
        <v>0</v>
      </c>
      <c r="C62" s="104">
        <f>IF([1]Summ!$K1097="",0,[1]Summ!$K1097)</f>
        <v>0</v>
      </c>
      <c r="D62" s="38">
        <f t="shared" si="25"/>
        <v>0</v>
      </c>
      <c r="E62" s="75">
        <f>Middle!E62</f>
        <v>1</v>
      </c>
      <c r="F62" s="75">
        <f>Middle!F62</f>
        <v>1</v>
      </c>
      <c r="G62" s="22">
        <f t="shared" si="32"/>
        <v>1</v>
      </c>
      <c r="H62" s="24">
        <f t="shared" si="41"/>
        <v>1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/>
      </c>
      <c r="B63" s="104">
        <f>IF([1]Summ!$J1098="",0,[1]Summ!$J1098)</f>
        <v>0</v>
      </c>
      <c r="C63" s="104">
        <f>IF([1]Summ!$K1098="",0,[1]Summ!$K1098)</f>
        <v>0</v>
      </c>
      <c r="D63" s="38">
        <f t="shared" si="25"/>
        <v>0</v>
      </c>
      <c r="E63" s="75">
        <f>Middle!E63</f>
        <v>1</v>
      </c>
      <c r="F63" s="75">
        <f>Middle!F63</f>
        <v>1</v>
      </c>
      <c r="G63" s="22">
        <f t="shared" si="32"/>
        <v>1</v>
      </c>
      <c r="H63" s="24">
        <f t="shared" si="41"/>
        <v>1</v>
      </c>
      <c r="I63" s="39">
        <f t="shared" si="42"/>
        <v>0</v>
      </c>
      <c r="J63" s="38">
        <f t="shared" si="33"/>
        <v>0</v>
      </c>
      <c r="K63" s="40">
        <f t="shared" si="43"/>
        <v>0</v>
      </c>
      <c r="L63" s="22">
        <f t="shared" si="44"/>
        <v>0</v>
      </c>
      <c r="M63" s="24">
        <f t="shared" si="4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0</v>
      </c>
      <c r="AB63" s="156">
        <f>Poor!AB63</f>
        <v>0.25</v>
      </c>
      <c r="AC63" s="147">
        <f t="shared" si="39"/>
        <v>0</v>
      </c>
      <c r="AD63" s="156">
        <f>Poor!AD63</f>
        <v>0.25</v>
      </c>
      <c r="AE63" s="147">
        <f t="shared" si="40"/>
        <v>0</v>
      </c>
      <c r="AF63" s="122">
        <f t="shared" si="31"/>
        <v>0.25</v>
      </c>
      <c r="AG63" s="147">
        <f t="shared" si="34"/>
        <v>0</v>
      </c>
      <c r="AH63" s="123">
        <f t="shared" si="46"/>
        <v>1</v>
      </c>
      <c r="AI63" s="112">
        <f t="shared" si="46"/>
        <v>0</v>
      </c>
      <c r="AJ63" s="148">
        <f t="shared" si="36"/>
        <v>0</v>
      </c>
      <c r="AK63" s="147">
        <f t="shared" si="37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/>
      </c>
      <c r="B64" s="104">
        <f>IF([1]Summ!$J1099="",0,[1]Summ!$J1099)</f>
        <v>0</v>
      </c>
      <c r="C64" s="104">
        <f>IF([1]Summ!$K1099="",0,[1]Summ!$K1099)</f>
        <v>0</v>
      </c>
      <c r="D64" s="38">
        <f t="shared" si="25"/>
        <v>0</v>
      </c>
      <c r="E64" s="75">
        <f>Middle!E64</f>
        <v>1</v>
      </c>
      <c r="F64" s="75">
        <f>Middle!F64</f>
        <v>1</v>
      </c>
      <c r="G64" s="22">
        <f t="shared" si="32"/>
        <v>1</v>
      </c>
      <c r="H64" s="24">
        <f t="shared" si="41"/>
        <v>1</v>
      </c>
      <c r="I64" s="39">
        <f t="shared" si="42"/>
        <v>0</v>
      </c>
      <c r="J64" s="38">
        <f t="shared" si="33"/>
        <v>0</v>
      </c>
      <c r="K64" s="40">
        <f t="shared" si="43"/>
        <v>0</v>
      </c>
      <c r="L64" s="22">
        <f t="shared" si="44"/>
        <v>0</v>
      </c>
      <c r="M64" s="24">
        <f t="shared" si="4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0</v>
      </c>
      <c r="AB64" s="156">
        <f>Poor!AB64</f>
        <v>0.25</v>
      </c>
      <c r="AC64" s="149">
        <f t="shared" si="39"/>
        <v>0</v>
      </c>
      <c r="AD64" s="156">
        <f>Poor!AD64</f>
        <v>0.25</v>
      </c>
      <c r="AE64" s="149">
        <f t="shared" si="40"/>
        <v>0</v>
      </c>
      <c r="AF64" s="150">
        <f t="shared" si="31"/>
        <v>0.25</v>
      </c>
      <c r="AG64" s="149">
        <f t="shared" si="34"/>
        <v>0</v>
      </c>
      <c r="AH64" s="123">
        <f t="shared" si="46"/>
        <v>1</v>
      </c>
      <c r="AI64" s="112">
        <f t="shared" si="46"/>
        <v>0</v>
      </c>
      <c r="AJ64" s="151">
        <f t="shared" si="36"/>
        <v>0</v>
      </c>
      <c r="AK64" s="149">
        <f t="shared" si="37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214742</v>
      </c>
      <c r="C65" s="39">
        <f>SUM(C37:C64)</f>
        <v>-1532</v>
      </c>
      <c r="D65" s="42">
        <f>SUM(D37:D64)</f>
        <v>213210</v>
      </c>
      <c r="E65" s="32"/>
      <c r="F65" s="32"/>
      <c r="G65" s="32"/>
      <c r="H65" s="31"/>
      <c r="I65" s="39">
        <f>SUM(I37:I64)</f>
        <v>213210</v>
      </c>
      <c r="J65" s="39">
        <f>SUM(J37:J64)</f>
        <v>214765.47791997244</v>
      </c>
      <c r="K65" s="40">
        <f>SUM(K37:K64)</f>
        <v>1.0000000000000002</v>
      </c>
      <c r="L65" s="22">
        <f>SUM(L37:L64)</f>
        <v>1.0000000000000002</v>
      </c>
      <c r="M65" s="24">
        <f>SUM(M37:M64)</f>
        <v>1.0001093308247686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43692.238411863575</v>
      </c>
      <c r="AB65" s="137"/>
      <c r="AC65" s="153">
        <f>SUM(AC37:AC64)</f>
        <v>41907.071790952381</v>
      </c>
      <c r="AD65" s="137"/>
      <c r="AE65" s="153">
        <f>SUM(AE37:AE64)</f>
        <v>43849.655101407974</v>
      </c>
      <c r="AF65" s="137"/>
      <c r="AG65" s="153">
        <f>SUM(AG37:AG64)</f>
        <v>76316.512615748507</v>
      </c>
      <c r="AH65" s="137"/>
      <c r="AI65" s="153">
        <f>SUM(AI37:AI64)</f>
        <v>205765.47791997244</v>
      </c>
      <c r="AJ65" s="153">
        <f>SUM(AJ37:AJ64)</f>
        <v>85599.310202815948</v>
      </c>
      <c r="AK65" s="153">
        <f>SUM(AK37:AK64)</f>
        <v>120166.16771715647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[1]Summ!$J1031</f>
        <v>14935.838246595322</v>
      </c>
      <c r="C70" s="39"/>
      <c r="D70" s="38"/>
      <c r="E70" s="75">
        <f>Middle!E70</f>
        <v>1</v>
      </c>
      <c r="F70" s="75">
        <f>Middle!F70</f>
        <v>1</v>
      </c>
      <c r="G70" s="22"/>
      <c r="H70" s="24">
        <f>(E70*F70)</f>
        <v>1</v>
      </c>
      <c r="I70" s="39">
        <f>I124*I$83</f>
        <v>14935.838246595322</v>
      </c>
      <c r="J70" s="51">
        <f>J124*I$83</f>
        <v>14935.838246595322</v>
      </c>
      <c r="K70" s="40">
        <f>B70/B$76</f>
        <v>6.9552478074132312E-2</v>
      </c>
      <c r="L70" s="22">
        <f>(L124*G$37*F$9/F$7)/B$130</f>
        <v>6.9552478074132312E-2</v>
      </c>
      <c r="M70" s="24">
        <f>J70/B$76</f>
        <v>6.9552478074132312E-2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3733.9595616488305</v>
      </c>
      <c r="AB70" s="156">
        <f>Poor!AB70</f>
        <v>0.25</v>
      </c>
      <c r="AC70" s="147">
        <f>$J70*AB70</f>
        <v>3733.9595616488305</v>
      </c>
      <c r="AD70" s="156">
        <f>Poor!AD70</f>
        <v>0.25</v>
      </c>
      <c r="AE70" s="147">
        <f>$J70*AD70</f>
        <v>3733.9595616488305</v>
      </c>
      <c r="AF70" s="156">
        <f>Poor!AF70</f>
        <v>0.25</v>
      </c>
      <c r="AG70" s="147">
        <f>$J70*AF70</f>
        <v>3733.9595616488305</v>
      </c>
      <c r="AH70" s="155">
        <f>SUM(Z70,AB70,AD70,AF70)</f>
        <v>1</v>
      </c>
      <c r="AI70" s="147">
        <f>SUM(AA70,AC70,AE70,AG70)</f>
        <v>14935.838246595322</v>
      </c>
      <c r="AJ70" s="148">
        <f>(AA70+AC70)</f>
        <v>7467.9191232976609</v>
      </c>
      <c r="AK70" s="147">
        <f>(AE70+AG70)</f>
        <v>7467.9191232976609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[1]Summ!$J1032</f>
        <v>15578.666666666668</v>
      </c>
      <c r="C71" s="39"/>
      <c r="D71" s="38"/>
      <c r="E71" s="75">
        <f>Middle!E71</f>
        <v>1</v>
      </c>
      <c r="F71" s="75">
        <f>Middle!F71</f>
        <v>1</v>
      </c>
      <c r="G71" s="22"/>
      <c r="H71" s="24">
        <f t="shared" ref="H71:H72" si="47">(E71*F71)</f>
        <v>1</v>
      </c>
      <c r="I71" s="39">
        <f t="shared" ref="I71:I72" si="48">I125*I$83</f>
        <v>15578.666666666668</v>
      </c>
      <c r="J71" s="51">
        <f t="shared" ref="J71:J72" si="49">J125*I$83</f>
        <v>15578.666666666668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[1]Summ!$J1033</f>
        <v>27744</v>
      </c>
      <c r="C72" s="39"/>
      <c r="D72" s="38"/>
      <c r="E72" s="75">
        <f>Middle!E72</f>
        <v>1</v>
      </c>
      <c r="F72" s="75">
        <f>Middle!F72</f>
        <v>1</v>
      </c>
      <c r="G72" s="22"/>
      <c r="H72" s="24">
        <f t="shared" si="47"/>
        <v>1</v>
      </c>
      <c r="I72" s="39">
        <f t="shared" si="48"/>
        <v>0</v>
      </c>
      <c r="J72" s="51">
        <f t="shared" si="49"/>
        <v>27744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[1]Summ!$J1034</f>
        <v>11200</v>
      </c>
      <c r="C73" s="39"/>
      <c r="D73" s="38"/>
      <c r="E73" s="75">
        <f>Middle!E73</f>
        <v>1</v>
      </c>
      <c r="F73" s="75">
        <f>Middle!F73</f>
        <v>1</v>
      </c>
      <c r="G73" s="22"/>
      <c r="H73" s="24">
        <f>(E73*F73)</f>
        <v>1</v>
      </c>
      <c r="I73" s="39">
        <f>I127*I$83</f>
        <v>0</v>
      </c>
      <c r="J73" s="51">
        <f>J127*I$83</f>
        <v>11200</v>
      </c>
      <c r="K73" s="40">
        <f>B73/B$76</f>
        <v>5.2155609987799313E-2</v>
      </c>
      <c r="L73" s="22">
        <f>(L127*G$37*F$9/F$7)/B$130</f>
        <v>5.2155609987799306E-2</v>
      </c>
      <c r="M73" s="24">
        <f>J73/B$76</f>
        <v>5.2155609987799313E-2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1008</v>
      </c>
      <c r="AB73" s="156">
        <f>Poor!AB73</f>
        <v>0.09</v>
      </c>
      <c r="AC73" s="147">
        <f>$H$73*$B$73*AB73</f>
        <v>1008</v>
      </c>
      <c r="AD73" s="156">
        <f>Poor!AD73</f>
        <v>0.23</v>
      </c>
      <c r="AE73" s="147">
        <f>$H$73*$B$73*AD73</f>
        <v>2576</v>
      </c>
      <c r="AF73" s="156">
        <f>Poor!AF73</f>
        <v>0.59</v>
      </c>
      <c r="AG73" s="147">
        <f>$H$73*$B$73*AF73</f>
        <v>6608</v>
      </c>
      <c r="AH73" s="155">
        <f>SUM(Z73,AB73,AD73,AF73)</f>
        <v>1</v>
      </c>
      <c r="AI73" s="147">
        <f>SUM(AA73,AC73,AE73,AG73)</f>
        <v>11200</v>
      </c>
      <c r="AJ73" s="148">
        <f>(AA73+AC73)</f>
        <v>2016</v>
      </c>
      <c r="AK73" s="147">
        <f>(AE73+AG73)</f>
        <v>9184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2671.1602209944749</v>
      </c>
      <c r="C74" s="39"/>
      <c r="D74" s="38"/>
      <c r="E74" s="32"/>
      <c r="F74" s="32"/>
      <c r="G74" s="32"/>
      <c r="H74" s="31"/>
      <c r="I74" s="39">
        <f>I128*I$83</f>
        <v>198274.16175340465</v>
      </c>
      <c r="J74" s="51">
        <f>J128*I$83</f>
        <v>2765.3013111007513</v>
      </c>
      <c r="K74" s="40">
        <f>B74/B$76</f>
        <v>1.2438927741170683E-2</v>
      </c>
      <c r="L74" s="22">
        <f>(L128*G$37*F$9/F$7)/B$130</f>
        <v>1.2438927741170683E-2</v>
      </c>
      <c r="M74" s="24">
        <f>J74/B$76</f>
        <v>1.2877319346475078E-2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0</v>
      </c>
      <c r="AB74" s="156"/>
      <c r="AC74" s="147">
        <f>AC30*$I$83/4</f>
        <v>134.79016151593473</v>
      </c>
      <c r="AD74" s="156"/>
      <c r="AE74" s="147">
        <f>AE30*$I$83/4</f>
        <v>228.88367378492759</v>
      </c>
      <c r="AF74" s="156"/>
      <c r="AG74" s="147">
        <f>AG30*$I$83/4</f>
        <v>-518.49201682280705</v>
      </c>
      <c r="AH74" s="155"/>
      <c r="AI74" s="147">
        <f>SUM(AA74,AC74,AE74,AG74)</f>
        <v>-154.81818152194472</v>
      </c>
      <c r="AJ74" s="148">
        <f>(AA74+AC74)</f>
        <v>134.79016151593473</v>
      </c>
      <c r="AK74" s="147">
        <f>(AE74+AG74)</f>
        <v>-289.60834303787942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142612.33486574353</v>
      </c>
      <c r="C75" s="39"/>
      <c r="D75" s="38"/>
      <c r="E75" s="32"/>
      <c r="F75" s="32"/>
      <c r="G75" s="32"/>
      <c r="H75" s="31"/>
      <c r="I75" s="47"/>
      <c r="J75" s="51">
        <f>J129*I$83</f>
        <v>142541.67169560969</v>
      </c>
      <c r="K75" s="40">
        <f>B75/B$76</f>
        <v>0.66411011756313865</v>
      </c>
      <c r="L75" s="22">
        <f>(L129*G$37*F$9/F$7)/B$130</f>
        <v>0.66411011756313865</v>
      </c>
      <c r="M75" s="24">
        <f>J75/B$76</f>
        <v>0.6637810567826028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39958.278850214745</v>
      </c>
      <c r="AB75" s="158"/>
      <c r="AC75" s="149">
        <f>AA75+AC65-SUM(AC70,AC74)</f>
        <v>77996.600918002354</v>
      </c>
      <c r="AD75" s="158"/>
      <c r="AE75" s="149">
        <f>AC75+AE65-SUM(AE70,AE74)</f>
        <v>117883.41278397657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190984.45785489905</v>
      </c>
      <c r="AJ75" s="151">
        <f>AJ76-SUM(AJ70,AJ74)</f>
        <v>77996.600918002354</v>
      </c>
      <c r="AK75" s="149">
        <f>AJ75+AK76-SUM(AK70,AK74)</f>
        <v>190984.45785489905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214742</v>
      </c>
      <c r="C76" s="39"/>
      <c r="D76" s="38"/>
      <c r="E76" s="32"/>
      <c r="F76" s="32"/>
      <c r="G76" s="32"/>
      <c r="H76" s="31"/>
      <c r="I76" s="39">
        <f>I130*I$83</f>
        <v>213210</v>
      </c>
      <c r="J76" s="51">
        <f>J130*I$83</f>
        <v>214765.47791997244</v>
      </c>
      <c r="K76" s="40">
        <f>SUM(K70:K75)</f>
        <v>0.79825713336624093</v>
      </c>
      <c r="L76" s="22">
        <f>SUM(L70:L75)</f>
        <v>0.79825713336624093</v>
      </c>
      <c r="M76" s="24">
        <f>SUM(M70:M75)</f>
        <v>0.79836646419100954</v>
      </c>
      <c r="O76" s="2"/>
      <c r="P76" s="2"/>
      <c r="Q76" s="2"/>
      <c r="R76" s="2"/>
      <c r="S76" s="2"/>
      <c r="T76" s="2"/>
      <c r="U76" s="56"/>
      <c r="V76" s="56"/>
      <c r="W76" s="110"/>
      <c r="X76" s="190"/>
      <c r="Y76" s="190"/>
      <c r="Z76" s="137"/>
      <c r="AA76" s="154">
        <f>AA65</f>
        <v>43692.238411863575</v>
      </c>
      <c r="AB76" s="137"/>
      <c r="AC76" s="153">
        <f>AC65</f>
        <v>41907.071790952381</v>
      </c>
      <c r="AD76" s="137"/>
      <c r="AE76" s="153">
        <f>AE65</f>
        <v>43849.655101407974</v>
      </c>
      <c r="AF76" s="137"/>
      <c r="AG76" s="153">
        <f>AG65</f>
        <v>76316.512615748507</v>
      </c>
      <c r="AH76" s="137"/>
      <c r="AI76" s="153">
        <f>SUM(AA76,AC76,AE76,AG76)</f>
        <v>205765.47791997244</v>
      </c>
      <c r="AJ76" s="154">
        <f>SUM(AA76,AC76)</f>
        <v>85599.310202815948</v>
      </c>
      <c r="AK76" s="154">
        <f>SUM(AE76,AG76)</f>
        <v>120166.16771715648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15578.666666666646</v>
      </c>
      <c r="J77" s="100">
        <f>J131*I$83</f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39958.278850214745</v>
      </c>
      <c r="AD78" s="112"/>
      <c r="AE78" s="112">
        <f>AC75</f>
        <v>77996.600918002354</v>
      </c>
      <c r="AF78" s="112"/>
      <c r="AG78" s="112">
        <f>AE75</f>
        <v>117883.41278397657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105" t="str">
        <f>[1]Summ!$J1037</f>
        <v>maize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39958.278850214745</v>
      </c>
      <c r="AB79" s="112"/>
      <c r="AC79" s="112">
        <f>AA79-AA74+AC65-AC70</f>
        <v>78131.391079518289</v>
      </c>
      <c r="AD79" s="112"/>
      <c r="AE79" s="112">
        <f>AC79-AC74+AE65-AE70</f>
        <v>118112.29645776149</v>
      </c>
      <c r="AF79" s="112"/>
      <c r="AG79" s="112">
        <f>AE79-AE74+AG65-AG70</f>
        <v>190465.96583807623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[1]Summ!$J1038</f>
        <v>0.58061985920496251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4">
        <f>[1]Summ!$J1039</f>
        <v>8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[1]Summ!$J1040</f>
        <v>5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4">
        <f>Poor!AA82</f>
        <v>5.6000000000000005</v>
      </c>
      <c r="AB82" s="162">
        <f>IF($AH$82=0,0,AC82/$AH$82)</f>
        <v>1</v>
      </c>
      <c r="AC82" s="194">
        <f>Poor!AC82</f>
        <v>5.6000000000000005</v>
      </c>
      <c r="AD82" s="162">
        <f>IF($AH$82=0,0,AE82/$AH$82)</f>
        <v>1</v>
      </c>
      <c r="AE82" s="194">
        <f>Poor!AE82</f>
        <v>5.6000000000000005</v>
      </c>
      <c r="AF82" s="162">
        <f>IF($AH$82=0,0,AG82/$AH$82)</f>
        <v>1</v>
      </c>
      <c r="AG82" s="194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8477.0499443924527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8477.0499443924527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2119.2624860981132</v>
      </c>
      <c r="AB83" s="112"/>
      <c r="AC83" s="165">
        <f>$I$83*AB82/4</f>
        <v>2119.2624860981132</v>
      </c>
      <c r="AD83" s="112"/>
      <c r="AE83" s="165">
        <f>$I$83*AD82/4</f>
        <v>2119.2624860981132</v>
      </c>
      <c r="AF83" s="112"/>
      <c r="AG83" s="165">
        <f>$I$83*AF82/4</f>
        <v>2119.2624860981132</v>
      </c>
      <c r="AH83" s="165">
        <f>SUM(AA83,AC83,AE83,AG83)</f>
        <v>8477.0499443924527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8">
        <f>B70+((1-D29)*B83)</f>
        <v>19286.708587419434</v>
      </c>
      <c r="C84" s="46"/>
      <c r="D84" s="239"/>
      <c r="E84" s="64"/>
      <c r="F84" s="64"/>
      <c r="G84" s="64"/>
      <c r="H84" s="240">
        <f>IF(B84=0,0,I84/B84)</f>
        <v>1</v>
      </c>
      <c r="I84" s="238">
        <f>(B70*H70)+((1-(D29*H29))*I83)</f>
        <v>19286.708587419434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1"/>
      <c r="AJ85" s="192"/>
      <c r="AK85" s="193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[1]Summ!$K$892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5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5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>(B37/$B$83)</f>
        <v>2.636530414072229</v>
      </c>
      <c r="C91" s="75">
        <f>(C37/$B$83)</f>
        <v>0</v>
      </c>
      <c r="D91" s="24">
        <f t="shared" ref="D91" si="51">(B91+C91)</f>
        <v>2.636530414072229</v>
      </c>
      <c r="H91" s="24">
        <f>(E37*F37/G37*F$7/F$9)</f>
        <v>1</v>
      </c>
      <c r="I91" s="22">
        <f t="shared" ref="I91" si="52">(D91*H91)</f>
        <v>2.636530414072229</v>
      </c>
      <c r="J91" s="24">
        <f>IF(I$32&lt;=1+I$131,I91,L91+J$33*(I91-L91))</f>
        <v>2.636530414072229</v>
      </c>
      <c r="K91" s="22">
        <f t="shared" ref="K91" si="53">(B91)</f>
        <v>2.636530414072229</v>
      </c>
      <c r="L91" s="22">
        <f t="shared" ref="L91" si="54">(K91*H91)</f>
        <v>2.636530414072229</v>
      </c>
      <c r="M91" s="231">
        <f t="shared" si="50"/>
        <v>2.636530414072229</v>
      </c>
      <c r="N91" s="233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ref="B92:C92" si="56">(B38/$B$83)</f>
        <v>0.94372453300124526</v>
      </c>
      <c r="C92" s="75">
        <f t="shared" si="56"/>
        <v>0.29491391656288918</v>
      </c>
      <c r="D92" s="24">
        <f t="shared" ref="D92:D118" si="57">(B92+C92)</f>
        <v>1.2386384495641345</v>
      </c>
      <c r="H92" s="24">
        <f t="shared" ref="H92:H118" si="58">(E38*F38/G38*F$7/F$9)</f>
        <v>1</v>
      </c>
      <c r="I92" s="22">
        <f t="shared" ref="I92:I118" si="59">(D92*H92)</f>
        <v>1.2386384495641345</v>
      </c>
      <c r="J92" s="24">
        <f t="shared" ref="J92:J118" si="60">IF(I$32&lt;=1+I$131,I92,L92+J$33*(I92-L92))</f>
        <v>0.93920497338517372</v>
      </c>
      <c r="K92" s="22">
        <f t="shared" ref="K92:K118" si="61">(B92)</f>
        <v>0.94372453300124526</v>
      </c>
      <c r="L92" s="22">
        <f t="shared" ref="L92:L118" si="62">(K92*H92)</f>
        <v>0.94372453300124526</v>
      </c>
      <c r="M92" s="231">
        <f t="shared" ref="M92:M118" si="63">(J92)</f>
        <v>0.93920497338517372</v>
      </c>
      <c r="N92" s="233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Sheep sales - local: no. sold</v>
      </c>
      <c r="B93" s="75">
        <f t="shared" ref="B93:C93" si="64">(B39/$B$83)</f>
        <v>0.28311735990037357</v>
      </c>
      <c r="C93" s="75">
        <f t="shared" si="64"/>
        <v>0</v>
      </c>
      <c r="D93" s="24">
        <f t="shared" si="57"/>
        <v>0.28311735990037357</v>
      </c>
      <c r="H93" s="24">
        <f t="shared" si="58"/>
        <v>1</v>
      </c>
      <c r="I93" s="22">
        <f t="shared" si="59"/>
        <v>0.28311735990037357</v>
      </c>
      <c r="J93" s="24">
        <f t="shared" si="60"/>
        <v>0.28311735990037357</v>
      </c>
      <c r="K93" s="22">
        <f t="shared" si="61"/>
        <v>0.28311735990037357</v>
      </c>
      <c r="L93" s="22">
        <f t="shared" si="62"/>
        <v>0.28311735990037357</v>
      </c>
      <c r="M93" s="231">
        <f t="shared" si="63"/>
        <v>0.28311735990037357</v>
      </c>
      <c r="N93" s="233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Chicken sales: no. sold</v>
      </c>
      <c r="B94" s="75">
        <f t="shared" ref="B94:C94" si="65">(B40/$B$83)</f>
        <v>0</v>
      </c>
      <c r="C94" s="75">
        <f t="shared" si="65"/>
        <v>0</v>
      </c>
      <c r="D94" s="24">
        <f t="shared" si="57"/>
        <v>0</v>
      </c>
      <c r="H94" s="24">
        <f t="shared" si="58"/>
        <v>1</v>
      </c>
      <c r="I94" s="22">
        <f t="shared" si="59"/>
        <v>0</v>
      </c>
      <c r="J94" s="24">
        <f t="shared" si="60"/>
        <v>0</v>
      </c>
      <c r="K94" s="22">
        <f t="shared" si="61"/>
        <v>0</v>
      </c>
      <c r="L94" s="22">
        <f t="shared" si="62"/>
        <v>0</v>
      </c>
      <c r="M94" s="231">
        <f t="shared" si="63"/>
        <v>0</v>
      </c>
      <c r="N94" s="233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ref="B95:C95" si="66">(B41/$B$83)</f>
        <v>0.42467603985056041</v>
      </c>
      <c r="C95" s="75">
        <f t="shared" si="66"/>
        <v>-0.42467603985056041</v>
      </c>
      <c r="D95" s="24">
        <f t="shared" si="57"/>
        <v>0</v>
      </c>
      <c r="H95" s="24">
        <f t="shared" si="58"/>
        <v>1</v>
      </c>
      <c r="I95" s="22">
        <f t="shared" si="59"/>
        <v>0</v>
      </c>
      <c r="J95" s="24">
        <f t="shared" si="60"/>
        <v>0.43118420569770338</v>
      </c>
      <c r="K95" s="22">
        <f t="shared" si="61"/>
        <v>0.42467603985056041</v>
      </c>
      <c r="L95" s="22">
        <f t="shared" si="62"/>
        <v>0.42467603985056041</v>
      </c>
      <c r="M95" s="231">
        <f t="shared" si="63"/>
        <v>0.43118420569770338</v>
      </c>
      <c r="N95" s="233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ref="B96:C96" si="67">(B42/$B$83)</f>
        <v>0.70779339975093403</v>
      </c>
      <c r="C96" s="75">
        <f t="shared" si="67"/>
        <v>0</v>
      </c>
      <c r="D96" s="24">
        <f t="shared" si="57"/>
        <v>0.70779339975093403</v>
      </c>
      <c r="H96" s="24">
        <f t="shared" si="58"/>
        <v>1</v>
      </c>
      <c r="I96" s="22">
        <f t="shared" si="59"/>
        <v>0.70779339975093403</v>
      </c>
      <c r="J96" s="24">
        <f t="shared" si="60"/>
        <v>0.70779339975093403</v>
      </c>
      <c r="K96" s="22">
        <f t="shared" si="61"/>
        <v>0.70779339975093403</v>
      </c>
      <c r="L96" s="22">
        <f t="shared" si="62"/>
        <v>0.70779339975093403</v>
      </c>
      <c r="M96" s="231">
        <f t="shared" si="63"/>
        <v>0.70779339975093403</v>
      </c>
      <c r="N96" s="233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potatoes: kg produced</v>
      </c>
      <c r="B97" s="75">
        <f t="shared" ref="B97:C97" si="68">(B43/$B$83)</f>
        <v>5.0961124782067248E-2</v>
      </c>
      <c r="C97" s="75">
        <f t="shared" si="68"/>
        <v>-5.0961124782067248E-2</v>
      </c>
      <c r="D97" s="24">
        <f t="shared" si="57"/>
        <v>0</v>
      </c>
      <c r="H97" s="24">
        <f t="shared" si="58"/>
        <v>1</v>
      </c>
      <c r="I97" s="22">
        <f t="shared" si="59"/>
        <v>0</v>
      </c>
      <c r="J97" s="24">
        <f t="shared" si="60"/>
        <v>5.1742104683724408E-2</v>
      </c>
      <c r="K97" s="22">
        <f t="shared" si="61"/>
        <v>5.0961124782067248E-2</v>
      </c>
      <c r="L97" s="22">
        <f t="shared" si="62"/>
        <v>5.0961124782067248E-2</v>
      </c>
      <c r="M97" s="231">
        <f t="shared" si="63"/>
        <v>5.1742104683724408E-2</v>
      </c>
      <c r="N97" s="233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WILD FOODS -- see worksheet Data 3</v>
      </c>
      <c r="B98" s="75">
        <f t="shared" ref="B98:C98" si="69">(B44/$B$83)</f>
        <v>0</v>
      </c>
      <c r="C98" s="75">
        <f t="shared" si="69"/>
        <v>0</v>
      </c>
      <c r="D98" s="24">
        <f t="shared" si="57"/>
        <v>0</v>
      </c>
      <c r="H98" s="24">
        <f t="shared" si="58"/>
        <v>1</v>
      </c>
      <c r="I98" s="22">
        <f t="shared" si="59"/>
        <v>0</v>
      </c>
      <c r="J98" s="24">
        <f t="shared" si="60"/>
        <v>0</v>
      </c>
      <c r="K98" s="22">
        <f t="shared" si="61"/>
        <v>0</v>
      </c>
      <c r="L98" s="22">
        <f t="shared" si="62"/>
        <v>0</v>
      </c>
      <c r="M98" s="231">
        <f t="shared" si="63"/>
        <v>0</v>
      </c>
      <c r="N98" s="233">
        <v>6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Agricultural cash income -- see Data2</v>
      </c>
      <c r="B99" s="75">
        <f t="shared" ref="B99:C99" si="70">(B45/$B$83)</f>
        <v>0</v>
      </c>
      <c r="C99" s="75">
        <f t="shared" si="70"/>
        <v>0</v>
      </c>
      <c r="D99" s="24">
        <f t="shared" si="57"/>
        <v>0</v>
      </c>
      <c r="H99" s="24">
        <f t="shared" si="58"/>
        <v>1</v>
      </c>
      <c r="I99" s="22">
        <f t="shared" si="59"/>
        <v>0</v>
      </c>
      <c r="J99" s="24">
        <f t="shared" si="60"/>
        <v>0</v>
      </c>
      <c r="K99" s="22">
        <f t="shared" si="61"/>
        <v>0</v>
      </c>
      <c r="L99" s="22">
        <f t="shared" si="62"/>
        <v>0</v>
      </c>
      <c r="M99" s="231">
        <f t="shared" si="63"/>
        <v>0</v>
      </c>
      <c r="N99" s="233">
        <v>7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Construction cash income -- see Data2</v>
      </c>
      <c r="B100" s="75">
        <f t="shared" ref="B100:C100" si="71">(B46/$B$83)</f>
        <v>0</v>
      </c>
      <c r="C100" s="75">
        <f t="shared" si="71"/>
        <v>0</v>
      </c>
      <c r="D100" s="24">
        <f t="shared" si="57"/>
        <v>0</v>
      </c>
      <c r="H100" s="24">
        <f t="shared" si="58"/>
        <v>1</v>
      </c>
      <c r="I100" s="22">
        <f t="shared" si="59"/>
        <v>0</v>
      </c>
      <c r="J100" s="24">
        <f t="shared" si="60"/>
        <v>0</v>
      </c>
      <c r="K100" s="22">
        <f t="shared" si="61"/>
        <v>0</v>
      </c>
      <c r="L100" s="22">
        <f t="shared" si="62"/>
        <v>0</v>
      </c>
      <c r="M100" s="231">
        <f t="shared" si="63"/>
        <v>0</v>
      </c>
      <c r="N100" s="233">
        <v>7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Domestic work cash income -- see Data2</v>
      </c>
      <c r="B101" s="75">
        <f t="shared" ref="B101:C101" si="72">(B47/$B$83)</f>
        <v>0</v>
      </c>
      <c r="C101" s="75">
        <f t="shared" si="72"/>
        <v>0</v>
      </c>
      <c r="D101" s="24">
        <f t="shared" si="57"/>
        <v>0</v>
      </c>
      <c r="H101" s="24">
        <f t="shared" si="58"/>
        <v>1</v>
      </c>
      <c r="I101" s="22">
        <f t="shared" si="59"/>
        <v>0</v>
      </c>
      <c r="J101" s="24">
        <f t="shared" si="60"/>
        <v>0</v>
      </c>
      <c r="K101" s="22">
        <f t="shared" si="61"/>
        <v>0</v>
      </c>
      <c r="L101" s="22">
        <f t="shared" si="62"/>
        <v>0</v>
      </c>
      <c r="M101" s="231">
        <f t="shared" si="63"/>
        <v>0</v>
      </c>
      <c r="N101" s="233">
        <v>7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Labour migration(formal employment): no. people per HH</v>
      </c>
      <c r="B102" s="75">
        <f t="shared" ref="B102:C102" si="73">(B48/$B$83)</f>
        <v>8.9181968368617675</v>
      </c>
      <c r="C102" s="75">
        <f t="shared" si="73"/>
        <v>0</v>
      </c>
      <c r="D102" s="24">
        <f t="shared" si="57"/>
        <v>8.9181968368617675</v>
      </c>
      <c r="H102" s="24">
        <f t="shared" si="58"/>
        <v>1</v>
      </c>
      <c r="I102" s="22">
        <f t="shared" si="59"/>
        <v>8.9181968368617675</v>
      </c>
      <c r="J102" s="24">
        <f t="shared" si="60"/>
        <v>8.9181968368617675</v>
      </c>
      <c r="K102" s="22">
        <f t="shared" si="61"/>
        <v>8.9181968368617675</v>
      </c>
      <c r="L102" s="22">
        <f t="shared" si="62"/>
        <v>8.9181968368617675</v>
      </c>
      <c r="M102" s="231">
        <f t="shared" si="63"/>
        <v>8.9181968368617675</v>
      </c>
      <c r="N102" s="233">
        <v>8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Small business -- see Data2</v>
      </c>
      <c r="B103" s="75">
        <f t="shared" ref="B103:C103" si="74">(B49/$B$83)</f>
        <v>7.3964410273972598</v>
      </c>
      <c r="C103" s="75">
        <f t="shared" si="74"/>
        <v>0</v>
      </c>
      <c r="D103" s="24">
        <f t="shared" si="57"/>
        <v>7.3964410273972598</v>
      </c>
      <c r="H103" s="24">
        <f t="shared" si="58"/>
        <v>1</v>
      </c>
      <c r="I103" s="22">
        <f t="shared" si="59"/>
        <v>7.3964410273972598</v>
      </c>
      <c r="J103" s="24">
        <f t="shared" si="60"/>
        <v>7.3964410273972598</v>
      </c>
      <c r="K103" s="22">
        <f t="shared" si="61"/>
        <v>7.3964410273972598</v>
      </c>
      <c r="L103" s="22">
        <f t="shared" si="62"/>
        <v>7.3964410273972598</v>
      </c>
      <c r="M103" s="231">
        <f t="shared" si="63"/>
        <v>7.3964410273972598</v>
      </c>
      <c r="N103" s="233">
        <v>11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Social development -- see Data2</v>
      </c>
      <c r="B104" s="75">
        <f t="shared" ref="B104:C104" si="75">(B50/$B$83)</f>
        <v>0.89889761768368615</v>
      </c>
      <c r="C104" s="75">
        <f t="shared" si="75"/>
        <v>0</v>
      </c>
      <c r="D104" s="24">
        <f t="shared" si="57"/>
        <v>0.89889761768368615</v>
      </c>
      <c r="H104" s="24">
        <f t="shared" si="58"/>
        <v>1</v>
      </c>
      <c r="I104" s="22">
        <f t="shared" si="59"/>
        <v>0.89889761768368615</v>
      </c>
      <c r="J104" s="24">
        <f t="shared" si="60"/>
        <v>0.89889761768368615</v>
      </c>
      <c r="K104" s="22">
        <f t="shared" si="61"/>
        <v>0.89889761768368615</v>
      </c>
      <c r="L104" s="22">
        <f t="shared" si="62"/>
        <v>0.89889761768368615</v>
      </c>
      <c r="M104" s="231">
        <f t="shared" si="63"/>
        <v>0.89889761768368615</v>
      </c>
      <c r="N104" s="233">
        <v>14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Public works -- see Data2</v>
      </c>
      <c r="B105" s="75">
        <f t="shared" ref="B105:C105" si="76">(B51/$B$83)</f>
        <v>0</v>
      </c>
      <c r="C105" s="75">
        <f t="shared" si="76"/>
        <v>0</v>
      </c>
      <c r="D105" s="24">
        <f t="shared" si="57"/>
        <v>0</v>
      </c>
      <c r="H105" s="24">
        <f t="shared" si="58"/>
        <v>1</v>
      </c>
      <c r="I105" s="22">
        <f t="shared" si="59"/>
        <v>0</v>
      </c>
      <c r="J105" s="24">
        <f t="shared" si="60"/>
        <v>0</v>
      </c>
      <c r="K105" s="22">
        <f t="shared" si="61"/>
        <v>0</v>
      </c>
      <c r="L105" s="22">
        <f t="shared" si="62"/>
        <v>0</v>
      </c>
      <c r="M105" s="231">
        <f t="shared" si="63"/>
        <v>0</v>
      </c>
      <c r="N105" s="233">
        <v>9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Gifts/social support: type (Child support, Pension and Foster Care)</v>
      </c>
      <c r="B106" s="75">
        <f t="shared" ref="B106:C106" si="77">(B52/$B$83)</f>
        <v>2.0101332552926525</v>
      </c>
      <c r="C106" s="75">
        <f t="shared" si="77"/>
        <v>0</v>
      </c>
      <c r="D106" s="24">
        <f t="shared" si="57"/>
        <v>2.0101332552926525</v>
      </c>
      <c r="H106" s="24">
        <f t="shared" si="58"/>
        <v>1</v>
      </c>
      <c r="I106" s="22">
        <f t="shared" si="59"/>
        <v>2.0101332552926525</v>
      </c>
      <c r="J106" s="24">
        <f t="shared" si="60"/>
        <v>2.0101332552926525</v>
      </c>
      <c r="K106" s="22">
        <f t="shared" si="61"/>
        <v>2.0101332552926525</v>
      </c>
      <c r="L106" s="22">
        <f t="shared" si="62"/>
        <v>2.0101332552926525</v>
      </c>
      <c r="M106" s="231">
        <f t="shared" si="63"/>
        <v>2.0101332552926525</v>
      </c>
      <c r="N106" s="233">
        <v>15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Remittances: no. times per year</v>
      </c>
      <c r="B107" s="75">
        <f t="shared" ref="B107:C107" si="78">(B53/$B$83)</f>
        <v>1.0616900996264009</v>
      </c>
      <c r="C107" s="75">
        <f t="shared" si="78"/>
        <v>0</v>
      </c>
      <c r="D107" s="24">
        <f t="shared" si="57"/>
        <v>1.0616900996264009</v>
      </c>
      <c r="H107" s="24">
        <f t="shared" si="58"/>
        <v>1</v>
      </c>
      <c r="I107" s="22">
        <f t="shared" si="59"/>
        <v>1.0616900996264009</v>
      </c>
      <c r="J107" s="24">
        <f t="shared" si="60"/>
        <v>1.0616900996264009</v>
      </c>
      <c r="K107" s="22">
        <f t="shared" si="61"/>
        <v>1.0616900996264009</v>
      </c>
      <c r="L107" s="22">
        <f t="shared" si="62"/>
        <v>1.0616900996264009</v>
      </c>
      <c r="M107" s="231">
        <f t="shared" si="63"/>
        <v>1.0616900996264009</v>
      </c>
      <c r="N107" s="233">
        <v>15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/>
      </c>
      <c r="B108" s="75">
        <f t="shared" ref="B108:C108" si="79">(B54/$B$83)</f>
        <v>0</v>
      </c>
      <c r="C108" s="75">
        <f t="shared" si="79"/>
        <v>0</v>
      </c>
      <c r="D108" s="24">
        <f t="shared" si="57"/>
        <v>0</v>
      </c>
      <c r="H108" s="24">
        <f t="shared" si="58"/>
        <v>1</v>
      </c>
      <c r="I108" s="22">
        <f t="shared" si="59"/>
        <v>0</v>
      </c>
      <c r="J108" s="24">
        <f t="shared" si="60"/>
        <v>0</v>
      </c>
      <c r="K108" s="22">
        <f t="shared" si="61"/>
        <v>0</v>
      </c>
      <c r="L108" s="22">
        <f t="shared" si="62"/>
        <v>0</v>
      </c>
      <c r="M108" s="231">
        <f t="shared" si="63"/>
        <v>0</v>
      </c>
      <c r="N108" s="233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/>
      </c>
      <c r="B109" s="75">
        <f t="shared" ref="B109:C109" si="80">(B55/$B$83)</f>
        <v>0</v>
      </c>
      <c r="C109" s="75">
        <f t="shared" si="80"/>
        <v>0</v>
      </c>
      <c r="D109" s="24">
        <f t="shared" si="57"/>
        <v>0</v>
      </c>
      <c r="H109" s="24">
        <f t="shared" si="58"/>
        <v>1</v>
      </c>
      <c r="I109" s="22">
        <f t="shared" si="59"/>
        <v>0</v>
      </c>
      <c r="J109" s="24">
        <f t="shared" si="60"/>
        <v>0</v>
      </c>
      <c r="K109" s="22">
        <f t="shared" si="61"/>
        <v>0</v>
      </c>
      <c r="L109" s="22">
        <f t="shared" si="62"/>
        <v>0</v>
      </c>
      <c r="M109" s="231">
        <f t="shared" si="63"/>
        <v>0</v>
      </c>
      <c r="N109" s="233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/>
      </c>
      <c r="B110" s="75">
        <f t="shared" ref="B110:C110" si="81">(B56/$B$83)</f>
        <v>0</v>
      </c>
      <c r="C110" s="75">
        <f t="shared" si="81"/>
        <v>0</v>
      </c>
      <c r="D110" s="24">
        <f t="shared" si="57"/>
        <v>0</v>
      </c>
      <c r="H110" s="24">
        <f t="shared" si="58"/>
        <v>1</v>
      </c>
      <c r="I110" s="22">
        <f t="shared" si="59"/>
        <v>0</v>
      </c>
      <c r="J110" s="24">
        <f t="shared" si="60"/>
        <v>0</v>
      </c>
      <c r="K110" s="22">
        <f t="shared" si="61"/>
        <v>0</v>
      </c>
      <c r="L110" s="22">
        <f t="shared" si="62"/>
        <v>0</v>
      </c>
      <c r="M110" s="231">
        <f t="shared" si="63"/>
        <v>0</v>
      </c>
      <c r="N110" s="233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/>
      </c>
      <c r="B111" s="75">
        <f t="shared" ref="B111:C111" si="82">(B57/$B$83)</f>
        <v>0</v>
      </c>
      <c r="C111" s="75">
        <f t="shared" si="82"/>
        <v>0</v>
      </c>
      <c r="D111" s="24">
        <f t="shared" si="57"/>
        <v>0</v>
      </c>
      <c r="H111" s="24">
        <f t="shared" si="58"/>
        <v>1</v>
      </c>
      <c r="I111" s="22">
        <f t="shared" si="59"/>
        <v>0</v>
      </c>
      <c r="J111" s="24">
        <f t="shared" si="60"/>
        <v>0</v>
      </c>
      <c r="K111" s="22">
        <f t="shared" si="61"/>
        <v>0</v>
      </c>
      <c r="L111" s="22">
        <f t="shared" si="62"/>
        <v>0</v>
      </c>
      <c r="M111" s="231">
        <f t="shared" si="63"/>
        <v>0</v>
      </c>
      <c r="N111" s="233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/>
      </c>
      <c r="B112" s="75">
        <f t="shared" ref="B112:C112" si="83">(B58/$B$83)</f>
        <v>0</v>
      </c>
      <c r="C112" s="75">
        <f t="shared" si="83"/>
        <v>0</v>
      </c>
      <c r="D112" s="24">
        <f t="shared" si="57"/>
        <v>0</v>
      </c>
      <c r="H112" s="24">
        <f t="shared" si="58"/>
        <v>1</v>
      </c>
      <c r="I112" s="22">
        <f t="shared" si="59"/>
        <v>0</v>
      </c>
      <c r="J112" s="24">
        <f t="shared" si="60"/>
        <v>0</v>
      </c>
      <c r="K112" s="22">
        <f t="shared" si="61"/>
        <v>0</v>
      </c>
      <c r="L112" s="22">
        <f t="shared" si="62"/>
        <v>0</v>
      </c>
      <c r="M112" s="231">
        <f t="shared" si="63"/>
        <v>0</v>
      </c>
      <c r="N112" s="233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/>
      </c>
      <c r="B113" s="75">
        <f t="shared" ref="B113:C113" si="84">(B59/$B$83)</f>
        <v>0</v>
      </c>
      <c r="C113" s="75">
        <f t="shared" si="84"/>
        <v>0</v>
      </c>
      <c r="D113" s="24">
        <f t="shared" si="57"/>
        <v>0</v>
      </c>
      <c r="H113" s="24">
        <f t="shared" si="58"/>
        <v>1</v>
      </c>
      <c r="I113" s="22">
        <f t="shared" si="59"/>
        <v>0</v>
      </c>
      <c r="J113" s="24">
        <f t="shared" si="60"/>
        <v>0</v>
      </c>
      <c r="K113" s="22">
        <f t="shared" si="61"/>
        <v>0</v>
      </c>
      <c r="L113" s="22">
        <f t="shared" si="62"/>
        <v>0</v>
      </c>
      <c r="M113" s="231">
        <f t="shared" si="63"/>
        <v>0</v>
      </c>
      <c r="N113" s="233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/>
      </c>
      <c r="B114" s="75">
        <f t="shared" ref="B114:C114" si="85">(B60/$B$83)</f>
        <v>0</v>
      </c>
      <c r="C114" s="75">
        <f t="shared" si="85"/>
        <v>0</v>
      </c>
      <c r="D114" s="24">
        <f t="shared" si="57"/>
        <v>0</v>
      </c>
      <c r="H114" s="24">
        <f t="shared" si="58"/>
        <v>1</v>
      </c>
      <c r="I114" s="22">
        <f t="shared" si="59"/>
        <v>0</v>
      </c>
      <c r="J114" s="24">
        <f t="shared" si="60"/>
        <v>0</v>
      </c>
      <c r="K114" s="22">
        <f t="shared" si="61"/>
        <v>0</v>
      </c>
      <c r="L114" s="22">
        <f t="shared" si="62"/>
        <v>0</v>
      </c>
      <c r="M114" s="231">
        <f t="shared" si="63"/>
        <v>0</v>
      </c>
      <c r="N114" s="233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/>
      </c>
      <c r="B115" s="75">
        <f t="shared" ref="B115:C115" si="86">(B61/$B$83)</f>
        <v>0</v>
      </c>
      <c r="C115" s="75">
        <f t="shared" si="86"/>
        <v>0</v>
      </c>
      <c r="D115" s="24">
        <f t="shared" si="57"/>
        <v>0</v>
      </c>
      <c r="H115" s="24">
        <f t="shared" si="58"/>
        <v>1</v>
      </c>
      <c r="I115" s="22">
        <f t="shared" si="59"/>
        <v>0</v>
      </c>
      <c r="J115" s="24">
        <f t="shared" si="60"/>
        <v>0</v>
      </c>
      <c r="K115" s="22">
        <f t="shared" si="61"/>
        <v>0</v>
      </c>
      <c r="L115" s="22">
        <f t="shared" si="62"/>
        <v>0</v>
      </c>
      <c r="M115" s="231">
        <f t="shared" si="63"/>
        <v>0</v>
      </c>
      <c r="N115" s="233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ref="B116:C116" si="87">(B62/$B$83)</f>
        <v>0</v>
      </c>
      <c r="C116" s="75">
        <f t="shared" si="87"/>
        <v>0</v>
      </c>
      <c r="D116" s="24">
        <f t="shared" si="57"/>
        <v>0</v>
      </c>
      <c r="H116" s="24">
        <f t="shared" si="58"/>
        <v>1</v>
      </c>
      <c r="I116" s="22">
        <f t="shared" si="59"/>
        <v>0</v>
      </c>
      <c r="J116" s="24">
        <f t="shared" si="60"/>
        <v>0</v>
      </c>
      <c r="K116" s="22">
        <f t="shared" si="61"/>
        <v>0</v>
      </c>
      <c r="L116" s="22">
        <f t="shared" si="62"/>
        <v>0</v>
      </c>
      <c r="M116" s="231">
        <f t="shared" si="63"/>
        <v>0</v>
      </c>
      <c r="N116" s="233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ref="B117:C117" si="88">(B63/$B$83)</f>
        <v>0</v>
      </c>
      <c r="C117" s="75">
        <f t="shared" si="88"/>
        <v>0</v>
      </c>
      <c r="D117" s="24">
        <f t="shared" si="57"/>
        <v>0</v>
      </c>
      <c r="H117" s="24">
        <f t="shared" si="58"/>
        <v>1</v>
      </c>
      <c r="I117" s="22">
        <f t="shared" si="59"/>
        <v>0</v>
      </c>
      <c r="J117" s="24">
        <f t="shared" si="60"/>
        <v>0</v>
      </c>
      <c r="K117" s="22">
        <f t="shared" si="61"/>
        <v>0</v>
      </c>
      <c r="L117" s="22">
        <f t="shared" si="62"/>
        <v>0</v>
      </c>
      <c r="M117" s="231">
        <f t="shared" si="63"/>
        <v>0</v>
      </c>
      <c r="N117" s="233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ref="B118:C118" si="89">(B64/$B$83)</f>
        <v>0</v>
      </c>
      <c r="C118" s="75">
        <f t="shared" si="89"/>
        <v>0</v>
      </c>
      <c r="D118" s="24">
        <f t="shared" si="57"/>
        <v>0</v>
      </c>
      <c r="H118" s="24">
        <f t="shared" si="58"/>
        <v>1</v>
      </c>
      <c r="I118" s="22">
        <f t="shared" si="59"/>
        <v>0</v>
      </c>
      <c r="J118" s="24">
        <f t="shared" si="60"/>
        <v>0</v>
      </c>
      <c r="K118" s="22">
        <f t="shared" si="61"/>
        <v>0</v>
      </c>
      <c r="L118" s="22">
        <f t="shared" si="62"/>
        <v>0</v>
      </c>
      <c r="M118" s="231">
        <f t="shared" si="63"/>
        <v>0</v>
      </c>
      <c r="N118" s="233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25.332161708219179</v>
      </c>
      <c r="C119" s="22">
        <f>SUM(C91:C118)</f>
        <v>-0.18072324806973847</v>
      </c>
      <c r="D119" s="24">
        <f>SUM(D91:D118)</f>
        <v>25.151438460149439</v>
      </c>
      <c r="E119" s="22"/>
      <c r="F119" s="2"/>
      <c r="G119" s="2"/>
      <c r="H119" s="31"/>
      <c r="I119" s="22">
        <f>SUM(I91:I118)</f>
        <v>25.151438460149439</v>
      </c>
      <c r="J119" s="24">
        <f>SUM(J91:J118)</f>
        <v>25.334931294351907</v>
      </c>
      <c r="K119" s="22">
        <f>SUM(K91:K118)</f>
        <v>25.332161708219179</v>
      </c>
      <c r="L119" s="22">
        <f>SUM(L91:L118)</f>
        <v>25.332161708219179</v>
      </c>
      <c r="M119" s="57">
        <f t="shared" si="50"/>
        <v>25.334931294351907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1.7619146217812887</v>
      </c>
      <c r="C124" s="2"/>
      <c r="D124" s="24"/>
      <c r="H124" s="24">
        <f>(E70*F70/G$37*F$7/F$9)</f>
        <v>1</v>
      </c>
      <c r="I124" s="29">
        <f>IF(SUMPRODUCT($B$124:$B124,$H$124:$H124)&lt;I$119,($B124*$H124),I$119)</f>
        <v>1.7619146217812887</v>
      </c>
      <c r="J124" s="241">
        <f>IF(SUMPRODUCT($B$124:$B124,$H$124:$H124)&lt;J$119,($B124*$H124),J$119)</f>
        <v>1.7619146217812887</v>
      </c>
      <c r="K124" s="22">
        <f>(B124)</f>
        <v>1.7619146217812887</v>
      </c>
      <c r="L124" s="29">
        <f>IF(SUMPRODUCT($B$124:$B124,$H$124:$H124)&lt;L$119,($B124*$H124),L$119)</f>
        <v>1.7619146217812887</v>
      </c>
      <c r="M124" s="57">
        <f t="shared" si="90"/>
        <v>1.7619146217812887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1.8377462405977585</v>
      </c>
      <c r="C125" s="2"/>
      <c r="D125" s="24"/>
      <c r="H125" s="24">
        <f>(E71*F71/G$37*F$7/F$9)</f>
        <v>1</v>
      </c>
      <c r="I125" s="29">
        <f>IF(SUMPRODUCT($B$124:$B125,$H$124:$H125)&lt;I$119,($B125*$H125),IF(SUMPRODUCT($B$124:$B124,$H$124:$H124)&lt;I$119,I$119-SUMPRODUCT($B$124:$B124,$H$124:$H124),0))</f>
        <v>1.8377462405977585</v>
      </c>
      <c r="J125" s="241">
        <f>IF(SUMPRODUCT($B$124:$B125,$H$124:$H125)&lt;J$119,($B125*$H125),IF(SUMPRODUCT($B$124:$B124,$H$124:$H124)&lt;J$119,J$119-SUMPRODUCT($B$124:$B124,$H$124:$H124),0))</f>
        <v>1.8377462405977585</v>
      </c>
      <c r="K125" s="22">
        <f t="shared" ref="K125:K126" si="91">(B125)</f>
        <v>1.8377462405977585</v>
      </c>
      <c r="L125" s="29">
        <f>IF(SUMPRODUCT($B$124:$B125,$H$124:$H125)&lt;L$119,($B125*$H125),IF(SUMPRODUCT($B$124:$B124,$H$124:$H124)&lt;L$119,L$119-SUMPRODUCT($B$124:$B124,$H$124:$H124),0))</f>
        <v>1.8377462405977585</v>
      </c>
      <c r="M125" s="57">
        <f t="shared" ref="M125:M126" si="92">(J125)</f>
        <v>1.8377462405977585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3.2728366804483189</v>
      </c>
      <c r="C126" s="2"/>
      <c r="D126" s="24"/>
      <c r="H126" s="24">
        <f>(E72*F72/G$37*F$7/F$9)</f>
        <v>1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41">
        <f>IF(SUMPRODUCT($B$124:$B126,$H$124:$H126)&lt;(J$119-J$128),($B126*$H126),IF(SUMPRODUCT($B$124:$B125,$H$124:$H125)&lt;(J$119-J$128),J$119-J$128-SUMPRODUCT($B$124:$B125,$H$124:$H125),0))</f>
        <v>3.2728366804483189</v>
      </c>
      <c r="K126" s="22">
        <f t="shared" si="91"/>
        <v>3.2728366804483189</v>
      </c>
      <c r="L126" s="29">
        <f>IF(SUMPRODUCT($B$124:$B126,$H$124:$H126)&lt;(L$119-L$128),($B126*$H126),IF(SUMPRODUCT($B$124:$B125,$H$124:$H125)&lt;(L$119-L$128),L$119-L$128-SUMPRODUCT($B$124:$B125,$H$124:$H125),0))</f>
        <v>3.2728366804483189</v>
      </c>
      <c r="M126" s="57">
        <f t="shared" si="92"/>
        <v>3.2728366804483189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1.3212143462017434</v>
      </c>
      <c r="C127" s="2"/>
      <c r="D127" s="24"/>
      <c r="H127" s="24">
        <f>(E73*F73/G$37*F$7/F$9)</f>
        <v>1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41">
        <f>IF(SUMPRODUCT($B$124:$B127,$H$124:$H127)&lt;(J$119-J$128),($B127*$H127),IF(SUMPRODUCT($B$124:$B126,$H$124:$H126)&lt;(J$119-J128),J$119-J$128-SUMPRODUCT($B$124:$B126,$H$124:$H126),0))</f>
        <v>1.3212143462017434</v>
      </c>
      <c r="K127" s="22">
        <f>(B127)</f>
        <v>1.3212143462017434</v>
      </c>
      <c r="L127" s="29">
        <f>IF(SUMPRODUCT($B$124:$B127,$H$124:$H127)&lt;(L$119-L$128),($B127*$H127),IF(SUMPRODUCT($B$124:$B126,$H$124:$H126)&lt;(L$119-L128),L$119-L$128-SUMPRODUCT($B$124:$B126,$H$124:$H126),0))</f>
        <v>1.3212143462017434</v>
      </c>
      <c r="M127" s="57">
        <f t="shared" si="90"/>
        <v>1.3212143462017434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0.31510492901618925</v>
      </c>
      <c r="C128" s="2"/>
      <c r="D128" s="31"/>
      <c r="E128" s="2"/>
      <c r="F128" s="2"/>
      <c r="G128" s="2"/>
      <c r="H128" s="24"/>
      <c r="I128" s="29">
        <f>(I30)</f>
        <v>23.389523838368149</v>
      </c>
      <c r="J128" s="232">
        <f>(J30)</f>
        <v>0.32621033605328598</v>
      </c>
      <c r="K128" s="22">
        <f>(B128)</f>
        <v>0.31510492901618925</v>
      </c>
      <c r="L128" s="22">
        <f>IF(L124=L119,0,(L119-L124)/(B119-B124)*K128)</f>
        <v>0.31510492901618925</v>
      </c>
      <c r="M128" s="57">
        <f t="shared" si="90"/>
        <v>0.32621033605328598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16.823344890173878</v>
      </c>
      <c r="C129" s="2"/>
      <c r="D129" s="31"/>
      <c r="E129" s="2"/>
      <c r="F129" s="2"/>
      <c r="G129" s="2"/>
      <c r="H129" s="24"/>
      <c r="I129" s="29"/>
      <c r="J129" s="232">
        <f>IF(SUM(J124:J128)&gt;J130,0,J130-SUM(J124:J128))</f>
        <v>16.815009069269511</v>
      </c>
      <c r="K129" s="29">
        <f>(B129)</f>
        <v>16.823344890173878</v>
      </c>
      <c r="L129" s="60">
        <f>IF(SUM(L124:L128)&gt;L130,0,L130-SUM(L124:L128))</f>
        <v>16.823344890173878</v>
      </c>
      <c r="M129" s="57">
        <f t="shared" si="90"/>
        <v>16.815009069269511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25.332161708219179</v>
      </c>
      <c r="C130" s="2"/>
      <c r="D130" s="31"/>
      <c r="E130" s="2"/>
      <c r="F130" s="2"/>
      <c r="G130" s="2"/>
      <c r="H130" s="24"/>
      <c r="I130" s="29">
        <f>(I119)</f>
        <v>25.151438460149439</v>
      </c>
      <c r="J130" s="232">
        <f>(J119)</f>
        <v>25.334931294351907</v>
      </c>
      <c r="K130" s="22">
        <f>(B130)</f>
        <v>25.332161708219179</v>
      </c>
      <c r="L130" s="22">
        <f>(L119)</f>
        <v>25.332161708219179</v>
      </c>
      <c r="M130" s="57">
        <f t="shared" si="90"/>
        <v>25.334931294351907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1.837746240597756</v>
      </c>
      <c r="J131" s="241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41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formatCells="0" formatColumns="0" formatRow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383" priority="145" operator="equal">
      <formula>16</formula>
    </cfRule>
    <cfRule type="cellIs" dxfId="382" priority="146" operator="equal">
      <formula>15</formula>
    </cfRule>
    <cfRule type="cellIs" dxfId="381" priority="147" operator="equal">
      <formula>14</formula>
    </cfRule>
    <cfRule type="cellIs" dxfId="380" priority="148" operator="equal">
      <formula>13</formula>
    </cfRule>
    <cfRule type="cellIs" dxfId="379" priority="149" operator="equal">
      <formula>12</formula>
    </cfRule>
    <cfRule type="cellIs" dxfId="378" priority="150" operator="equal">
      <formula>11</formula>
    </cfRule>
    <cfRule type="cellIs" dxfId="377" priority="151" operator="equal">
      <formula>10</formula>
    </cfRule>
    <cfRule type="cellIs" dxfId="376" priority="152" operator="equal">
      <formula>9</formula>
    </cfRule>
    <cfRule type="cellIs" dxfId="375" priority="153" operator="equal">
      <formula>8</formula>
    </cfRule>
    <cfRule type="cellIs" dxfId="374" priority="154" operator="equal">
      <formula>7</formula>
    </cfRule>
    <cfRule type="cellIs" dxfId="373" priority="155" operator="equal">
      <formula>6</formula>
    </cfRule>
    <cfRule type="cellIs" dxfId="372" priority="156" operator="equal">
      <formula>5</formula>
    </cfRule>
    <cfRule type="cellIs" dxfId="371" priority="157" operator="equal">
      <formula>4</formula>
    </cfRule>
    <cfRule type="cellIs" dxfId="370" priority="158" operator="equal">
      <formula>3</formula>
    </cfRule>
    <cfRule type="cellIs" dxfId="369" priority="159" operator="equal">
      <formula>2</formula>
    </cfRule>
    <cfRule type="cellIs" dxfId="368" priority="160" operator="equal">
      <formula>1</formula>
    </cfRule>
  </conditionalFormatting>
  <conditionalFormatting sqref="N29">
    <cfRule type="cellIs" dxfId="367" priority="129" operator="equal">
      <formula>16</formula>
    </cfRule>
    <cfRule type="cellIs" dxfId="366" priority="130" operator="equal">
      <formula>15</formula>
    </cfRule>
    <cfRule type="cellIs" dxfId="365" priority="131" operator="equal">
      <formula>14</formula>
    </cfRule>
    <cfRule type="cellIs" dxfId="364" priority="132" operator="equal">
      <formula>13</formula>
    </cfRule>
    <cfRule type="cellIs" dxfId="363" priority="133" operator="equal">
      <formula>12</formula>
    </cfRule>
    <cfRule type="cellIs" dxfId="362" priority="134" operator="equal">
      <formula>11</formula>
    </cfRule>
    <cfRule type="cellIs" dxfId="361" priority="135" operator="equal">
      <formula>10</formula>
    </cfRule>
    <cfRule type="cellIs" dxfId="360" priority="136" operator="equal">
      <formula>9</formula>
    </cfRule>
    <cfRule type="cellIs" dxfId="359" priority="137" operator="equal">
      <formula>8</formula>
    </cfRule>
    <cfRule type="cellIs" dxfId="358" priority="138" operator="equal">
      <formula>7</formula>
    </cfRule>
    <cfRule type="cellIs" dxfId="357" priority="139" operator="equal">
      <formula>6</formula>
    </cfRule>
    <cfRule type="cellIs" dxfId="356" priority="140" operator="equal">
      <formula>5</formula>
    </cfRule>
    <cfRule type="cellIs" dxfId="355" priority="141" operator="equal">
      <formula>4</formula>
    </cfRule>
    <cfRule type="cellIs" dxfId="354" priority="142" operator="equal">
      <formula>3</formula>
    </cfRule>
    <cfRule type="cellIs" dxfId="353" priority="143" operator="equal">
      <formula>2</formula>
    </cfRule>
    <cfRule type="cellIs" dxfId="352" priority="144" operator="equal">
      <formula>1</formula>
    </cfRule>
  </conditionalFormatting>
  <conditionalFormatting sqref="N113:N118">
    <cfRule type="cellIs" dxfId="351" priority="81" operator="equal">
      <formula>16</formula>
    </cfRule>
    <cfRule type="cellIs" dxfId="350" priority="82" operator="equal">
      <formula>15</formula>
    </cfRule>
    <cfRule type="cellIs" dxfId="349" priority="83" operator="equal">
      <formula>14</formula>
    </cfRule>
    <cfRule type="cellIs" dxfId="348" priority="84" operator="equal">
      <formula>13</formula>
    </cfRule>
    <cfRule type="cellIs" dxfId="347" priority="85" operator="equal">
      <formula>12</formula>
    </cfRule>
    <cfRule type="cellIs" dxfId="346" priority="86" operator="equal">
      <formula>11</formula>
    </cfRule>
    <cfRule type="cellIs" dxfId="345" priority="87" operator="equal">
      <formula>10</formula>
    </cfRule>
    <cfRule type="cellIs" dxfId="344" priority="88" operator="equal">
      <formula>9</formula>
    </cfRule>
    <cfRule type="cellIs" dxfId="343" priority="89" operator="equal">
      <formula>8</formula>
    </cfRule>
    <cfRule type="cellIs" dxfId="342" priority="90" operator="equal">
      <formula>7</formula>
    </cfRule>
    <cfRule type="cellIs" dxfId="341" priority="91" operator="equal">
      <formula>6</formula>
    </cfRule>
    <cfRule type="cellIs" dxfId="340" priority="92" operator="equal">
      <formula>5</formula>
    </cfRule>
    <cfRule type="cellIs" dxfId="339" priority="93" operator="equal">
      <formula>4</formula>
    </cfRule>
    <cfRule type="cellIs" dxfId="338" priority="94" operator="equal">
      <formula>3</formula>
    </cfRule>
    <cfRule type="cellIs" dxfId="337" priority="95" operator="equal">
      <formula>2</formula>
    </cfRule>
    <cfRule type="cellIs" dxfId="336" priority="96" operator="equal">
      <formula>1</formula>
    </cfRule>
  </conditionalFormatting>
  <conditionalFormatting sqref="N6:N28">
    <cfRule type="cellIs" dxfId="335" priority="65" operator="equal">
      <formula>16</formula>
    </cfRule>
    <cfRule type="cellIs" dxfId="334" priority="66" operator="equal">
      <formula>15</formula>
    </cfRule>
    <cfRule type="cellIs" dxfId="333" priority="67" operator="equal">
      <formula>14</formula>
    </cfRule>
    <cfRule type="cellIs" dxfId="332" priority="68" operator="equal">
      <formula>13</formula>
    </cfRule>
    <cfRule type="cellIs" dxfId="331" priority="69" operator="equal">
      <formula>12</formula>
    </cfRule>
    <cfRule type="cellIs" dxfId="330" priority="70" operator="equal">
      <formula>11</formula>
    </cfRule>
    <cfRule type="cellIs" dxfId="329" priority="71" operator="equal">
      <formula>10</formula>
    </cfRule>
    <cfRule type="cellIs" dxfId="328" priority="72" operator="equal">
      <formula>9</formula>
    </cfRule>
    <cfRule type="cellIs" dxfId="327" priority="73" operator="equal">
      <formula>8</formula>
    </cfRule>
    <cfRule type="cellIs" dxfId="326" priority="74" operator="equal">
      <formula>7</formula>
    </cfRule>
    <cfRule type="cellIs" dxfId="325" priority="75" operator="equal">
      <formula>6</formula>
    </cfRule>
    <cfRule type="cellIs" dxfId="324" priority="76" operator="equal">
      <formula>5</formula>
    </cfRule>
    <cfRule type="cellIs" dxfId="323" priority="77" operator="equal">
      <formula>4</formula>
    </cfRule>
    <cfRule type="cellIs" dxfId="322" priority="78" operator="equal">
      <formula>3</formula>
    </cfRule>
    <cfRule type="cellIs" dxfId="321" priority="79" operator="equal">
      <formula>2</formula>
    </cfRule>
    <cfRule type="cellIs" dxfId="320" priority="80" operator="equal">
      <formula>1</formula>
    </cfRule>
  </conditionalFormatting>
  <conditionalFormatting sqref="N112">
    <cfRule type="cellIs" dxfId="303" priority="33" operator="equal">
      <formula>16</formula>
    </cfRule>
    <cfRule type="cellIs" dxfId="302" priority="34" operator="equal">
      <formula>15</formula>
    </cfRule>
    <cfRule type="cellIs" dxfId="301" priority="35" operator="equal">
      <formula>14</formula>
    </cfRule>
    <cfRule type="cellIs" dxfId="300" priority="36" operator="equal">
      <formula>13</formula>
    </cfRule>
    <cfRule type="cellIs" dxfId="299" priority="37" operator="equal">
      <formula>12</formula>
    </cfRule>
    <cfRule type="cellIs" dxfId="298" priority="38" operator="equal">
      <formula>11</formula>
    </cfRule>
    <cfRule type="cellIs" dxfId="297" priority="39" operator="equal">
      <formula>10</formula>
    </cfRule>
    <cfRule type="cellIs" dxfId="296" priority="40" operator="equal">
      <formula>9</formula>
    </cfRule>
    <cfRule type="cellIs" dxfId="295" priority="41" operator="equal">
      <formula>8</formula>
    </cfRule>
    <cfRule type="cellIs" dxfId="294" priority="42" operator="equal">
      <formula>7</formula>
    </cfRule>
    <cfRule type="cellIs" dxfId="293" priority="43" operator="equal">
      <formula>6</formula>
    </cfRule>
    <cfRule type="cellIs" dxfId="292" priority="44" operator="equal">
      <formula>5</formula>
    </cfRule>
    <cfRule type="cellIs" dxfId="291" priority="45" operator="equal">
      <formula>4</formula>
    </cfRule>
    <cfRule type="cellIs" dxfId="290" priority="46" operator="equal">
      <formula>3</formula>
    </cfRule>
    <cfRule type="cellIs" dxfId="289" priority="47" operator="equal">
      <formula>2</formula>
    </cfRule>
    <cfRule type="cellIs" dxfId="288" priority="48" operator="equal">
      <formula>1</formula>
    </cfRule>
  </conditionalFormatting>
  <conditionalFormatting sqref="N91:N104">
    <cfRule type="cellIs" dxfId="159" priority="17" operator="equal">
      <formula>16</formula>
    </cfRule>
    <cfRule type="cellIs" dxfId="158" priority="18" operator="equal">
      <formula>15</formula>
    </cfRule>
    <cfRule type="cellIs" dxfId="157" priority="19" operator="equal">
      <formula>14</formula>
    </cfRule>
    <cfRule type="cellIs" dxfId="156" priority="20" operator="equal">
      <formula>13</formula>
    </cfRule>
    <cfRule type="cellIs" dxfId="155" priority="21" operator="equal">
      <formula>12</formula>
    </cfRule>
    <cfRule type="cellIs" dxfId="154" priority="22" operator="equal">
      <formula>11</formula>
    </cfRule>
    <cfRule type="cellIs" dxfId="153" priority="23" operator="equal">
      <formula>10</formula>
    </cfRule>
    <cfRule type="cellIs" dxfId="152" priority="24" operator="equal">
      <formula>9</formula>
    </cfRule>
    <cfRule type="cellIs" dxfId="151" priority="25" operator="equal">
      <formula>8</formula>
    </cfRule>
    <cfRule type="cellIs" dxfId="150" priority="26" operator="equal">
      <formula>7</formula>
    </cfRule>
    <cfRule type="cellIs" dxfId="149" priority="27" operator="equal">
      <formula>6</formula>
    </cfRule>
    <cfRule type="cellIs" dxfId="148" priority="28" operator="equal">
      <formula>5</formula>
    </cfRule>
    <cfRule type="cellIs" dxfId="147" priority="29" operator="equal">
      <formula>4</formula>
    </cfRule>
    <cfRule type="cellIs" dxfId="146" priority="30" operator="equal">
      <formula>3</formula>
    </cfRule>
    <cfRule type="cellIs" dxfId="145" priority="31" operator="equal">
      <formula>2</formula>
    </cfRule>
    <cfRule type="cellIs" dxfId="144" priority="32" operator="equal">
      <formula>1</formula>
    </cfRule>
  </conditionalFormatting>
  <conditionalFormatting sqref="N105:N111">
    <cfRule type="cellIs" dxfId="127" priority="1" operator="equal">
      <formula>16</formula>
    </cfRule>
    <cfRule type="cellIs" dxfId="126" priority="2" operator="equal">
      <formula>15</formula>
    </cfRule>
    <cfRule type="cellIs" dxfId="125" priority="3" operator="equal">
      <formula>14</formula>
    </cfRule>
    <cfRule type="cellIs" dxfId="124" priority="4" operator="equal">
      <formula>13</formula>
    </cfRule>
    <cfRule type="cellIs" dxfId="123" priority="5" operator="equal">
      <formula>12</formula>
    </cfRule>
    <cfRule type="cellIs" dxfId="122" priority="6" operator="equal">
      <formula>11</formula>
    </cfRule>
    <cfRule type="cellIs" dxfId="121" priority="7" operator="equal">
      <formula>10</formula>
    </cfRule>
    <cfRule type="cellIs" dxfId="120" priority="8" operator="equal">
      <formula>9</formula>
    </cfRule>
    <cfRule type="cellIs" dxfId="119" priority="9" operator="equal">
      <formula>8</formula>
    </cfRule>
    <cfRule type="cellIs" dxfId="118" priority="10" operator="equal">
      <formula>7</formula>
    </cfRule>
    <cfRule type="cellIs" dxfId="117" priority="11" operator="equal">
      <formula>6</formula>
    </cfRule>
    <cfRule type="cellIs" dxfId="116" priority="12" operator="equal">
      <formula>5</formula>
    </cfRule>
    <cfRule type="cellIs" dxfId="115" priority="13" operator="equal">
      <formula>4</formula>
    </cfRule>
    <cfRule type="cellIs" dxfId="114" priority="14" operator="equal">
      <formula>3</formula>
    </cfRule>
    <cfRule type="cellIs" dxfId="113" priority="15" operator="equal">
      <formula>2</formula>
    </cfRule>
    <cfRule type="cellIs" dxfId="112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68"/>
      <c r="B2" s="268"/>
      <c r="C2" s="268"/>
      <c r="D2" s="268"/>
      <c r="E2" s="268"/>
      <c r="F2" s="269"/>
      <c r="G2" s="266"/>
      <c r="H2" s="266"/>
      <c r="I2" s="266"/>
      <c r="J2" s="266"/>
      <c r="K2" s="270" t="str">
        <f>Poor!A1</f>
        <v>ZAKHC: 59208</v>
      </c>
      <c r="L2" s="270"/>
      <c r="M2" s="270"/>
      <c r="N2" s="270"/>
      <c r="O2" s="270"/>
      <c r="P2" s="270"/>
      <c r="Q2" s="270"/>
      <c r="R2" s="268"/>
      <c r="S2" s="268"/>
      <c r="T2" s="268"/>
      <c r="U2" s="268"/>
      <c r="V2" s="268"/>
    </row>
    <row r="3" spans="1:22" s="92" customFormat="1" ht="17">
      <c r="A3" s="90"/>
      <c r="B3" s="263" t="str">
        <f>V.Poor!A3</f>
        <v>Sources of Food : Very Poor HHs</v>
      </c>
      <c r="C3" s="264"/>
      <c r="D3" s="264"/>
      <c r="E3" s="264"/>
      <c r="F3" s="262"/>
      <c r="G3" s="265" t="str">
        <f>Poor!A3</f>
        <v>Sources of Food : Poor HHs</v>
      </c>
      <c r="H3" s="265"/>
      <c r="I3" s="265"/>
      <c r="J3" s="265"/>
      <c r="K3" s="266"/>
      <c r="L3" s="265" t="str">
        <f>Middle!A3</f>
        <v>Sources of Food : Middle HHs</v>
      </c>
      <c r="M3" s="265"/>
      <c r="N3" s="265"/>
      <c r="O3" s="265"/>
      <c r="P3" s="265"/>
      <c r="Q3" s="267"/>
      <c r="R3" s="265" t="str">
        <f>Rich!A3</f>
        <v>Sources of Food : Better-off HHs</v>
      </c>
      <c r="S3" s="265"/>
      <c r="T3" s="265"/>
      <c r="U3" s="265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E53" workbookViewId="0">
      <selection activeCell="U85" sqref="U85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59" t="str">
        <f>Poor!A1</f>
        <v>ZAKHC: 59208</v>
      </c>
      <c r="L2" s="259"/>
      <c r="M2" s="259"/>
      <c r="N2" s="259"/>
      <c r="O2" s="259"/>
      <c r="P2" s="259"/>
      <c r="Q2" s="259"/>
      <c r="R2" s="87"/>
      <c r="S2" s="87"/>
      <c r="T2" s="87"/>
      <c r="U2" s="87"/>
      <c r="V2" s="87"/>
    </row>
    <row r="3" spans="1:22" s="92" customFormat="1" ht="17">
      <c r="A3" s="90"/>
      <c r="B3" s="89"/>
      <c r="C3" s="260" t="str">
        <f>V.Poor!A34</f>
        <v>Income : Very Poor HHs</v>
      </c>
      <c r="D3" s="260"/>
      <c r="E3" s="260"/>
      <c r="F3" s="90"/>
      <c r="G3" s="258" t="str">
        <f>Poor!A34</f>
        <v>Income : Poor HHs</v>
      </c>
      <c r="H3" s="258"/>
      <c r="I3" s="258"/>
      <c r="J3" s="258"/>
      <c r="K3" s="89"/>
      <c r="L3" s="258" t="str">
        <f>Middle!A34</f>
        <v>Income : Middle HHs</v>
      </c>
      <c r="M3" s="258"/>
      <c r="N3" s="258"/>
      <c r="O3" s="258"/>
      <c r="P3" s="258"/>
      <c r="Q3" s="91"/>
      <c r="R3" s="258" t="str">
        <f>Rich!A34</f>
        <v>Income : Better-off HHs</v>
      </c>
      <c r="S3" s="258"/>
      <c r="T3" s="258"/>
      <c r="U3" s="258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708.82399368587198</v>
      </c>
      <c r="C72" s="109">
        <f>Poor!R7</f>
        <v>1947.5138121546961</v>
      </c>
      <c r="D72" s="109">
        <f>Middle!R7</f>
        <v>1795.2644041041829</v>
      </c>
      <c r="E72" s="109">
        <f>Rich!R7</f>
        <v>1257.3480662983425</v>
      </c>
      <c r="F72" s="109">
        <f>V.Poor!T7</f>
        <v>708.82399368587198</v>
      </c>
      <c r="G72" s="109">
        <f>Poor!T7</f>
        <v>1963.4079509528715</v>
      </c>
      <c r="H72" s="109">
        <f>Middle!T7</f>
        <v>1427.4131054957347</v>
      </c>
      <c r="I72" s="109">
        <f>Rich!T7</f>
        <v>1134.411827739784</v>
      </c>
    </row>
    <row r="73" spans="1:9">
      <c r="A73" t="str">
        <f>V.Poor!Q8</f>
        <v>Own crops sold</v>
      </c>
      <c r="B73" s="109">
        <f>V.Poor!R8</f>
        <v>0</v>
      </c>
      <c r="C73" s="109">
        <f>Poor!R8</f>
        <v>1660.0000000000002</v>
      </c>
      <c r="D73" s="109">
        <f>Middle!R8</f>
        <v>25314.28571428571</v>
      </c>
      <c r="E73" s="109">
        <f>Rich!R8</f>
        <v>10032</v>
      </c>
      <c r="F73" s="109">
        <f>V.Poor!T8</f>
        <v>0</v>
      </c>
      <c r="G73" s="109">
        <f>Poor!T8</f>
        <v>1646.3007660834776</v>
      </c>
      <c r="H73" s="109">
        <f>Middle!T8</f>
        <v>25560.046404858844</v>
      </c>
      <c r="I73" s="109">
        <f>Rich!T8</f>
        <v>10093.790452564534</v>
      </c>
    </row>
    <row r="74" spans="1:9">
      <c r="A74" t="str">
        <f>V.Poor!Q9</f>
        <v>Animal products consumed</v>
      </c>
      <c r="B74" s="109">
        <f>V.Poor!R9</f>
        <v>85.83267561168114</v>
      </c>
      <c r="C74" s="109">
        <f>Poor!R9</f>
        <v>410.80673434582877</v>
      </c>
      <c r="D74" s="109">
        <f>Middle!R9</f>
        <v>1192.8527655866458</v>
      </c>
      <c r="E74" s="109">
        <f>Rich!R9</f>
        <v>1463.5175033134919</v>
      </c>
      <c r="F74" s="109">
        <f>V.Poor!T9</f>
        <v>85.83267561168114</v>
      </c>
      <c r="G74" s="109">
        <f>Poor!T9</f>
        <v>410.80673434582877</v>
      </c>
      <c r="H74" s="109">
        <f>Middle!T9</f>
        <v>1192.8527655866458</v>
      </c>
      <c r="I74" s="109">
        <f>Rich!T9</f>
        <v>1463.5175033134919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0</v>
      </c>
      <c r="D75" s="109">
        <f>Middle!R10</f>
        <v>0</v>
      </c>
      <c r="E75" s="109">
        <f>Rich!R10</f>
        <v>0</v>
      </c>
      <c r="F75" s="109">
        <f>V.Poor!T10</f>
        <v>0</v>
      </c>
      <c r="G75" s="109">
        <f>Poor!T10</f>
        <v>0</v>
      </c>
      <c r="H75" s="109">
        <f>Middle!T10</f>
        <v>0</v>
      </c>
      <c r="I75" s="109">
        <f>Rich!T10</f>
        <v>0</v>
      </c>
    </row>
    <row r="76" spans="1:9">
      <c r="A76" t="str">
        <f>V.Poor!Q11</f>
        <v>Animals sold</v>
      </c>
      <c r="B76" s="109">
        <f>V.Poor!R11</f>
        <v>1285.7142857142858</v>
      </c>
      <c r="C76" s="109">
        <f>Poor!R11</f>
        <v>9749.9999999999982</v>
      </c>
      <c r="D76" s="109">
        <f>Middle!R11</f>
        <v>28457.142857142851</v>
      </c>
      <c r="E76" s="109">
        <f>Rich!R11</f>
        <v>32750</v>
      </c>
      <c r="F76" s="109">
        <f>V.Poor!T11</f>
        <v>1285.7142857142858</v>
      </c>
      <c r="G76" s="109">
        <f>Poor!T11</f>
        <v>9535.9494700543346</v>
      </c>
      <c r="H76" s="109">
        <f>Middle!T11</f>
        <v>28256.52188524642</v>
      </c>
      <c r="I76" s="109">
        <f>Rich!T11</f>
        <v>32711.687467407901</v>
      </c>
    </row>
    <row r="77" spans="1:9">
      <c r="A77" t="str">
        <f>V.Poor!Q12</f>
        <v>Wild foods consumed and sold</v>
      </c>
      <c r="B77" s="109">
        <f>V.Poor!R12</f>
        <v>0</v>
      </c>
      <c r="C77" s="109">
        <f>Poor!R12</f>
        <v>0</v>
      </c>
      <c r="D77" s="109">
        <f>Middle!R12</f>
        <v>0</v>
      </c>
      <c r="E77" s="109">
        <f>Rich!R12</f>
        <v>0</v>
      </c>
      <c r="F77" s="109">
        <f>V.Poor!T12</f>
        <v>1111.4543554746308</v>
      </c>
      <c r="G77" s="109">
        <f>Poor!T12</f>
        <v>100.50549964316137</v>
      </c>
      <c r="H77" s="109">
        <f>Middle!T12</f>
        <v>0</v>
      </c>
      <c r="I77" s="109">
        <f>Rich!T12</f>
        <v>0</v>
      </c>
    </row>
    <row r="78" spans="1:9">
      <c r="A78" t="str">
        <f>V.Poor!Q13</f>
        <v>Labour - casual</v>
      </c>
      <c r="B78" s="109">
        <f>V.Poor!R13</f>
        <v>7428.5714285714284</v>
      </c>
      <c r="C78" s="109">
        <f>Poor!R13</f>
        <v>4959.9999999999991</v>
      </c>
      <c r="D78" s="109">
        <f>Middle!R13</f>
        <v>0</v>
      </c>
      <c r="E78" s="109">
        <f>Rich!R13</f>
        <v>0</v>
      </c>
      <c r="F78" s="109">
        <f>V.Poor!T13</f>
        <v>7428.5714285714284</v>
      </c>
      <c r="G78" s="109">
        <f>Poor!T13</f>
        <v>4959.9999999999991</v>
      </c>
      <c r="H78" s="109">
        <f>Middle!T13</f>
        <v>0</v>
      </c>
      <c r="I78" s="109">
        <f>Rich!T13</f>
        <v>0</v>
      </c>
    </row>
    <row r="79" spans="1:9">
      <c r="A79" t="str">
        <f>V.Poor!Q14</f>
        <v>Labour - formal emp</v>
      </c>
      <c r="B79" s="109">
        <f>V.Poor!R14</f>
        <v>0</v>
      </c>
      <c r="C79" s="109">
        <f>Poor!R14</f>
        <v>0</v>
      </c>
      <c r="D79" s="109">
        <f>Middle!R14</f>
        <v>21942.857142857141</v>
      </c>
      <c r="E79" s="109">
        <f>Rich!R14</f>
        <v>75600</v>
      </c>
      <c r="F79" s="109">
        <f>V.Poor!T14</f>
        <v>0</v>
      </c>
      <c r="G79" s="109">
        <f>Poor!T14</f>
        <v>0</v>
      </c>
      <c r="H79" s="109">
        <f>Middle!T14</f>
        <v>21942.857142857141</v>
      </c>
      <c r="I79" s="109">
        <f>Rich!T14</f>
        <v>75600</v>
      </c>
    </row>
    <row r="80" spans="1:9">
      <c r="A80" t="str">
        <f>V.Poor!Q15</f>
        <v>Labour - public works</v>
      </c>
      <c r="B80" s="109">
        <f>V.Poor!R15</f>
        <v>0</v>
      </c>
      <c r="C80" s="109">
        <f>Poor!R15</f>
        <v>14916</v>
      </c>
      <c r="D80" s="109">
        <f>Middle!R15</f>
        <v>0</v>
      </c>
      <c r="E80" s="109">
        <f>Rich!R15</f>
        <v>0</v>
      </c>
      <c r="F80" s="109">
        <f>V.Poor!T15</f>
        <v>0</v>
      </c>
      <c r="G80" s="109">
        <f>Poor!T15</f>
        <v>14916</v>
      </c>
      <c r="H80" s="109">
        <f>Middle!T15</f>
        <v>0</v>
      </c>
      <c r="I80" s="109">
        <f>Rich!T15</f>
        <v>0</v>
      </c>
    </row>
    <row r="81" spans="1:9">
      <c r="A81" t="str">
        <f>V.Poor!Q16</f>
        <v>Self - employment</v>
      </c>
      <c r="B81" s="109">
        <f>V.Poor!R16</f>
        <v>0</v>
      </c>
      <c r="C81" s="109">
        <f>Poor!R16</f>
        <v>0</v>
      </c>
      <c r="D81" s="109">
        <f>Middle!R16</f>
        <v>0</v>
      </c>
      <c r="E81" s="109">
        <f>Rich!R16</f>
        <v>0</v>
      </c>
      <c r="F81" s="109">
        <f>V.Poor!T16</f>
        <v>0</v>
      </c>
      <c r="G81" s="109">
        <f>Poor!T16</f>
        <v>0</v>
      </c>
      <c r="H81" s="109">
        <f>Middle!T16</f>
        <v>0</v>
      </c>
      <c r="I81" s="109">
        <f>Rich!T16</f>
        <v>0</v>
      </c>
    </row>
    <row r="82" spans="1:9">
      <c r="A82" t="str">
        <f>V.Poor!Q17</f>
        <v>Small business/petty trading</v>
      </c>
      <c r="B82" s="109">
        <f>V.Poor!R17</f>
        <v>0</v>
      </c>
      <c r="C82" s="109">
        <f>Poor!R17</f>
        <v>0</v>
      </c>
      <c r="D82" s="109">
        <f>Middle!R17</f>
        <v>0</v>
      </c>
      <c r="E82" s="109">
        <f>Rich!R17</f>
        <v>62700</v>
      </c>
      <c r="F82" s="109">
        <f>V.Poor!T17</f>
        <v>0</v>
      </c>
      <c r="G82" s="109">
        <f>Poor!T17</f>
        <v>0</v>
      </c>
      <c r="H82" s="109">
        <f>Middle!T17</f>
        <v>0</v>
      </c>
      <c r="I82" s="109">
        <f>Rich!T17</f>
        <v>62700</v>
      </c>
    </row>
    <row r="83" spans="1:9">
      <c r="A83" t="str">
        <f>V.Poor!Q18</f>
        <v>Food transfer - official</v>
      </c>
      <c r="B83" s="109">
        <f>V.Poor!R18</f>
        <v>1009.1726124276728</v>
      </c>
      <c r="C83" s="109">
        <f>Poor!R18</f>
        <v>1009.1726124276729</v>
      </c>
      <c r="D83" s="109">
        <f>Middle!R18</f>
        <v>1009.1726124276728</v>
      </c>
      <c r="E83" s="109">
        <f>Rich!R18</f>
        <v>0</v>
      </c>
      <c r="F83" s="109">
        <f>V.Poor!T18</f>
        <v>1009.1726124276728</v>
      </c>
      <c r="G83" s="109">
        <f>Poor!T18</f>
        <v>1009.1726124276729</v>
      </c>
      <c r="H83" s="109">
        <f>Middle!T18</f>
        <v>1009.1726124276728</v>
      </c>
      <c r="I83" s="109">
        <f>Rich!T18</f>
        <v>0</v>
      </c>
    </row>
    <row r="84" spans="1:9">
      <c r="A84" t="str">
        <f>V.Poor!Q19</f>
        <v>Food transfer - gifts</v>
      </c>
      <c r="B84" s="109">
        <f>V.Poor!R19</f>
        <v>0</v>
      </c>
      <c r="C84" s="109">
        <f>Poor!R19</f>
        <v>0</v>
      </c>
      <c r="D84" s="109">
        <f>Middle!R19</f>
        <v>0</v>
      </c>
      <c r="E84" s="109">
        <f>Rich!R19</f>
        <v>0</v>
      </c>
      <c r="F84" s="109">
        <f>V.Poor!T19</f>
        <v>0</v>
      </c>
      <c r="G84" s="109">
        <f>Poor!T19</f>
        <v>0</v>
      </c>
      <c r="H84" s="109">
        <f>Middle!T19</f>
        <v>0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23108.571428571428</v>
      </c>
      <c r="C85" s="109">
        <f>Poor!R20</f>
        <v>22020</v>
      </c>
      <c r="D85" s="109">
        <f>Middle!R20</f>
        <v>8708.5714285714294</v>
      </c>
      <c r="E85" s="109">
        <f>Rich!R20</f>
        <v>7620</v>
      </c>
      <c r="F85" s="109">
        <f>V.Poor!T20</f>
        <v>23108.571428571428</v>
      </c>
      <c r="G85" s="109">
        <f>Poor!T20</f>
        <v>22020</v>
      </c>
      <c r="H85" s="109">
        <f>Middle!T20</f>
        <v>8708.5714285714294</v>
      </c>
      <c r="I85" s="109">
        <f>Rich!T20</f>
        <v>7620</v>
      </c>
    </row>
    <row r="86" spans="1:9">
      <c r="A86" t="str">
        <f>V.Poor!Q21</f>
        <v>Cash transfer - gifts</v>
      </c>
      <c r="B86" s="109">
        <f>V.Poor!R21</f>
        <v>0</v>
      </c>
      <c r="C86" s="109">
        <f>Poor!R21</f>
        <v>0</v>
      </c>
      <c r="D86" s="109">
        <f>Middle!R21</f>
        <v>13714.285714285714</v>
      </c>
      <c r="E86" s="109">
        <f>Rich!R21</f>
        <v>26040</v>
      </c>
      <c r="F86" s="109">
        <f>V.Poor!T21</f>
        <v>0</v>
      </c>
      <c r="G86" s="109">
        <f>Poor!T21</f>
        <v>0</v>
      </c>
      <c r="H86" s="109">
        <f>Middle!T21</f>
        <v>13714.285714285714</v>
      </c>
      <c r="I86" s="109">
        <f>Rich!T21</f>
        <v>26040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0</v>
      </c>
      <c r="D87" s="109">
        <f>Middle!R22</f>
        <v>0</v>
      </c>
      <c r="E87" s="109">
        <f>Rich!R22</f>
        <v>0</v>
      </c>
      <c r="F87" s="109">
        <f>V.Poor!T22</f>
        <v>0</v>
      </c>
      <c r="G87" s="109">
        <f>Poor!T22</f>
        <v>0</v>
      </c>
      <c r="H87" s="109">
        <f>Middle!T22</f>
        <v>0</v>
      </c>
      <c r="I87" s="109">
        <f>Rich!T22</f>
        <v>0</v>
      </c>
    </row>
    <row r="88" spans="1:9">
      <c r="A88" t="str">
        <f>V.Poor!Q23</f>
        <v>TOTAL</v>
      </c>
      <c r="B88" s="109">
        <f>V.Poor!R23</f>
        <v>33626.686424582367</v>
      </c>
      <c r="C88" s="109">
        <f>Poor!R23</f>
        <v>56673.493158928199</v>
      </c>
      <c r="D88" s="109">
        <f>Middle!R23</f>
        <v>102134.43263926136</v>
      </c>
      <c r="E88" s="109">
        <f>Rich!R23</f>
        <v>217462.86556961184</v>
      </c>
      <c r="F88" s="109">
        <f>V.Poor!T23</f>
        <v>34738.140780057001</v>
      </c>
      <c r="G88" s="109">
        <f>Poor!T23</f>
        <v>56562.143033507353</v>
      </c>
      <c r="H88" s="109">
        <f>Middle!T23</f>
        <v>101811.7210593296</v>
      </c>
      <c r="I88" s="109">
        <f>Rich!T23</f>
        <v>217363.40725102572</v>
      </c>
    </row>
    <row r="89" spans="1:9">
      <c r="A89" t="str">
        <f>V.Poor!Q24</f>
        <v>Food Poverty line</v>
      </c>
      <c r="B89" s="109">
        <f>V.Poor!R24</f>
        <v>19286.708587419434</v>
      </c>
      <c r="C89" s="109">
        <f>Poor!R24</f>
        <v>19286.708587419431</v>
      </c>
      <c r="D89" s="109">
        <f>Middle!R24</f>
        <v>19286.708587419424</v>
      </c>
      <c r="E89" s="109">
        <f>Rich!R24</f>
        <v>19286.708587419434</v>
      </c>
      <c r="F89" s="109">
        <f>V.Poor!T24</f>
        <v>19286.708587419434</v>
      </c>
      <c r="G89" s="109">
        <f>Poor!T24</f>
        <v>19286.708587419431</v>
      </c>
      <c r="H89" s="109">
        <f>Middle!T24</f>
        <v>19286.708587419424</v>
      </c>
      <c r="I89" s="109">
        <f>Rich!T24</f>
        <v>19286.708587419434</v>
      </c>
    </row>
    <row r="90" spans="1:9">
      <c r="A90" s="108" t="str">
        <f>V.Poor!Q25</f>
        <v>Lower Bound Poverty line</v>
      </c>
      <c r="B90" s="109">
        <f>V.Poor!R25</f>
        <v>34865.375254086095</v>
      </c>
      <c r="C90" s="109">
        <f>Poor!R25</f>
        <v>34865.375254086095</v>
      </c>
      <c r="D90" s="109">
        <f>Middle!R25</f>
        <v>34865.375254086095</v>
      </c>
      <c r="E90" s="109">
        <f>Rich!R25</f>
        <v>34865.375254086102</v>
      </c>
      <c r="F90" s="109">
        <f>V.Poor!T25</f>
        <v>34865.375254086095</v>
      </c>
      <c r="G90" s="109">
        <f>Poor!T25</f>
        <v>34865.375254086095</v>
      </c>
      <c r="H90" s="109">
        <f>Middle!T25</f>
        <v>34865.375254086095</v>
      </c>
      <c r="I90" s="109">
        <f>Rich!T25</f>
        <v>34865.375254086102</v>
      </c>
    </row>
    <row r="91" spans="1:9">
      <c r="A91" s="108" t="str">
        <f>V.Poor!Q26</f>
        <v>Upper Bound Poverty line</v>
      </c>
      <c r="B91" s="109">
        <f>V.Poor!R26</f>
        <v>62609.375254086095</v>
      </c>
      <c r="C91" s="109">
        <f>Poor!R26</f>
        <v>62609.375254086095</v>
      </c>
      <c r="D91" s="109">
        <f>Middle!R26</f>
        <v>62609.375254086095</v>
      </c>
      <c r="E91" s="109">
        <f>Rich!R26</f>
        <v>62609.375254086102</v>
      </c>
      <c r="F91" s="109">
        <f>V.Poor!T26</f>
        <v>62609.375254086095</v>
      </c>
      <c r="G91" s="109">
        <f>Poor!T26</f>
        <v>62609.375254086095</v>
      </c>
      <c r="H91" s="109">
        <f>Middle!T26</f>
        <v>62609.375254086095</v>
      </c>
      <c r="I91" s="109">
        <f>Rich!T26</f>
        <v>62609.375254086102</v>
      </c>
    </row>
    <row r="92" spans="1:9">
      <c r="A92" s="108" t="str">
        <f>V.Poor!Q27</f>
        <v>Resilience line</v>
      </c>
      <c r="B92" s="109">
        <f>V.Poor!R27</f>
        <v>67264.232396943233</v>
      </c>
      <c r="C92" s="109">
        <f>Poor!R27</f>
        <v>67265.375254086102</v>
      </c>
      <c r="D92" s="109">
        <f>Middle!R27</f>
        <v>87066.518111228957</v>
      </c>
      <c r="E92" s="109">
        <f>Rich!R27</f>
        <v>73809.375254086117</v>
      </c>
      <c r="F92" s="109">
        <f>V.Poor!T27</f>
        <v>67264.232396943233</v>
      </c>
      <c r="G92" s="109">
        <f>Poor!T27</f>
        <v>67265.375254086102</v>
      </c>
      <c r="H92" s="109">
        <f>Middle!T27</f>
        <v>87066.518111228957</v>
      </c>
      <c r="I92" s="109">
        <f>Rich!T27</f>
        <v>73809.375254086117</v>
      </c>
    </row>
    <row r="93" spans="1:9">
      <c r="A93" t="str">
        <f>V.Poor!Q24</f>
        <v>Food Poverty line</v>
      </c>
      <c r="F93" s="109">
        <f>V.Poor!T24</f>
        <v>19286.708587419434</v>
      </c>
      <c r="G93" s="109">
        <f>Poor!T24</f>
        <v>19286.708587419431</v>
      </c>
      <c r="H93" s="109">
        <f>Middle!T24</f>
        <v>19286.708587419424</v>
      </c>
      <c r="I93" s="109">
        <f>Rich!T24</f>
        <v>19286.708587419434</v>
      </c>
    </row>
    <row r="94" spans="1:9">
      <c r="A94" t="str">
        <f>V.Poor!Q25</f>
        <v>Lower Bound Poverty line</v>
      </c>
      <c r="F94" s="109">
        <f>V.Poor!T25</f>
        <v>34865.375254086095</v>
      </c>
      <c r="G94" s="109">
        <f>Poor!T25</f>
        <v>34865.375254086095</v>
      </c>
      <c r="H94" s="109">
        <f>Middle!T25</f>
        <v>34865.375254086095</v>
      </c>
      <c r="I94" s="109">
        <f>Rich!T25</f>
        <v>34865.375254086102</v>
      </c>
    </row>
    <row r="95" spans="1:9">
      <c r="A95" t="str">
        <f>V.Poor!Q26</f>
        <v>Upper Bound Poverty line</v>
      </c>
      <c r="F95" s="109">
        <f>V.Poor!T26</f>
        <v>62609.375254086095</v>
      </c>
      <c r="G95" s="109">
        <f>Poor!T26</f>
        <v>62609.375254086095</v>
      </c>
      <c r="H95" s="109">
        <f>Middle!T26</f>
        <v>62609.375254086095</v>
      </c>
      <c r="I95" s="109">
        <f>Rich!T26</f>
        <v>62609.375254086102</v>
      </c>
    </row>
    <row r="96" spans="1:9">
      <c r="A96" t="str">
        <f>V.Poor!Q27</f>
        <v>Resilience line</v>
      </c>
      <c r="F96" s="109">
        <f>V.Poor!T27</f>
        <v>67264.232396943233</v>
      </c>
      <c r="G96" s="109">
        <f>Poor!T27</f>
        <v>67265.375254086102</v>
      </c>
      <c r="H96" s="109">
        <f>Middle!T27</f>
        <v>87066.518111228957</v>
      </c>
      <c r="I96" s="109">
        <f>Rich!T27</f>
        <v>73809.375254086117</v>
      </c>
    </row>
    <row r="98" spans="1:9">
      <c r="A98" t="s">
        <v>141</v>
      </c>
      <c r="B98" s="243">
        <f>IF(B89&gt;B$88,B89-B$88,0)</f>
        <v>0</v>
      </c>
      <c r="C98" s="243">
        <f t="shared" ref="C98:I101" si="0">IF(C89&gt;C$88,C89-C$88,0)</f>
        <v>0</v>
      </c>
      <c r="D98" s="243">
        <f t="shared" si="0"/>
        <v>0</v>
      </c>
      <c r="E98" s="243">
        <f t="shared" si="0"/>
        <v>0</v>
      </c>
      <c r="F98" s="243">
        <f t="shared" si="0"/>
        <v>0</v>
      </c>
      <c r="G98" s="243">
        <f t="shared" si="0"/>
        <v>0</v>
      </c>
      <c r="H98" s="243">
        <f t="shared" si="0"/>
        <v>0</v>
      </c>
      <c r="I98" s="243">
        <f t="shared" si="0"/>
        <v>0</v>
      </c>
    </row>
    <row r="99" spans="1:9">
      <c r="A99" t="s">
        <v>142</v>
      </c>
      <c r="B99" s="243">
        <f>IF(B90&gt;B$88,B90-B$88,0)</f>
        <v>1238.6888295037279</v>
      </c>
      <c r="C99" s="243">
        <f t="shared" si="0"/>
        <v>0</v>
      </c>
      <c r="D99" s="243">
        <f t="shared" si="0"/>
        <v>0</v>
      </c>
      <c r="E99" s="243">
        <f t="shared" si="0"/>
        <v>0</v>
      </c>
      <c r="F99" s="243">
        <f t="shared" si="0"/>
        <v>127.23447402909369</v>
      </c>
      <c r="G99" s="243">
        <f t="shared" si="0"/>
        <v>0</v>
      </c>
      <c r="H99" s="243">
        <f t="shared" si="0"/>
        <v>0</v>
      </c>
      <c r="I99" s="243">
        <f t="shared" si="0"/>
        <v>0</v>
      </c>
    </row>
    <row r="100" spans="1:9">
      <c r="A100" t="s">
        <v>143</v>
      </c>
      <c r="B100" s="243">
        <f>IF(B91&gt;B$88,B91-B$88,0)</f>
        <v>28982.688829503728</v>
      </c>
      <c r="C100" s="243">
        <f t="shared" si="0"/>
        <v>5935.8820951578964</v>
      </c>
      <c r="D100" s="243">
        <f t="shared" si="0"/>
        <v>0</v>
      </c>
      <c r="E100" s="243">
        <f t="shared" si="0"/>
        <v>0</v>
      </c>
      <c r="F100" s="243">
        <f t="shared" si="0"/>
        <v>27871.234474029094</v>
      </c>
      <c r="G100" s="243">
        <f t="shared" si="0"/>
        <v>6047.2322205787423</v>
      </c>
      <c r="H100" s="243">
        <f t="shared" si="0"/>
        <v>0</v>
      </c>
      <c r="I100" s="243">
        <f t="shared" si="0"/>
        <v>0</v>
      </c>
    </row>
    <row r="101" spans="1:9">
      <c r="A101" t="s">
        <v>144</v>
      </c>
      <c r="B101" s="243">
        <f>IF(B92&gt;B$88,B92-B$88,0)</f>
        <v>33637.545972360866</v>
      </c>
      <c r="C101" s="243">
        <f t="shared" si="0"/>
        <v>10591.882095157904</v>
      </c>
      <c r="D101" s="243">
        <f t="shared" si="0"/>
        <v>0</v>
      </c>
      <c r="E101" s="243">
        <f t="shared" si="0"/>
        <v>0</v>
      </c>
      <c r="F101" s="243">
        <f t="shared" si="0"/>
        <v>32526.091616886231</v>
      </c>
      <c r="G101" s="243">
        <f t="shared" si="0"/>
        <v>10703.23222057875</v>
      </c>
      <c r="H101" s="243">
        <f t="shared" si="0"/>
        <v>0</v>
      </c>
      <c r="I101" s="243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72" customFormat="1" ht="19">
      <c r="A2" s="268"/>
      <c r="B2" s="268"/>
      <c r="C2" s="268"/>
      <c r="D2" s="268"/>
      <c r="E2" s="268"/>
      <c r="F2" s="268"/>
      <c r="G2" s="266"/>
      <c r="H2" s="266"/>
      <c r="I2" s="266"/>
      <c r="J2" s="266"/>
      <c r="K2" s="270" t="str">
        <f>Poor!A1</f>
        <v>ZAKHC: 59208</v>
      </c>
      <c r="L2" s="270"/>
      <c r="M2" s="270"/>
      <c r="N2" s="270"/>
      <c r="O2" s="270"/>
      <c r="P2" s="270"/>
      <c r="Q2" s="270"/>
      <c r="R2" s="268"/>
      <c r="S2" s="268"/>
      <c r="T2" s="268"/>
      <c r="U2" s="268"/>
      <c r="V2" s="268"/>
    </row>
    <row r="3" spans="1:22" s="92" customFormat="1" ht="17">
      <c r="A3" s="90"/>
      <c r="B3" s="263" t="str">
        <f>V.Poor!A67</f>
        <v>Expenditure : Very Poor HHs</v>
      </c>
      <c r="C3" s="263"/>
      <c r="D3" s="263"/>
      <c r="E3" s="263"/>
      <c r="F3" s="271"/>
      <c r="G3" s="265" t="str">
        <f>Poor!A67</f>
        <v>Expenditure : Poor HHs</v>
      </c>
      <c r="H3" s="265"/>
      <c r="I3" s="265"/>
      <c r="J3" s="265"/>
      <c r="K3" s="266"/>
      <c r="L3" s="265" t="str">
        <f>Middle!A67</f>
        <v>Expenditure : Middle HHs</v>
      </c>
      <c r="M3" s="265"/>
      <c r="N3" s="265"/>
      <c r="O3" s="265"/>
      <c r="P3" s="265"/>
      <c r="Q3" s="267"/>
      <c r="R3" s="265" t="str">
        <f>Rich!A67</f>
        <v>Expenditure : Better-off HHs</v>
      </c>
      <c r="S3" s="265"/>
      <c r="T3" s="265"/>
      <c r="U3" s="265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D98" sqref="AD98"/>
    </sheetView>
  </sheetViews>
  <sheetFormatPr baseColWidth="10" defaultColWidth="11.5703125" defaultRowHeight="11" x14ac:dyDescent="0"/>
  <cols>
    <col min="1" max="1" width="23.28515625" style="202" bestFit="1" customWidth="1"/>
    <col min="2" max="2" width="9" style="202" bestFit="1" customWidth="1"/>
    <col min="3" max="4" width="6.5703125" style="202" bestFit="1" customWidth="1"/>
    <col min="5" max="5" width="8.28515625" style="202" bestFit="1" customWidth="1"/>
    <col min="6" max="9" width="7.5703125" style="202" bestFit="1" customWidth="1"/>
    <col min="10" max="10" width="8.42578125" style="202" bestFit="1" customWidth="1"/>
    <col min="11" max="14" width="7.5703125" style="202" bestFit="1" customWidth="1"/>
    <col min="15" max="15" width="8.28515625" style="202" customWidth="1"/>
    <col min="16" max="43" width="7.42578125" style="202" bestFit="1" customWidth="1"/>
    <col min="44" max="89" width="8.42578125" style="202" bestFit="1" customWidth="1"/>
    <col min="90" max="105" width="9.42578125" style="202" bestFit="1" customWidth="1"/>
    <col min="106" max="16384" width="11.5703125" style="202"/>
  </cols>
  <sheetData>
    <row r="1" spans="1:106">
      <c r="B1" s="202" t="s">
        <v>97</v>
      </c>
      <c r="C1" s="202" t="s">
        <v>96</v>
      </c>
      <c r="D1" s="202" t="s">
        <v>98</v>
      </c>
      <c r="E1" s="202" t="s">
        <v>99</v>
      </c>
    </row>
    <row r="2" spans="1:106">
      <c r="B2" s="203">
        <f>[1]!wb_summary</f>
        <v>0.5</v>
      </c>
      <c r="C2" s="203">
        <f>[1]WB!$CK$10</f>
        <v>0.25</v>
      </c>
      <c r="D2" s="203">
        <f>[1]WB!$CK$11</f>
        <v>0.15</v>
      </c>
      <c r="E2" s="203">
        <f>[1]WB!$CK$12</f>
        <v>0.1</v>
      </c>
      <c r="F2" s="203">
        <v>0.01</v>
      </c>
      <c r="G2" s="203">
        <v>0.02</v>
      </c>
      <c r="H2" s="203">
        <v>0.03</v>
      </c>
      <c r="I2" s="203">
        <v>0.04</v>
      </c>
      <c r="J2" s="203">
        <v>0.05</v>
      </c>
      <c r="K2" s="203">
        <v>0.06</v>
      </c>
      <c r="L2" s="203">
        <v>7.0000000000000007E-2</v>
      </c>
      <c r="M2" s="203">
        <v>0.08</v>
      </c>
      <c r="N2" s="203">
        <v>0.09</v>
      </c>
      <c r="O2" s="203">
        <v>0.1</v>
      </c>
      <c r="P2" s="203">
        <v>0.11</v>
      </c>
      <c r="Q2" s="203">
        <v>0.12</v>
      </c>
      <c r="R2" s="203">
        <v>0.13</v>
      </c>
      <c r="S2" s="203">
        <v>0.14000000000000001</v>
      </c>
      <c r="T2" s="203">
        <v>0.15</v>
      </c>
      <c r="U2" s="203">
        <v>0.16</v>
      </c>
      <c r="V2" s="203">
        <v>0.17</v>
      </c>
      <c r="W2" s="203">
        <v>0.18</v>
      </c>
      <c r="X2" s="203">
        <v>0.19</v>
      </c>
      <c r="Y2" s="203">
        <v>0.2</v>
      </c>
      <c r="Z2" s="203">
        <v>0.21</v>
      </c>
      <c r="AA2" s="203">
        <v>0.22</v>
      </c>
      <c r="AB2" s="203">
        <v>0.23</v>
      </c>
      <c r="AC2" s="203">
        <v>0.24</v>
      </c>
      <c r="AD2" s="203">
        <v>0.25</v>
      </c>
      <c r="AE2" s="203">
        <v>0.26</v>
      </c>
      <c r="AF2" s="203">
        <v>0.27</v>
      </c>
      <c r="AG2" s="203">
        <v>0.28000000000000003</v>
      </c>
      <c r="AH2" s="203">
        <v>0.28999999999999998</v>
      </c>
      <c r="AI2" s="203">
        <v>0.3</v>
      </c>
      <c r="AJ2" s="203">
        <v>0.31</v>
      </c>
      <c r="AK2" s="203">
        <v>0.32</v>
      </c>
      <c r="AL2" s="203">
        <v>0.33</v>
      </c>
      <c r="AM2" s="203">
        <v>0.34</v>
      </c>
      <c r="AN2" s="203">
        <v>0.35</v>
      </c>
      <c r="AO2" s="203">
        <v>0.36</v>
      </c>
      <c r="AP2" s="203">
        <v>0.37</v>
      </c>
      <c r="AQ2" s="203">
        <v>0.38</v>
      </c>
      <c r="AR2" s="203">
        <v>0.39</v>
      </c>
      <c r="AS2" s="203">
        <v>0.4</v>
      </c>
      <c r="AT2" s="203">
        <v>0.41</v>
      </c>
      <c r="AU2" s="203">
        <v>0.42</v>
      </c>
      <c r="AV2" s="203">
        <v>0.43</v>
      </c>
      <c r="AW2" s="203">
        <v>0.44</v>
      </c>
      <c r="AX2" s="203">
        <v>0.45</v>
      </c>
      <c r="AY2" s="203">
        <v>0.46</v>
      </c>
      <c r="AZ2" s="203">
        <v>0.47</v>
      </c>
      <c r="BA2" s="203">
        <v>0.48</v>
      </c>
      <c r="BB2" s="203">
        <v>0.49</v>
      </c>
      <c r="BC2" s="203">
        <v>0.5</v>
      </c>
      <c r="BD2" s="203">
        <v>0.51</v>
      </c>
      <c r="BE2" s="203">
        <v>0.52</v>
      </c>
      <c r="BF2" s="203">
        <v>0.53</v>
      </c>
      <c r="BG2" s="203">
        <v>0.54</v>
      </c>
      <c r="BH2" s="203">
        <v>0.55000000000000004</v>
      </c>
      <c r="BI2" s="203">
        <v>0.56000000000000005</v>
      </c>
      <c r="BJ2" s="203">
        <v>0.56999999999999995</v>
      </c>
      <c r="BK2" s="203">
        <v>0.57999999999999996</v>
      </c>
      <c r="BL2" s="203">
        <v>0.59</v>
      </c>
      <c r="BM2" s="203">
        <v>0.6</v>
      </c>
      <c r="BN2" s="203">
        <v>0.61</v>
      </c>
      <c r="BO2" s="203">
        <v>0.62</v>
      </c>
      <c r="BP2" s="203">
        <v>0.63</v>
      </c>
      <c r="BQ2" s="203">
        <v>0.64</v>
      </c>
      <c r="BR2" s="203">
        <v>0.65</v>
      </c>
      <c r="BS2" s="203">
        <v>0.66</v>
      </c>
      <c r="BT2" s="203">
        <v>0.67</v>
      </c>
      <c r="BU2" s="203">
        <v>0.68</v>
      </c>
      <c r="BV2" s="203">
        <v>0.69</v>
      </c>
      <c r="BW2" s="203">
        <v>0.7</v>
      </c>
      <c r="BX2" s="203">
        <v>0.71</v>
      </c>
      <c r="BY2" s="203">
        <v>0.72</v>
      </c>
      <c r="BZ2" s="203">
        <v>0.73</v>
      </c>
      <c r="CA2" s="203">
        <v>0.74</v>
      </c>
      <c r="CB2" s="203">
        <v>0.75</v>
      </c>
      <c r="CC2" s="203">
        <v>0.76</v>
      </c>
      <c r="CD2" s="203">
        <v>0.77</v>
      </c>
      <c r="CE2" s="203">
        <v>0.78</v>
      </c>
      <c r="CF2" s="203">
        <v>0.79</v>
      </c>
      <c r="CG2" s="203">
        <v>0.8</v>
      </c>
      <c r="CH2" s="203">
        <v>0.81</v>
      </c>
      <c r="CI2" s="203">
        <v>0.82</v>
      </c>
      <c r="CJ2" s="203">
        <v>0.83</v>
      </c>
      <c r="CK2" s="203">
        <v>0.84</v>
      </c>
      <c r="CL2" s="203">
        <v>0.85</v>
      </c>
      <c r="CM2" s="203">
        <v>0.86</v>
      </c>
      <c r="CN2" s="203">
        <v>0.87</v>
      </c>
      <c r="CO2" s="203">
        <v>0.88</v>
      </c>
      <c r="CP2" s="203">
        <v>0.89</v>
      </c>
      <c r="CQ2" s="203">
        <v>0.9</v>
      </c>
      <c r="CR2" s="203">
        <v>0.91</v>
      </c>
      <c r="CS2" s="203">
        <v>0.92</v>
      </c>
      <c r="CT2" s="203">
        <v>0.93</v>
      </c>
      <c r="CU2" s="203">
        <v>0.94</v>
      </c>
      <c r="CV2" s="203">
        <v>0.95</v>
      </c>
      <c r="CW2" s="203">
        <v>0.96</v>
      </c>
      <c r="CX2" s="203">
        <v>0.97</v>
      </c>
      <c r="CY2" s="203">
        <v>0.98</v>
      </c>
      <c r="CZ2" s="203">
        <v>0.99</v>
      </c>
      <c r="DA2" s="203">
        <v>1</v>
      </c>
      <c r="DB2" s="203"/>
    </row>
    <row r="3" spans="1:106">
      <c r="A3" s="202" t="str">
        <f>Income!A72</f>
        <v>Own crops Consumed</v>
      </c>
      <c r="B3" s="204">
        <f>Income!B72</f>
        <v>708.82399368587198</v>
      </c>
      <c r="C3" s="204">
        <f>Income!C72</f>
        <v>1947.5138121546961</v>
      </c>
      <c r="D3" s="204">
        <f>Income!D72</f>
        <v>1795.2644041041829</v>
      </c>
      <c r="E3" s="204">
        <f>Income!E72</f>
        <v>1257.3480662983425</v>
      </c>
      <c r="F3" s="205">
        <f>IF(F$2&lt;=($B$2+$C$2+$D$2),IF(F$2&lt;=($B$2+$C$2),IF(F$2&lt;=$B$2,$B3,$C3),$D3),$E3)</f>
        <v>708.82399368587198</v>
      </c>
      <c r="G3" s="205">
        <f t="shared" ref="G3:AW7" si="0">IF(G$2&lt;=($B$2+$C$2+$D$2),IF(G$2&lt;=($B$2+$C$2),IF(G$2&lt;=$B$2,$B3,$C3),$D3),$E3)</f>
        <v>708.82399368587198</v>
      </c>
      <c r="H3" s="205">
        <f t="shared" si="0"/>
        <v>708.82399368587198</v>
      </c>
      <c r="I3" s="205">
        <f t="shared" si="0"/>
        <v>708.82399368587198</v>
      </c>
      <c r="J3" s="205">
        <f t="shared" si="0"/>
        <v>708.82399368587198</v>
      </c>
      <c r="K3" s="205">
        <f t="shared" si="0"/>
        <v>708.82399368587198</v>
      </c>
      <c r="L3" s="205">
        <f t="shared" si="0"/>
        <v>708.82399368587198</v>
      </c>
      <c r="M3" s="205">
        <f t="shared" si="0"/>
        <v>708.82399368587198</v>
      </c>
      <c r="N3" s="205">
        <f t="shared" si="0"/>
        <v>708.82399368587198</v>
      </c>
      <c r="O3" s="205">
        <f t="shared" si="0"/>
        <v>708.82399368587198</v>
      </c>
      <c r="P3" s="205">
        <f t="shared" si="0"/>
        <v>708.82399368587198</v>
      </c>
      <c r="Q3" s="205">
        <f t="shared" si="0"/>
        <v>708.82399368587198</v>
      </c>
      <c r="R3" s="205">
        <f t="shared" si="0"/>
        <v>708.82399368587198</v>
      </c>
      <c r="S3" s="205">
        <f t="shared" si="0"/>
        <v>708.82399368587198</v>
      </c>
      <c r="T3" s="205">
        <f t="shared" si="0"/>
        <v>708.82399368587198</v>
      </c>
      <c r="U3" s="205">
        <f t="shared" si="0"/>
        <v>708.82399368587198</v>
      </c>
      <c r="V3" s="205">
        <f t="shared" si="0"/>
        <v>708.82399368587198</v>
      </c>
      <c r="W3" s="205">
        <f t="shared" si="0"/>
        <v>708.82399368587198</v>
      </c>
      <c r="X3" s="205">
        <f t="shared" si="0"/>
        <v>708.82399368587198</v>
      </c>
      <c r="Y3" s="205">
        <f t="shared" si="0"/>
        <v>708.82399368587198</v>
      </c>
      <c r="Z3" s="205">
        <f t="shared" si="0"/>
        <v>708.82399368587198</v>
      </c>
      <c r="AA3" s="205">
        <f t="shared" si="0"/>
        <v>708.82399368587198</v>
      </c>
      <c r="AB3" s="205">
        <f t="shared" si="0"/>
        <v>708.82399368587198</v>
      </c>
      <c r="AC3" s="205">
        <f t="shared" si="0"/>
        <v>708.82399368587198</v>
      </c>
      <c r="AD3" s="205">
        <f t="shared" si="0"/>
        <v>708.82399368587198</v>
      </c>
      <c r="AE3" s="205">
        <f t="shared" si="0"/>
        <v>708.82399368587198</v>
      </c>
      <c r="AF3" s="205">
        <f t="shared" si="0"/>
        <v>708.82399368587198</v>
      </c>
      <c r="AG3" s="205">
        <f t="shared" si="0"/>
        <v>708.82399368587198</v>
      </c>
      <c r="AH3" s="205">
        <f t="shared" si="0"/>
        <v>708.82399368587198</v>
      </c>
      <c r="AI3" s="205">
        <f t="shared" si="0"/>
        <v>708.82399368587198</v>
      </c>
      <c r="AJ3" s="205">
        <f t="shared" si="0"/>
        <v>708.82399368587198</v>
      </c>
      <c r="AK3" s="205">
        <f t="shared" si="0"/>
        <v>708.82399368587198</v>
      </c>
      <c r="AL3" s="205">
        <f t="shared" si="0"/>
        <v>708.82399368587198</v>
      </c>
      <c r="AM3" s="205">
        <f t="shared" si="0"/>
        <v>708.82399368587198</v>
      </c>
      <c r="AN3" s="205">
        <f t="shared" si="0"/>
        <v>708.82399368587198</v>
      </c>
      <c r="AO3" s="205">
        <f t="shared" si="0"/>
        <v>708.82399368587198</v>
      </c>
      <c r="AP3" s="205">
        <f t="shared" si="0"/>
        <v>708.82399368587198</v>
      </c>
      <c r="AQ3" s="205">
        <f t="shared" si="0"/>
        <v>708.82399368587198</v>
      </c>
      <c r="AR3" s="205">
        <f t="shared" si="0"/>
        <v>708.82399368587198</v>
      </c>
      <c r="AS3" s="205">
        <f t="shared" si="0"/>
        <v>708.82399368587198</v>
      </c>
      <c r="AT3" s="205">
        <f t="shared" si="0"/>
        <v>708.82399368587198</v>
      </c>
      <c r="AU3" s="205">
        <f t="shared" si="0"/>
        <v>708.82399368587198</v>
      </c>
      <c r="AV3" s="205">
        <f t="shared" si="0"/>
        <v>708.82399368587198</v>
      </c>
      <c r="AW3" s="205">
        <f t="shared" si="0"/>
        <v>708.82399368587198</v>
      </c>
      <c r="AX3" s="205">
        <f t="shared" ref="AX3:BZ10" si="1">IF(AX$2&lt;=($B$2+$C$2+$D$2),IF(AX$2&lt;=($B$2+$C$2),IF(AX$2&lt;=$B$2,$B3,$C3),$D3),$E3)</f>
        <v>708.82399368587198</v>
      </c>
      <c r="AY3" s="205">
        <f t="shared" si="1"/>
        <v>708.82399368587198</v>
      </c>
      <c r="AZ3" s="205">
        <f t="shared" si="1"/>
        <v>708.82399368587198</v>
      </c>
      <c r="BA3" s="205">
        <f t="shared" si="1"/>
        <v>708.82399368587198</v>
      </c>
      <c r="BB3" s="205">
        <f t="shared" si="1"/>
        <v>708.82399368587198</v>
      </c>
      <c r="BC3" s="205">
        <f t="shared" si="1"/>
        <v>708.82399368587198</v>
      </c>
      <c r="BD3" s="205">
        <f t="shared" si="1"/>
        <v>1947.5138121546961</v>
      </c>
      <c r="BE3" s="205">
        <f t="shared" si="1"/>
        <v>1947.5138121546961</v>
      </c>
      <c r="BF3" s="205">
        <f t="shared" si="1"/>
        <v>1947.5138121546961</v>
      </c>
      <c r="BG3" s="205">
        <f t="shared" si="1"/>
        <v>1947.5138121546961</v>
      </c>
      <c r="BH3" s="205">
        <f t="shared" si="1"/>
        <v>1947.5138121546961</v>
      </c>
      <c r="BI3" s="205">
        <f t="shared" si="1"/>
        <v>1947.5138121546961</v>
      </c>
      <c r="BJ3" s="205">
        <f t="shared" si="1"/>
        <v>1947.5138121546961</v>
      </c>
      <c r="BK3" s="205">
        <f t="shared" si="1"/>
        <v>1947.5138121546961</v>
      </c>
      <c r="BL3" s="205">
        <f t="shared" si="1"/>
        <v>1947.5138121546961</v>
      </c>
      <c r="BM3" s="205">
        <f t="shared" si="1"/>
        <v>1947.5138121546961</v>
      </c>
      <c r="BN3" s="205">
        <f t="shared" si="1"/>
        <v>1947.5138121546961</v>
      </c>
      <c r="BO3" s="205">
        <f t="shared" si="1"/>
        <v>1947.5138121546961</v>
      </c>
      <c r="BP3" s="205">
        <f t="shared" si="1"/>
        <v>1947.5138121546961</v>
      </c>
      <c r="BQ3" s="205">
        <f t="shared" si="1"/>
        <v>1947.5138121546961</v>
      </c>
      <c r="BR3" s="205">
        <f t="shared" si="1"/>
        <v>1947.5138121546961</v>
      </c>
      <c r="BS3" s="205">
        <f t="shared" si="1"/>
        <v>1947.5138121546961</v>
      </c>
      <c r="BT3" s="205">
        <f t="shared" si="1"/>
        <v>1947.5138121546961</v>
      </c>
      <c r="BU3" s="205">
        <f t="shared" si="1"/>
        <v>1947.5138121546961</v>
      </c>
      <c r="BV3" s="205">
        <f t="shared" si="1"/>
        <v>1947.5138121546961</v>
      </c>
      <c r="BW3" s="205">
        <f t="shared" si="1"/>
        <v>1947.5138121546961</v>
      </c>
      <c r="BX3" s="205">
        <f t="shared" si="1"/>
        <v>1947.5138121546961</v>
      </c>
      <c r="BY3" s="205">
        <f t="shared" si="1"/>
        <v>1947.5138121546961</v>
      </c>
      <c r="BZ3" s="205">
        <f t="shared" si="1"/>
        <v>1947.5138121546961</v>
      </c>
      <c r="CA3" s="205">
        <f t="shared" ref="CA3:CR15" si="2">IF(CA$2&lt;=($B$2+$C$2+$D$2),IF(CA$2&lt;=($B$2+$C$2),IF(CA$2&lt;=$B$2,$B3,$C3),$D3),$E3)</f>
        <v>1947.5138121546961</v>
      </c>
      <c r="CB3" s="205">
        <f t="shared" si="2"/>
        <v>1947.5138121546961</v>
      </c>
      <c r="CC3" s="205">
        <f t="shared" si="2"/>
        <v>1795.2644041041829</v>
      </c>
      <c r="CD3" s="205">
        <f t="shared" si="2"/>
        <v>1795.2644041041829</v>
      </c>
      <c r="CE3" s="205">
        <f t="shared" si="2"/>
        <v>1795.2644041041829</v>
      </c>
      <c r="CF3" s="205">
        <f t="shared" si="2"/>
        <v>1795.2644041041829</v>
      </c>
      <c r="CG3" s="205">
        <f t="shared" si="2"/>
        <v>1795.2644041041829</v>
      </c>
      <c r="CH3" s="205">
        <f t="shared" si="2"/>
        <v>1795.2644041041829</v>
      </c>
      <c r="CI3" s="205">
        <f t="shared" si="2"/>
        <v>1795.2644041041829</v>
      </c>
      <c r="CJ3" s="205">
        <f t="shared" si="2"/>
        <v>1795.2644041041829</v>
      </c>
      <c r="CK3" s="205">
        <f t="shared" si="2"/>
        <v>1795.2644041041829</v>
      </c>
      <c r="CL3" s="205">
        <f t="shared" si="2"/>
        <v>1795.2644041041829</v>
      </c>
      <c r="CM3" s="205">
        <f t="shared" si="2"/>
        <v>1795.2644041041829</v>
      </c>
      <c r="CN3" s="205">
        <f t="shared" si="2"/>
        <v>1795.2644041041829</v>
      </c>
      <c r="CO3" s="205">
        <f t="shared" si="2"/>
        <v>1795.2644041041829</v>
      </c>
      <c r="CP3" s="205">
        <f t="shared" si="2"/>
        <v>1795.2644041041829</v>
      </c>
      <c r="CQ3" s="205">
        <f t="shared" si="2"/>
        <v>1795.2644041041829</v>
      </c>
      <c r="CR3" s="205">
        <f t="shared" si="2"/>
        <v>1257.3480662983425</v>
      </c>
      <c r="CS3" s="205">
        <f t="shared" ref="CS3:DA15" si="3">IF(CS$2&lt;=($B$2+$C$2+$D$2),IF(CS$2&lt;=($B$2+$C$2),IF(CS$2&lt;=$B$2,$B3,$C3),$D3),$E3)</f>
        <v>1257.3480662983425</v>
      </c>
      <c r="CT3" s="205">
        <f t="shared" si="3"/>
        <v>1257.3480662983425</v>
      </c>
      <c r="CU3" s="205">
        <f t="shared" si="3"/>
        <v>1257.3480662983425</v>
      </c>
      <c r="CV3" s="205">
        <f t="shared" si="3"/>
        <v>1257.3480662983425</v>
      </c>
      <c r="CW3" s="205">
        <f t="shared" si="3"/>
        <v>1257.3480662983425</v>
      </c>
      <c r="CX3" s="205">
        <f t="shared" si="3"/>
        <v>1257.3480662983425</v>
      </c>
      <c r="CY3" s="205">
        <f t="shared" si="3"/>
        <v>1257.3480662983425</v>
      </c>
      <c r="CZ3" s="205">
        <f t="shared" si="3"/>
        <v>1257.3480662983425</v>
      </c>
      <c r="DA3" s="205">
        <f t="shared" si="3"/>
        <v>1257.3480662983425</v>
      </c>
      <c r="DB3" s="205"/>
    </row>
    <row r="4" spans="1:106">
      <c r="A4" s="202" t="str">
        <f>Income!A73</f>
        <v>Own crops sold</v>
      </c>
      <c r="B4" s="204">
        <f>Income!B73</f>
        <v>0</v>
      </c>
      <c r="C4" s="204">
        <f>Income!C73</f>
        <v>1660.0000000000002</v>
      </c>
      <c r="D4" s="204">
        <f>Income!D73</f>
        <v>25314.28571428571</v>
      </c>
      <c r="E4" s="204">
        <f>Income!E73</f>
        <v>10032</v>
      </c>
      <c r="F4" s="205">
        <f t="shared" ref="F4:U17" si="4">IF(F$2&lt;=($B$2+$C$2+$D$2),IF(F$2&lt;=($B$2+$C$2),IF(F$2&lt;=$B$2,$B4,$C4),$D4),$E4)</f>
        <v>0</v>
      </c>
      <c r="G4" s="205">
        <f t="shared" si="0"/>
        <v>0</v>
      </c>
      <c r="H4" s="205">
        <f t="shared" si="0"/>
        <v>0</v>
      </c>
      <c r="I4" s="205">
        <f t="shared" si="0"/>
        <v>0</v>
      </c>
      <c r="J4" s="205">
        <f t="shared" si="0"/>
        <v>0</v>
      </c>
      <c r="K4" s="205">
        <f t="shared" si="0"/>
        <v>0</v>
      </c>
      <c r="L4" s="205">
        <f t="shared" si="0"/>
        <v>0</v>
      </c>
      <c r="M4" s="205">
        <f t="shared" si="0"/>
        <v>0</v>
      </c>
      <c r="N4" s="205">
        <f t="shared" si="0"/>
        <v>0</v>
      </c>
      <c r="O4" s="205">
        <f t="shared" si="0"/>
        <v>0</v>
      </c>
      <c r="P4" s="205">
        <f t="shared" si="0"/>
        <v>0</v>
      </c>
      <c r="Q4" s="205">
        <f t="shared" si="0"/>
        <v>0</v>
      </c>
      <c r="R4" s="205">
        <f t="shared" si="0"/>
        <v>0</v>
      </c>
      <c r="S4" s="205">
        <f t="shared" si="0"/>
        <v>0</v>
      </c>
      <c r="T4" s="205">
        <f t="shared" si="0"/>
        <v>0</v>
      </c>
      <c r="U4" s="205">
        <f t="shared" si="0"/>
        <v>0</v>
      </c>
      <c r="V4" s="205">
        <f t="shared" si="0"/>
        <v>0</v>
      </c>
      <c r="W4" s="205">
        <f t="shared" si="0"/>
        <v>0</v>
      </c>
      <c r="X4" s="205">
        <f t="shared" si="0"/>
        <v>0</v>
      </c>
      <c r="Y4" s="205">
        <f t="shared" si="0"/>
        <v>0</v>
      </c>
      <c r="Z4" s="205">
        <f t="shared" si="0"/>
        <v>0</v>
      </c>
      <c r="AA4" s="205">
        <f t="shared" si="0"/>
        <v>0</v>
      </c>
      <c r="AB4" s="205">
        <f t="shared" si="0"/>
        <v>0</v>
      </c>
      <c r="AC4" s="205">
        <f t="shared" si="0"/>
        <v>0</v>
      </c>
      <c r="AD4" s="205">
        <f t="shared" si="0"/>
        <v>0</v>
      </c>
      <c r="AE4" s="205">
        <f t="shared" si="0"/>
        <v>0</v>
      </c>
      <c r="AF4" s="205">
        <f t="shared" si="0"/>
        <v>0</v>
      </c>
      <c r="AG4" s="205">
        <f t="shared" si="0"/>
        <v>0</v>
      </c>
      <c r="AH4" s="205">
        <f t="shared" si="0"/>
        <v>0</v>
      </c>
      <c r="AI4" s="205">
        <f t="shared" si="0"/>
        <v>0</v>
      </c>
      <c r="AJ4" s="205">
        <f t="shared" si="0"/>
        <v>0</v>
      </c>
      <c r="AK4" s="205">
        <f t="shared" si="0"/>
        <v>0</v>
      </c>
      <c r="AL4" s="205">
        <f t="shared" si="0"/>
        <v>0</v>
      </c>
      <c r="AM4" s="205">
        <f t="shared" si="0"/>
        <v>0</v>
      </c>
      <c r="AN4" s="205">
        <f t="shared" si="0"/>
        <v>0</v>
      </c>
      <c r="AO4" s="205">
        <f t="shared" si="0"/>
        <v>0</v>
      </c>
      <c r="AP4" s="205">
        <f t="shared" si="0"/>
        <v>0</v>
      </c>
      <c r="AQ4" s="205">
        <f t="shared" si="0"/>
        <v>0</v>
      </c>
      <c r="AR4" s="205">
        <f t="shared" si="0"/>
        <v>0</v>
      </c>
      <c r="AS4" s="205">
        <f t="shared" si="0"/>
        <v>0</v>
      </c>
      <c r="AT4" s="205">
        <f t="shared" si="0"/>
        <v>0</v>
      </c>
      <c r="AU4" s="205">
        <f t="shared" si="0"/>
        <v>0</v>
      </c>
      <c r="AV4" s="205">
        <f t="shared" si="0"/>
        <v>0</v>
      </c>
      <c r="AW4" s="205">
        <f t="shared" si="0"/>
        <v>0</v>
      </c>
      <c r="AX4" s="205">
        <f t="shared" si="1"/>
        <v>0</v>
      </c>
      <c r="AY4" s="205">
        <f t="shared" si="1"/>
        <v>0</v>
      </c>
      <c r="AZ4" s="205">
        <f t="shared" si="1"/>
        <v>0</v>
      </c>
      <c r="BA4" s="205">
        <f t="shared" si="1"/>
        <v>0</v>
      </c>
      <c r="BB4" s="205">
        <f t="shared" si="1"/>
        <v>0</v>
      </c>
      <c r="BC4" s="205">
        <f t="shared" si="1"/>
        <v>0</v>
      </c>
      <c r="BD4" s="205">
        <f t="shared" si="1"/>
        <v>1660.0000000000002</v>
      </c>
      <c r="BE4" s="205">
        <f t="shared" si="1"/>
        <v>1660.0000000000002</v>
      </c>
      <c r="BF4" s="205">
        <f t="shared" si="1"/>
        <v>1660.0000000000002</v>
      </c>
      <c r="BG4" s="205">
        <f t="shared" si="1"/>
        <v>1660.0000000000002</v>
      </c>
      <c r="BH4" s="205">
        <f t="shared" si="1"/>
        <v>1660.0000000000002</v>
      </c>
      <c r="BI4" s="205">
        <f t="shared" si="1"/>
        <v>1660.0000000000002</v>
      </c>
      <c r="BJ4" s="205">
        <f t="shared" si="1"/>
        <v>1660.0000000000002</v>
      </c>
      <c r="BK4" s="205">
        <f t="shared" si="1"/>
        <v>1660.0000000000002</v>
      </c>
      <c r="BL4" s="205">
        <f t="shared" si="1"/>
        <v>1660.0000000000002</v>
      </c>
      <c r="BM4" s="205">
        <f t="shared" si="1"/>
        <v>1660.0000000000002</v>
      </c>
      <c r="BN4" s="205">
        <f t="shared" si="1"/>
        <v>1660.0000000000002</v>
      </c>
      <c r="BO4" s="205">
        <f t="shared" si="1"/>
        <v>1660.0000000000002</v>
      </c>
      <c r="BP4" s="205">
        <f t="shared" si="1"/>
        <v>1660.0000000000002</v>
      </c>
      <c r="BQ4" s="205">
        <f t="shared" si="1"/>
        <v>1660.0000000000002</v>
      </c>
      <c r="BR4" s="205">
        <f t="shared" si="1"/>
        <v>1660.0000000000002</v>
      </c>
      <c r="BS4" s="205">
        <f t="shared" si="1"/>
        <v>1660.0000000000002</v>
      </c>
      <c r="BT4" s="205">
        <f t="shared" si="1"/>
        <v>1660.0000000000002</v>
      </c>
      <c r="BU4" s="205">
        <f t="shared" si="1"/>
        <v>1660.0000000000002</v>
      </c>
      <c r="BV4" s="205">
        <f t="shared" si="1"/>
        <v>1660.0000000000002</v>
      </c>
      <c r="BW4" s="205">
        <f t="shared" si="1"/>
        <v>1660.0000000000002</v>
      </c>
      <c r="BX4" s="205">
        <f t="shared" si="1"/>
        <v>1660.0000000000002</v>
      </c>
      <c r="BY4" s="205">
        <f t="shared" si="1"/>
        <v>1660.0000000000002</v>
      </c>
      <c r="BZ4" s="205">
        <f t="shared" si="1"/>
        <v>1660.0000000000002</v>
      </c>
      <c r="CA4" s="205">
        <f t="shared" si="2"/>
        <v>1660.0000000000002</v>
      </c>
      <c r="CB4" s="205">
        <f t="shared" si="2"/>
        <v>1660.0000000000002</v>
      </c>
      <c r="CC4" s="205">
        <f t="shared" si="2"/>
        <v>25314.28571428571</v>
      </c>
      <c r="CD4" s="205">
        <f t="shared" si="2"/>
        <v>25314.28571428571</v>
      </c>
      <c r="CE4" s="205">
        <f t="shared" si="2"/>
        <v>25314.28571428571</v>
      </c>
      <c r="CF4" s="205">
        <f t="shared" si="2"/>
        <v>25314.28571428571</v>
      </c>
      <c r="CG4" s="205">
        <f t="shared" si="2"/>
        <v>25314.28571428571</v>
      </c>
      <c r="CH4" s="205">
        <f t="shared" si="2"/>
        <v>25314.28571428571</v>
      </c>
      <c r="CI4" s="205">
        <f t="shared" si="2"/>
        <v>25314.28571428571</v>
      </c>
      <c r="CJ4" s="205">
        <f t="shared" si="2"/>
        <v>25314.28571428571</v>
      </c>
      <c r="CK4" s="205">
        <f t="shared" si="2"/>
        <v>25314.28571428571</v>
      </c>
      <c r="CL4" s="205">
        <f t="shared" si="2"/>
        <v>25314.28571428571</v>
      </c>
      <c r="CM4" s="205">
        <f t="shared" si="2"/>
        <v>25314.28571428571</v>
      </c>
      <c r="CN4" s="205">
        <f t="shared" si="2"/>
        <v>25314.28571428571</v>
      </c>
      <c r="CO4" s="205">
        <f t="shared" si="2"/>
        <v>25314.28571428571</v>
      </c>
      <c r="CP4" s="205">
        <f t="shared" si="2"/>
        <v>25314.28571428571</v>
      </c>
      <c r="CQ4" s="205">
        <f t="shared" si="2"/>
        <v>25314.28571428571</v>
      </c>
      <c r="CR4" s="205">
        <f t="shared" si="2"/>
        <v>10032</v>
      </c>
      <c r="CS4" s="205">
        <f t="shared" si="3"/>
        <v>10032</v>
      </c>
      <c r="CT4" s="205">
        <f t="shared" si="3"/>
        <v>10032</v>
      </c>
      <c r="CU4" s="205">
        <f t="shared" si="3"/>
        <v>10032</v>
      </c>
      <c r="CV4" s="205">
        <f t="shared" si="3"/>
        <v>10032</v>
      </c>
      <c r="CW4" s="205">
        <f t="shared" si="3"/>
        <v>10032</v>
      </c>
      <c r="CX4" s="205">
        <f t="shared" si="3"/>
        <v>10032</v>
      </c>
      <c r="CY4" s="205">
        <f t="shared" si="3"/>
        <v>10032</v>
      </c>
      <c r="CZ4" s="205">
        <f t="shared" si="3"/>
        <v>10032</v>
      </c>
      <c r="DA4" s="205">
        <f t="shared" si="3"/>
        <v>10032</v>
      </c>
      <c r="DB4" s="205"/>
    </row>
    <row r="5" spans="1:106">
      <c r="A5" s="202" t="str">
        <f>Income!A74</f>
        <v>Animal products consumed</v>
      </c>
      <c r="B5" s="204">
        <f>Income!B74</f>
        <v>85.83267561168114</v>
      </c>
      <c r="C5" s="204">
        <f>Income!C74</f>
        <v>410.80673434582877</v>
      </c>
      <c r="D5" s="204">
        <f>Income!D74</f>
        <v>1192.8527655866458</v>
      </c>
      <c r="E5" s="204">
        <f>Income!E74</f>
        <v>1463.5175033134919</v>
      </c>
      <c r="F5" s="205">
        <f t="shared" si="4"/>
        <v>85.83267561168114</v>
      </c>
      <c r="G5" s="205">
        <f t="shared" si="0"/>
        <v>85.83267561168114</v>
      </c>
      <c r="H5" s="205">
        <f t="shared" si="0"/>
        <v>85.83267561168114</v>
      </c>
      <c r="I5" s="205">
        <f t="shared" si="0"/>
        <v>85.83267561168114</v>
      </c>
      <c r="J5" s="205">
        <f t="shared" si="0"/>
        <v>85.83267561168114</v>
      </c>
      <c r="K5" s="205">
        <f t="shared" si="0"/>
        <v>85.83267561168114</v>
      </c>
      <c r="L5" s="205">
        <f t="shared" si="0"/>
        <v>85.83267561168114</v>
      </c>
      <c r="M5" s="205">
        <f t="shared" si="0"/>
        <v>85.83267561168114</v>
      </c>
      <c r="N5" s="205">
        <f t="shared" si="0"/>
        <v>85.83267561168114</v>
      </c>
      <c r="O5" s="205">
        <f t="shared" si="0"/>
        <v>85.83267561168114</v>
      </c>
      <c r="P5" s="205">
        <f t="shared" si="0"/>
        <v>85.83267561168114</v>
      </c>
      <c r="Q5" s="205">
        <f t="shared" si="0"/>
        <v>85.83267561168114</v>
      </c>
      <c r="R5" s="205">
        <f t="shared" si="0"/>
        <v>85.83267561168114</v>
      </c>
      <c r="S5" s="205">
        <f t="shared" si="0"/>
        <v>85.83267561168114</v>
      </c>
      <c r="T5" s="205">
        <f t="shared" si="0"/>
        <v>85.83267561168114</v>
      </c>
      <c r="U5" s="205">
        <f t="shared" si="0"/>
        <v>85.83267561168114</v>
      </c>
      <c r="V5" s="205">
        <f t="shared" si="0"/>
        <v>85.83267561168114</v>
      </c>
      <c r="W5" s="205">
        <f t="shared" si="0"/>
        <v>85.83267561168114</v>
      </c>
      <c r="X5" s="205">
        <f t="shared" si="0"/>
        <v>85.83267561168114</v>
      </c>
      <c r="Y5" s="205">
        <f t="shared" si="0"/>
        <v>85.83267561168114</v>
      </c>
      <c r="Z5" s="205">
        <f t="shared" si="0"/>
        <v>85.83267561168114</v>
      </c>
      <c r="AA5" s="205">
        <f t="shared" si="0"/>
        <v>85.83267561168114</v>
      </c>
      <c r="AB5" s="205">
        <f t="shared" si="0"/>
        <v>85.83267561168114</v>
      </c>
      <c r="AC5" s="205">
        <f t="shared" si="0"/>
        <v>85.83267561168114</v>
      </c>
      <c r="AD5" s="205">
        <f t="shared" si="0"/>
        <v>85.83267561168114</v>
      </c>
      <c r="AE5" s="205">
        <f t="shared" si="0"/>
        <v>85.83267561168114</v>
      </c>
      <c r="AF5" s="205">
        <f t="shared" si="0"/>
        <v>85.83267561168114</v>
      </c>
      <c r="AG5" s="205">
        <f t="shared" si="0"/>
        <v>85.83267561168114</v>
      </c>
      <c r="AH5" s="205">
        <f t="shared" si="0"/>
        <v>85.83267561168114</v>
      </c>
      <c r="AI5" s="205">
        <f t="shared" si="0"/>
        <v>85.83267561168114</v>
      </c>
      <c r="AJ5" s="205">
        <f t="shared" si="0"/>
        <v>85.83267561168114</v>
      </c>
      <c r="AK5" s="205">
        <f t="shared" si="0"/>
        <v>85.83267561168114</v>
      </c>
      <c r="AL5" s="205">
        <f t="shared" si="0"/>
        <v>85.83267561168114</v>
      </c>
      <c r="AM5" s="205">
        <f t="shared" si="0"/>
        <v>85.83267561168114</v>
      </c>
      <c r="AN5" s="205">
        <f t="shared" si="0"/>
        <v>85.83267561168114</v>
      </c>
      <c r="AO5" s="205">
        <f t="shared" si="0"/>
        <v>85.83267561168114</v>
      </c>
      <c r="AP5" s="205">
        <f t="shared" si="0"/>
        <v>85.83267561168114</v>
      </c>
      <c r="AQ5" s="205">
        <f t="shared" si="0"/>
        <v>85.83267561168114</v>
      </c>
      <c r="AR5" s="205">
        <f t="shared" si="0"/>
        <v>85.83267561168114</v>
      </c>
      <c r="AS5" s="205">
        <f t="shared" si="0"/>
        <v>85.83267561168114</v>
      </c>
      <c r="AT5" s="205">
        <f t="shared" si="0"/>
        <v>85.83267561168114</v>
      </c>
      <c r="AU5" s="205">
        <f t="shared" si="0"/>
        <v>85.83267561168114</v>
      </c>
      <c r="AV5" s="205">
        <f t="shared" si="0"/>
        <v>85.83267561168114</v>
      </c>
      <c r="AW5" s="205">
        <f t="shared" si="0"/>
        <v>85.83267561168114</v>
      </c>
      <c r="AX5" s="205">
        <f t="shared" si="1"/>
        <v>85.83267561168114</v>
      </c>
      <c r="AY5" s="205">
        <f t="shared" si="1"/>
        <v>85.83267561168114</v>
      </c>
      <c r="AZ5" s="205">
        <f t="shared" si="1"/>
        <v>85.83267561168114</v>
      </c>
      <c r="BA5" s="205">
        <f t="shared" si="1"/>
        <v>85.83267561168114</v>
      </c>
      <c r="BB5" s="205">
        <f t="shared" si="1"/>
        <v>85.83267561168114</v>
      </c>
      <c r="BC5" s="205">
        <f t="shared" si="1"/>
        <v>85.83267561168114</v>
      </c>
      <c r="BD5" s="205">
        <f t="shared" si="1"/>
        <v>410.80673434582877</v>
      </c>
      <c r="BE5" s="205">
        <f t="shared" si="1"/>
        <v>410.80673434582877</v>
      </c>
      <c r="BF5" s="205">
        <f t="shared" si="1"/>
        <v>410.80673434582877</v>
      </c>
      <c r="BG5" s="205">
        <f t="shared" si="1"/>
        <v>410.80673434582877</v>
      </c>
      <c r="BH5" s="205">
        <f t="shared" si="1"/>
        <v>410.80673434582877</v>
      </c>
      <c r="BI5" s="205">
        <f t="shared" si="1"/>
        <v>410.80673434582877</v>
      </c>
      <c r="BJ5" s="205">
        <f t="shared" si="1"/>
        <v>410.80673434582877</v>
      </c>
      <c r="BK5" s="205">
        <f t="shared" si="1"/>
        <v>410.80673434582877</v>
      </c>
      <c r="BL5" s="205">
        <f t="shared" si="1"/>
        <v>410.80673434582877</v>
      </c>
      <c r="BM5" s="205">
        <f t="shared" si="1"/>
        <v>410.80673434582877</v>
      </c>
      <c r="BN5" s="205">
        <f t="shared" si="1"/>
        <v>410.80673434582877</v>
      </c>
      <c r="BO5" s="205">
        <f t="shared" si="1"/>
        <v>410.80673434582877</v>
      </c>
      <c r="BP5" s="205">
        <f t="shared" si="1"/>
        <v>410.80673434582877</v>
      </c>
      <c r="BQ5" s="205">
        <f t="shared" si="1"/>
        <v>410.80673434582877</v>
      </c>
      <c r="BR5" s="205">
        <f t="shared" si="1"/>
        <v>410.80673434582877</v>
      </c>
      <c r="BS5" s="205">
        <f t="shared" si="1"/>
        <v>410.80673434582877</v>
      </c>
      <c r="BT5" s="205">
        <f t="shared" si="1"/>
        <v>410.80673434582877</v>
      </c>
      <c r="BU5" s="205">
        <f t="shared" si="1"/>
        <v>410.80673434582877</v>
      </c>
      <c r="BV5" s="205">
        <f t="shared" si="1"/>
        <v>410.80673434582877</v>
      </c>
      <c r="BW5" s="205">
        <f t="shared" si="1"/>
        <v>410.80673434582877</v>
      </c>
      <c r="BX5" s="205">
        <f t="shared" si="1"/>
        <v>410.80673434582877</v>
      </c>
      <c r="BY5" s="205">
        <f t="shared" si="1"/>
        <v>410.80673434582877</v>
      </c>
      <c r="BZ5" s="205">
        <f t="shared" si="1"/>
        <v>410.80673434582877</v>
      </c>
      <c r="CA5" s="205">
        <f t="shared" si="2"/>
        <v>410.80673434582877</v>
      </c>
      <c r="CB5" s="205">
        <f t="shared" si="2"/>
        <v>410.80673434582877</v>
      </c>
      <c r="CC5" s="205">
        <f t="shared" si="2"/>
        <v>1192.8527655866458</v>
      </c>
      <c r="CD5" s="205">
        <f t="shared" si="2"/>
        <v>1192.8527655866458</v>
      </c>
      <c r="CE5" s="205">
        <f t="shared" si="2"/>
        <v>1192.8527655866458</v>
      </c>
      <c r="CF5" s="205">
        <f t="shared" si="2"/>
        <v>1192.8527655866458</v>
      </c>
      <c r="CG5" s="205">
        <f t="shared" si="2"/>
        <v>1192.8527655866458</v>
      </c>
      <c r="CH5" s="205">
        <f t="shared" si="2"/>
        <v>1192.8527655866458</v>
      </c>
      <c r="CI5" s="205">
        <f t="shared" si="2"/>
        <v>1192.8527655866458</v>
      </c>
      <c r="CJ5" s="205">
        <f t="shared" si="2"/>
        <v>1192.8527655866458</v>
      </c>
      <c r="CK5" s="205">
        <f t="shared" si="2"/>
        <v>1192.8527655866458</v>
      </c>
      <c r="CL5" s="205">
        <f t="shared" si="2"/>
        <v>1192.8527655866458</v>
      </c>
      <c r="CM5" s="205">
        <f t="shared" si="2"/>
        <v>1192.8527655866458</v>
      </c>
      <c r="CN5" s="205">
        <f t="shared" si="2"/>
        <v>1192.8527655866458</v>
      </c>
      <c r="CO5" s="205">
        <f t="shared" si="2"/>
        <v>1192.8527655866458</v>
      </c>
      <c r="CP5" s="205">
        <f t="shared" si="2"/>
        <v>1192.8527655866458</v>
      </c>
      <c r="CQ5" s="205">
        <f t="shared" si="2"/>
        <v>1192.8527655866458</v>
      </c>
      <c r="CR5" s="205">
        <f t="shared" si="2"/>
        <v>1463.5175033134919</v>
      </c>
      <c r="CS5" s="205">
        <f t="shared" si="3"/>
        <v>1463.5175033134919</v>
      </c>
      <c r="CT5" s="205">
        <f t="shared" si="3"/>
        <v>1463.5175033134919</v>
      </c>
      <c r="CU5" s="205">
        <f t="shared" si="3"/>
        <v>1463.5175033134919</v>
      </c>
      <c r="CV5" s="205">
        <f t="shared" si="3"/>
        <v>1463.5175033134919</v>
      </c>
      <c r="CW5" s="205">
        <f t="shared" si="3"/>
        <v>1463.5175033134919</v>
      </c>
      <c r="CX5" s="205">
        <f t="shared" si="3"/>
        <v>1463.5175033134919</v>
      </c>
      <c r="CY5" s="205">
        <f t="shared" si="3"/>
        <v>1463.5175033134919</v>
      </c>
      <c r="CZ5" s="205">
        <f t="shared" si="3"/>
        <v>1463.5175033134919</v>
      </c>
      <c r="DA5" s="205">
        <f t="shared" si="3"/>
        <v>1463.5175033134919</v>
      </c>
      <c r="DB5" s="205"/>
    </row>
    <row r="6" spans="1:106">
      <c r="A6" s="202" t="str">
        <f>Income!A75</f>
        <v>Animal products sold</v>
      </c>
      <c r="B6" s="204">
        <f>Income!B75</f>
        <v>0</v>
      </c>
      <c r="C6" s="204">
        <f>Income!C75</f>
        <v>0</v>
      </c>
      <c r="D6" s="204">
        <f>Income!D75</f>
        <v>0</v>
      </c>
      <c r="E6" s="204">
        <f>Income!E75</f>
        <v>0</v>
      </c>
      <c r="F6" s="205">
        <f t="shared" si="4"/>
        <v>0</v>
      </c>
      <c r="G6" s="205">
        <f t="shared" si="0"/>
        <v>0</v>
      </c>
      <c r="H6" s="205">
        <f t="shared" si="0"/>
        <v>0</v>
      </c>
      <c r="I6" s="205">
        <f t="shared" si="0"/>
        <v>0</v>
      </c>
      <c r="J6" s="205">
        <f t="shared" si="0"/>
        <v>0</v>
      </c>
      <c r="K6" s="205">
        <f t="shared" si="0"/>
        <v>0</v>
      </c>
      <c r="L6" s="205">
        <f t="shared" si="0"/>
        <v>0</v>
      </c>
      <c r="M6" s="205">
        <f t="shared" si="0"/>
        <v>0</v>
      </c>
      <c r="N6" s="205">
        <f t="shared" si="0"/>
        <v>0</v>
      </c>
      <c r="O6" s="205">
        <f t="shared" si="0"/>
        <v>0</v>
      </c>
      <c r="P6" s="205">
        <f t="shared" si="0"/>
        <v>0</v>
      </c>
      <c r="Q6" s="205">
        <f t="shared" si="0"/>
        <v>0</v>
      </c>
      <c r="R6" s="205">
        <f t="shared" si="0"/>
        <v>0</v>
      </c>
      <c r="S6" s="205">
        <f t="shared" si="0"/>
        <v>0</v>
      </c>
      <c r="T6" s="205">
        <f t="shared" si="0"/>
        <v>0</v>
      </c>
      <c r="U6" s="205">
        <f t="shared" si="0"/>
        <v>0</v>
      </c>
      <c r="V6" s="205">
        <f t="shared" si="0"/>
        <v>0</v>
      </c>
      <c r="W6" s="205">
        <f t="shared" si="0"/>
        <v>0</v>
      </c>
      <c r="X6" s="205">
        <f t="shared" si="0"/>
        <v>0</v>
      </c>
      <c r="Y6" s="205">
        <f t="shared" si="0"/>
        <v>0</v>
      </c>
      <c r="Z6" s="205">
        <f t="shared" si="0"/>
        <v>0</v>
      </c>
      <c r="AA6" s="205">
        <f t="shared" si="0"/>
        <v>0</v>
      </c>
      <c r="AB6" s="205">
        <f t="shared" si="0"/>
        <v>0</v>
      </c>
      <c r="AC6" s="205">
        <f t="shared" si="0"/>
        <v>0</v>
      </c>
      <c r="AD6" s="205">
        <f t="shared" si="0"/>
        <v>0</v>
      </c>
      <c r="AE6" s="205">
        <f t="shared" si="0"/>
        <v>0</v>
      </c>
      <c r="AF6" s="205">
        <f t="shared" si="0"/>
        <v>0</v>
      </c>
      <c r="AG6" s="205">
        <f t="shared" si="0"/>
        <v>0</v>
      </c>
      <c r="AH6" s="205">
        <f t="shared" si="0"/>
        <v>0</v>
      </c>
      <c r="AI6" s="205">
        <f t="shared" si="0"/>
        <v>0</v>
      </c>
      <c r="AJ6" s="205">
        <f t="shared" si="0"/>
        <v>0</v>
      </c>
      <c r="AK6" s="205">
        <f t="shared" si="0"/>
        <v>0</v>
      </c>
      <c r="AL6" s="205">
        <f t="shared" si="0"/>
        <v>0</v>
      </c>
      <c r="AM6" s="205">
        <f t="shared" si="0"/>
        <v>0</v>
      </c>
      <c r="AN6" s="205">
        <f t="shared" si="0"/>
        <v>0</v>
      </c>
      <c r="AO6" s="205">
        <f t="shared" si="0"/>
        <v>0</v>
      </c>
      <c r="AP6" s="205">
        <f t="shared" si="0"/>
        <v>0</v>
      </c>
      <c r="AQ6" s="205">
        <f t="shared" si="0"/>
        <v>0</v>
      </c>
      <c r="AR6" s="205">
        <f t="shared" si="0"/>
        <v>0</v>
      </c>
      <c r="AS6" s="205">
        <f t="shared" si="0"/>
        <v>0</v>
      </c>
      <c r="AT6" s="205">
        <f t="shared" si="0"/>
        <v>0</v>
      </c>
      <c r="AU6" s="205">
        <f t="shared" si="0"/>
        <v>0</v>
      </c>
      <c r="AV6" s="205">
        <f t="shared" si="0"/>
        <v>0</v>
      </c>
      <c r="AW6" s="205">
        <f t="shared" si="0"/>
        <v>0</v>
      </c>
      <c r="AX6" s="205">
        <f t="shared" si="1"/>
        <v>0</v>
      </c>
      <c r="AY6" s="205">
        <f t="shared" si="1"/>
        <v>0</v>
      </c>
      <c r="AZ6" s="205">
        <f t="shared" si="1"/>
        <v>0</v>
      </c>
      <c r="BA6" s="205">
        <f t="shared" si="1"/>
        <v>0</v>
      </c>
      <c r="BB6" s="205">
        <f t="shared" si="1"/>
        <v>0</v>
      </c>
      <c r="BC6" s="205">
        <f t="shared" si="1"/>
        <v>0</v>
      </c>
      <c r="BD6" s="205">
        <f t="shared" si="1"/>
        <v>0</v>
      </c>
      <c r="BE6" s="205">
        <f t="shared" si="1"/>
        <v>0</v>
      </c>
      <c r="BF6" s="205">
        <f t="shared" si="1"/>
        <v>0</v>
      </c>
      <c r="BG6" s="205">
        <f t="shared" si="1"/>
        <v>0</v>
      </c>
      <c r="BH6" s="205">
        <f t="shared" si="1"/>
        <v>0</v>
      </c>
      <c r="BI6" s="205">
        <f t="shared" si="1"/>
        <v>0</v>
      </c>
      <c r="BJ6" s="205">
        <f t="shared" si="1"/>
        <v>0</v>
      </c>
      <c r="BK6" s="205">
        <f t="shared" si="1"/>
        <v>0</v>
      </c>
      <c r="BL6" s="205">
        <f t="shared" si="1"/>
        <v>0</v>
      </c>
      <c r="BM6" s="205">
        <f t="shared" si="1"/>
        <v>0</v>
      </c>
      <c r="BN6" s="205">
        <f t="shared" si="1"/>
        <v>0</v>
      </c>
      <c r="BO6" s="205">
        <f t="shared" si="1"/>
        <v>0</v>
      </c>
      <c r="BP6" s="205">
        <f t="shared" si="1"/>
        <v>0</v>
      </c>
      <c r="BQ6" s="205">
        <f t="shared" si="1"/>
        <v>0</v>
      </c>
      <c r="BR6" s="205">
        <f t="shared" si="1"/>
        <v>0</v>
      </c>
      <c r="BS6" s="205">
        <f t="shared" si="1"/>
        <v>0</v>
      </c>
      <c r="BT6" s="205">
        <f t="shared" si="1"/>
        <v>0</v>
      </c>
      <c r="BU6" s="205">
        <f t="shared" si="1"/>
        <v>0</v>
      </c>
      <c r="BV6" s="205">
        <f t="shared" si="1"/>
        <v>0</v>
      </c>
      <c r="BW6" s="205">
        <f t="shared" si="1"/>
        <v>0</v>
      </c>
      <c r="BX6" s="205">
        <f t="shared" si="1"/>
        <v>0</v>
      </c>
      <c r="BY6" s="205">
        <f t="shared" si="1"/>
        <v>0</v>
      </c>
      <c r="BZ6" s="205">
        <f t="shared" si="1"/>
        <v>0</v>
      </c>
      <c r="CA6" s="205">
        <f t="shared" si="2"/>
        <v>0</v>
      </c>
      <c r="CB6" s="205">
        <f t="shared" si="2"/>
        <v>0</v>
      </c>
      <c r="CC6" s="205">
        <f t="shared" si="2"/>
        <v>0</v>
      </c>
      <c r="CD6" s="205">
        <f t="shared" si="2"/>
        <v>0</v>
      </c>
      <c r="CE6" s="205">
        <f t="shared" si="2"/>
        <v>0</v>
      </c>
      <c r="CF6" s="205">
        <f t="shared" si="2"/>
        <v>0</v>
      </c>
      <c r="CG6" s="205">
        <f t="shared" si="2"/>
        <v>0</v>
      </c>
      <c r="CH6" s="205">
        <f t="shared" si="2"/>
        <v>0</v>
      </c>
      <c r="CI6" s="205">
        <f t="shared" si="2"/>
        <v>0</v>
      </c>
      <c r="CJ6" s="205">
        <f t="shared" si="2"/>
        <v>0</v>
      </c>
      <c r="CK6" s="205">
        <f t="shared" si="2"/>
        <v>0</v>
      </c>
      <c r="CL6" s="205">
        <f t="shared" si="2"/>
        <v>0</v>
      </c>
      <c r="CM6" s="205">
        <f t="shared" si="2"/>
        <v>0</v>
      </c>
      <c r="CN6" s="205">
        <f t="shared" si="2"/>
        <v>0</v>
      </c>
      <c r="CO6" s="205">
        <f t="shared" si="2"/>
        <v>0</v>
      </c>
      <c r="CP6" s="205">
        <f t="shared" si="2"/>
        <v>0</v>
      </c>
      <c r="CQ6" s="205">
        <f t="shared" si="2"/>
        <v>0</v>
      </c>
      <c r="CR6" s="205">
        <f t="shared" si="2"/>
        <v>0</v>
      </c>
      <c r="CS6" s="205">
        <f t="shared" si="3"/>
        <v>0</v>
      </c>
      <c r="CT6" s="205">
        <f t="shared" si="3"/>
        <v>0</v>
      </c>
      <c r="CU6" s="205">
        <f t="shared" si="3"/>
        <v>0</v>
      </c>
      <c r="CV6" s="205">
        <f t="shared" si="3"/>
        <v>0</v>
      </c>
      <c r="CW6" s="205">
        <f t="shared" si="3"/>
        <v>0</v>
      </c>
      <c r="CX6" s="205">
        <f t="shared" si="3"/>
        <v>0</v>
      </c>
      <c r="CY6" s="205">
        <f t="shared" si="3"/>
        <v>0</v>
      </c>
      <c r="CZ6" s="205">
        <f t="shared" si="3"/>
        <v>0</v>
      </c>
      <c r="DA6" s="205">
        <f t="shared" si="3"/>
        <v>0</v>
      </c>
      <c r="DB6" s="205"/>
    </row>
    <row r="7" spans="1:106">
      <c r="A7" s="202" t="str">
        <f>Income!A76</f>
        <v>Animals sold</v>
      </c>
      <c r="B7" s="204">
        <f>Income!B76</f>
        <v>1285.7142857142858</v>
      </c>
      <c r="C7" s="204">
        <f>Income!C76</f>
        <v>9749.9999999999982</v>
      </c>
      <c r="D7" s="204">
        <f>Income!D76</f>
        <v>28457.142857142851</v>
      </c>
      <c r="E7" s="204">
        <f>Income!E76</f>
        <v>32750</v>
      </c>
      <c r="F7" s="205">
        <f t="shared" si="4"/>
        <v>1285.7142857142858</v>
      </c>
      <c r="G7" s="205">
        <f t="shared" si="0"/>
        <v>1285.7142857142858</v>
      </c>
      <c r="H7" s="205">
        <f t="shared" si="0"/>
        <v>1285.7142857142858</v>
      </c>
      <c r="I7" s="205">
        <f t="shared" si="0"/>
        <v>1285.7142857142858</v>
      </c>
      <c r="J7" s="205">
        <f t="shared" si="0"/>
        <v>1285.7142857142858</v>
      </c>
      <c r="K7" s="205">
        <f t="shared" si="0"/>
        <v>1285.7142857142858</v>
      </c>
      <c r="L7" s="205">
        <f t="shared" si="0"/>
        <v>1285.7142857142858</v>
      </c>
      <c r="M7" s="205">
        <f t="shared" si="0"/>
        <v>1285.7142857142858</v>
      </c>
      <c r="N7" s="205">
        <f t="shared" si="0"/>
        <v>1285.7142857142858</v>
      </c>
      <c r="O7" s="205">
        <f t="shared" si="0"/>
        <v>1285.7142857142858</v>
      </c>
      <c r="P7" s="205">
        <f t="shared" si="0"/>
        <v>1285.7142857142858</v>
      </c>
      <c r="Q7" s="205">
        <f t="shared" si="0"/>
        <v>1285.7142857142858</v>
      </c>
      <c r="R7" s="205">
        <f t="shared" si="0"/>
        <v>1285.7142857142858</v>
      </c>
      <c r="S7" s="205">
        <f t="shared" si="0"/>
        <v>1285.7142857142858</v>
      </c>
      <c r="T7" s="205">
        <f t="shared" si="0"/>
        <v>1285.7142857142858</v>
      </c>
      <c r="U7" s="205">
        <f t="shared" si="0"/>
        <v>1285.7142857142858</v>
      </c>
      <c r="V7" s="205">
        <f t="shared" si="0"/>
        <v>1285.7142857142858</v>
      </c>
      <c r="W7" s="205">
        <f t="shared" si="0"/>
        <v>1285.7142857142858</v>
      </c>
      <c r="X7" s="205">
        <f t="shared" si="0"/>
        <v>1285.7142857142858</v>
      </c>
      <c r="Y7" s="205">
        <f t="shared" si="0"/>
        <v>1285.7142857142858</v>
      </c>
      <c r="Z7" s="205">
        <f t="shared" si="0"/>
        <v>1285.7142857142858</v>
      </c>
      <c r="AA7" s="205">
        <f t="shared" si="0"/>
        <v>1285.7142857142858</v>
      </c>
      <c r="AB7" s="205">
        <f t="shared" si="0"/>
        <v>1285.7142857142858</v>
      </c>
      <c r="AC7" s="205">
        <f t="shared" si="0"/>
        <v>1285.7142857142858</v>
      </c>
      <c r="AD7" s="205">
        <f t="shared" si="0"/>
        <v>1285.7142857142858</v>
      </c>
      <c r="AE7" s="205">
        <f t="shared" si="0"/>
        <v>1285.7142857142858</v>
      </c>
      <c r="AF7" s="205">
        <f t="shared" si="0"/>
        <v>1285.7142857142858</v>
      </c>
      <c r="AG7" s="205">
        <f t="shared" si="0"/>
        <v>1285.7142857142858</v>
      </c>
      <c r="AH7" s="205">
        <f t="shared" si="0"/>
        <v>1285.7142857142858</v>
      </c>
      <c r="AI7" s="205">
        <f t="shared" si="0"/>
        <v>1285.7142857142858</v>
      </c>
      <c r="AJ7" s="205">
        <f t="shared" si="0"/>
        <v>1285.7142857142858</v>
      </c>
      <c r="AK7" s="205">
        <f t="shared" si="0"/>
        <v>1285.7142857142858</v>
      </c>
      <c r="AL7" s="205">
        <f t="shared" si="0"/>
        <v>1285.7142857142858</v>
      </c>
      <c r="AM7" s="205">
        <f t="shared" si="0"/>
        <v>1285.7142857142858</v>
      </c>
      <c r="AN7" s="205">
        <f t="shared" si="0"/>
        <v>1285.7142857142858</v>
      </c>
      <c r="AO7" s="205">
        <f t="shared" si="0"/>
        <v>1285.7142857142858</v>
      </c>
      <c r="AP7" s="205">
        <f t="shared" si="0"/>
        <v>1285.7142857142858</v>
      </c>
      <c r="AQ7" s="205">
        <f t="shared" si="0"/>
        <v>1285.7142857142858</v>
      </c>
      <c r="AR7" s="205">
        <f t="shared" si="0"/>
        <v>1285.7142857142858</v>
      </c>
      <c r="AS7" s="205">
        <f t="shared" si="0"/>
        <v>1285.7142857142858</v>
      </c>
      <c r="AT7" s="205">
        <f t="shared" si="0"/>
        <v>1285.7142857142858</v>
      </c>
      <c r="AU7" s="205">
        <f t="shared" ref="AU7:BJ8" si="5">IF(AU$2&lt;=($B$2+$C$2+$D$2),IF(AU$2&lt;=($B$2+$C$2),IF(AU$2&lt;=$B$2,$B7,$C7),$D7),$E7)</f>
        <v>1285.7142857142858</v>
      </c>
      <c r="AV7" s="205">
        <f t="shared" si="5"/>
        <v>1285.7142857142858</v>
      </c>
      <c r="AW7" s="205">
        <f t="shared" si="5"/>
        <v>1285.7142857142858</v>
      </c>
      <c r="AX7" s="205">
        <f t="shared" si="5"/>
        <v>1285.7142857142858</v>
      </c>
      <c r="AY7" s="205">
        <f t="shared" si="5"/>
        <v>1285.7142857142858</v>
      </c>
      <c r="AZ7" s="205">
        <f t="shared" si="5"/>
        <v>1285.7142857142858</v>
      </c>
      <c r="BA7" s="205">
        <f t="shared" si="5"/>
        <v>1285.7142857142858</v>
      </c>
      <c r="BB7" s="205">
        <f t="shared" si="5"/>
        <v>1285.7142857142858</v>
      </c>
      <c r="BC7" s="205">
        <f t="shared" si="5"/>
        <v>1285.7142857142858</v>
      </c>
      <c r="BD7" s="205">
        <f t="shared" si="5"/>
        <v>9749.9999999999982</v>
      </c>
      <c r="BE7" s="205">
        <f t="shared" si="5"/>
        <v>9749.9999999999982</v>
      </c>
      <c r="BF7" s="205">
        <f t="shared" si="5"/>
        <v>9749.9999999999982</v>
      </c>
      <c r="BG7" s="205">
        <f t="shared" si="5"/>
        <v>9749.9999999999982</v>
      </c>
      <c r="BH7" s="205">
        <f t="shared" si="5"/>
        <v>9749.9999999999982</v>
      </c>
      <c r="BI7" s="205">
        <f t="shared" si="5"/>
        <v>9749.9999999999982</v>
      </c>
      <c r="BJ7" s="205">
        <f t="shared" si="5"/>
        <v>9749.9999999999982</v>
      </c>
      <c r="BK7" s="205">
        <f t="shared" si="1"/>
        <v>9749.9999999999982</v>
      </c>
      <c r="BL7" s="205">
        <f t="shared" si="1"/>
        <v>9749.9999999999982</v>
      </c>
      <c r="BM7" s="205">
        <f t="shared" si="1"/>
        <v>9749.9999999999982</v>
      </c>
      <c r="BN7" s="205">
        <f t="shared" si="1"/>
        <v>9749.9999999999982</v>
      </c>
      <c r="BO7" s="205">
        <f t="shared" si="1"/>
        <v>9749.9999999999982</v>
      </c>
      <c r="BP7" s="205">
        <f t="shared" si="1"/>
        <v>9749.9999999999982</v>
      </c>
      <c r="BQ7" s="205">
        <f t="shared" si="1"/>
        <v>9749.9999999999982</v>
      </c>
      <c r="BR7" s="205">
        <f t="shared" si="1"/>
        <v>9749.9999999999982</v>
      </c>
      <c r="BS7" s="205">
        <f t="shared" si="1"/>
        <v>9749.9999999999982</v>
      </c>
      <c r="BT7" s="205">
        <f t="shared" si="1"/>
        <v>9749.9999999999982</v>
      </c>
      <c r="BU7" s="205">
        <f t="shared" si="1"/>
        <v>9749.9999999999982</v>
      </c>
      <c r="BV7" s="205">
        <f t="shared" si="1"/>
        <v>9749.9999999999982</v>
      </c>
      <c r="BW7" s="205">
        <f t="shared" si="1"/>
        <v>9749.9999999999982</v>
      </c>
      <c r="BX7" s="205">
        <f t="shared" si="1"/>
        <v>9749.9999999999982</v>
      </c>
      <c r="BY7" s="205">
        <f t="shared" si="1"/>
        <v>9749.9999999999982</v>
      </c>
      <c r="BZ7" s="205">
        <f t="shared" si="1"/>
        <v>9749.9999999999982</v>
      </c>
      <c r="CA7" s="205">
        <f t="shared" si="2"/>
        <v>9749.9999999999982</v>
      </c>
      <c r="CB7" s="205">
        <f t="shared" si="2"/>
        <v>9749.9999999999982</v>
      </c>
      <c r="CC7" s="205">
        <f t="shared" si="2"/>
        <v>28457.142857142851</v>
      </c>
      <c r="CD7" s="205">
        <f t="shared" si="2"/>
        <v>28457.142857142851</v>
      </c>
      <c r="CE7" s="205">
        <f t="shared" si="2"/>
        <v>28457.142857142851</v>
      </c>
      <c r="CF7" s="205">
        <f t="shared" si="2"/>
        <v>28457.142857142851</v>
      </c>
      <c r="CG7" s="205">
        <f t="shared" si="2"/>
        <v>28457.142857142851</v>
      </c>
      <c r="CH7" s="205">
        <f t="shared" si="2"/>
        <v>28457.142857142851</v>
      </c>
      <c r="CI7" s="205">
        <f t="shared" si="2"/>
        <v>28457.142857142851</v>
      </c>
      <c r="CJ7" s="205">
        <f t="shared" si="2"/>
        <v>28457.142857142851</v>
      </c>
      <c r="CK7" s="205">
        <f t="shared" si="2"/>
        <v>28457.142857142851</v>
      </c>
      <c r="CL7" s="205">
        <f t="shared" si="2"/>
        <v>28457.142857142851</v>
      </c>
      <c r="CM7" s="205">
        <f t="shared" si="2"/>
        <v>28457.142857142851</v>
      </c>
      <c r="CN7" s="205">
        <f t="shared" si="2"/>
        <v>28457.142857142851</v>
      </c>
      <c r="CO7" s="205">
        <f t="shared" si="2"/>
        <v>28457.142857142851</v>
      </c>
      <c r="CP7" s="205">
        <f t="shared" si="2"/>
        <v>28457.142857142851</v>
      </c>
      <c r="CQ7" s="205">
        <f t="shared" si="2"/>
        <v>28457.142857142851</v>
      </c>
      <c r="CR7" s="205">
        <f t="shared" si="2"/>
        <v>32750</v>
      </c>
      <c r="CS7" s="205">
        <f t="shared" si="3"/>
        <v>32750</v>
      </c>
      <c r="CT7" s="205">
        <f t="shared" si="3"/>
        <v>32750</v>
      </c>
      <c r="CU7" s="205">
        <f t="shared" si="3"/>
        <v>32750</v>
      </c>
      <c r="CV7" s="205">
        <f t="shared" si="3"/>
        <v>32750</v>
      </c>
      <c r="CW7" s="205">
        <f t="shared" si="3"/>
        <v>32750</v>
      </c>
      <c r="CX7" s="205">
        <f t="shared" si="3"/>
        <v>32750</v>
      </c>
      <c r="CY7" s="205">
        <f t="shared" si="3"/>
        <v>32750</v>
      </c>
      <c r="CZ7" s="205">
        <f t="shared" si="3"/>
        <v>32750</v>
      </c>
      <c r="DA7" s="205">
        <f t="shared" si="3"/>
        <v>32750</v>
      </c>
      <c r="DB7" s="205"/>
    </row>
    <row r="8" spans="1:106">
      <c r="A8" s="202" t="str">
        <f>Income!A77</f>
        <v>Wild foods consumed and sold</v>
      </c>
      <c r="B8" s="204">
        <f>Income!B77</f>
        <v>0</v>
      </c>
      <c r="C8" s="204">
        <f>Income!C77</f>
        <v>0</v>
      </c>
      <c r="D8" s="204">
        <f>Income!D77</f>
        <v>0</v>
      </c>
      <c r="E8" s="204">
        <f>Income!E77</f>
        <v>0</v>
      </c>
      <c r="F8" s="205">
        <f t="shared" si="4"/>
        <v>0</v>
      </c>
      <c r="G8" s="205">
        <f t="shared" si="4"/>
        <v>0</v>
      </c>
      <c r="H8" s="205">
        <f t="shared" si="4"/>
        <v>0</v>
      </c>
      <c r="I8" s="205">
        <f t="shared" si="4"/>
        <v>0</v>
      </c>
      <c r="J8" s="205">
        <f t="shared" si="4"/>
        <v>0</v>
      </c>
      <c r="K8" s="205">
        <f t="shared" si="4"/>
        <v>0</v>
      </c>
      <c r="L8" s="205">
        <f t="shared" si="4"/>
        <v>0</v>
      </c>
      <c r="M8" s="205">
        <f t="shared" si="4"/>
        <v>0</v>
      </c>
      <c r="N8" s="205">
        <f t="shared" si="4"/>
        <v>0</v>
      </c>
      <c r="O8" s="205">
        <f t="shared" si="4"/>
        <v>0</v>
      </c>
      <c r="P8" s="205">
        <f t="shared" si="4"/>
        <v>0</v>
      </c>
      <c r="Q8" s="205">
        <f t="shared" si="4"/>
        <v>0</v>
      </c>
      <c r="R8" s="205">
        <f t="shared" si="4"/>
        <v>0</v>
      </c>
      <c r="S8" s="205">
        <f t="shared" si="4"/>
        <v>0</v>
      </c>
      <c r="T8" s="205">
        <f t="shared" si="4"/>
        <v>0</v>
      </c>
      <c r="U8" s="205">
        <f t="shared" si="4"/>
        <v>0</v>
      </c>
      <c r="V8" s="205">
        <f t="shared" ref="V8:AK18" si="6">IF(V$2&lt;=($B$2+$C$2+$D$2),IF(V$2&lt;=($B$2+$C$2),IF(V$2&lt;=$B$2,$B8,$C8),$D8),$E8)</f>
        <v>0</v>
      </c>
      <c r="W8" s="205">
        <f t="shared" si="6"/>
        <v>0</v>
      </c>
      <c r="X8" s="205">
        <f t="shared" si="6"/>
        <v>0</v>
      </c>
      <c r="Y8" s="205">
        <f t="shared" si="6"/>
        <v>0</v>
      </c>
      <c r="Z8" s="205">
        <f t="shared" si="6"/>
        <v>0</v>
      </c>
      <c r="AA8" s="205">
        <f t="shared" si="6"/>
        <v>0</v>
      </c>
      <c r="AB8" s="205">
        <f t="shared" si="6"/>
        <v>0</v>
      </c>
      <c r="AC8" s="205">
        <f t="shared" si="6"/>
        <v>0</v>
      </c>
      <c r="AD8" s="205">
        <f t="shared" si="6"/>
        <v>0</v>
      </c>
      <c r="AE8" s="205">
        <f t="shared" si="6"/>
        <v>0</v>
      </c>
      <c r="AF8" s="205">
        <f t="shared" si="6"/>
        <v>0</v>
      </c>
      <c r="AG8" s="205">
        <f t="shared" si="6"/>
        <v>0</v>
      </c>
      <c r="AH8" s="205">
        <f t="shared" si="6"/>
        <v>0</v>
      </c>
      <c r="AI8" s="205">
        <f t="shared" si="6"/>
        <v>0</v>
      </c>
      <c r="AJ8" s="205">
        <f t="shared" si="6"/>
        <v>0</v>
      </c>
      <c r="AK8" s="205">
        <f t="shared" si="6"/>
        <v>0</v>
      </c>
      <c r="AL8" s="205">
        <f t="shared" ref="AL8:BA18" si="7">IF(AL$2&lt;=($B$2+$C$2+$D$2),IF(AL$2&lt;=($B$2+$C$2),IF(AL$2&lt;=$B$2,$B8,$C8),$D8),$E8)</f>
        <v>0</v>
      </c>
      <c r="AM8" s="205">
        <f t="shared" si="7"/>
        <v>0</v>
      </c>
      <c r="AN8" s="205">
        <f t="shared" si="7"/>
        <v>0</v>
      </c>
      <c r="AO8" s="205">
        <f t="shared" si="7"/>
        <v>0</v>
      </c>
      <c r="AP8" s="205">
        <f t="shared" si="7"/>
        <v>0</v>
      </c>
      <c r="AQ8" s="205">
        <f t="shared" si="7"/>
        <v>0</v>
      </c>
      <c r="AR8" s="205">
        <f t="shared" si="7"/>
        <v>0</v>
      </c>
      <c r="AS8" s="205">
        <f t="shared" si="7"/>
        <v>0</v>
      </c>
      <c r="AT8" s="205">
        <f t="shared" si="7"/>
        <v>0</v>
      </c>
      <c r="AU8" s="205">
        <f t="shared" si="7"/>
        <v>0</v>
      </c>
      <c r="AV8" s="205">
        <f t="shared" si="7"/>
        <v>0</v>
      </c>
      <c r="AW8" s="205">
        <f t="shared" si="7"/>
        <v>0</v>
      </c>
      <c r="AX8" s="205">
        <f t="shared" si="7"/>
        <v>0</v>
      </c>
      <c r="AY8" s="205">
        <f t="shared" si="7"/>
        <v>0</v>
      </c>
      <c r="AZ8" s="205">
        <f t="shared" si="7"/>
        <v>0</v>
      </c>
      <c r="BA8" s="205">
        <f t="shared" si="7"/>
        <v>0</v>
      </c>
      <c r="BB8" s="205">
        <f t="shared" si="5"/>
        <v>0</v>
      </c>
      <c r="BC8" s="205">
        <f t="shared" si="5"/>
        <v>0</v>
      </c>
      <c r="BD8" s="205">
        <f t="shared" si="5"/>
        <v>0</v>
      </c>
      <c r="BE8" s="205">
        <f t="shared" si="5"/>
        <v>0</v>
      </c>
      <c r="BF8" s="205">
        <f t="shared" si="5"/>
        <v>0</v>
      </c>
      <c r="BG8" s="205">
        <f t="shared" si="5"/>
        <v>0</v>
      </c>
      <c r="BH8" s="205">
        <f t="shared" si="5"/>
        <v>0</v>
      </c>
      <c r="BI8" s="205">
        <f t="shared" si="5"/>
        <v>0</v>
      </c>
      <c r="BJ8" s="205">
        <f t="shared" si="5"/>
        <v>0</v>
      </c>
      <c r="BK8" s="205">
        <f t="shared" si="1"/>
        <v>0</v>
      </c>
      <c r="BL8" s="205">
        <f t="shared" si="1"/>
        <v>0</v>
      </c>
      <c r="BM8" s="205">
        <f t="shared" si="1"/>
        <v>0</v>
      </c>
      <c r="BN8" s="205">
        <f t="shared" si="1"/>
        <v>0</v>
      </c>
      <c r="BO8" s="205">
        <f t="shared" si="1"/>
        <v>0</v>
      </c>
      <c r="BP8" s="205">
        <f t="shared" si="1"/>
        <v>0</v>
      </c>
      <c r="BQ8" s="205">
        <f t="shared" si="1"/>
        <v>0</v>
      </c>
      <c r="BR8" s="205">
        <f t="shared" si="1"/>
        <v>0</v>
      </c>
      <c r="BS8" s="205">
        <f t="shared" si="1"/>
        <v>0</v>
      </c>
      <c r="BT8" s="205">
        <f t="shared" si="1"/>
        <v>0</v>
      </c>
      <c r="BU8" s="205">
        <f t="shared" si="1"/>
        <v>0</v>
      </c>
      <c r="BV8" s="205">
        <f t="shared" si="1"/>
        <v>0</v>
      </c>
      <c r="BW8" s="205">
        <f t="shared" si="1"/>
        <v>0</v>
      </c>
      <c r="BX8" s="205">
        <f t="shared" si="1"/>
        <v>0</v>
      </c>
      <c r="BY8" s="205">
        <f t="shared" si="1"/>
        <v>0</v>
      </c>
      <c r="BZ8" s="205">
        <f t="shared" si="1"/>
        <v>0</v>
      </c>
      <c r="CA8" s="205">
        <f t="shared" si="2"/>
        <v>0</v>
      </c>
      <c r="CB8" s="205">
        <f t="shared" si="2"/>
        <v>0</v>
      </c>
      <c r="CC8" s="205">
        <f t="shared" si="2"/>
        <v>0</v>
      </c>
      <c r="CD8" s="205">
        <f t="shared" si="2"/>
        <v>0</v>
      </c>
      <c r="CE8" s="205">
        <f t="shared" si="2"/>
        <v>0</v>
      </c>
      <c r="CF8" s="205">
        <f t="shared" si="2"/>
        <v>0</v>
      </c>
      <c r="CG8" s="205">
        <f t="shared" si="2"/>
        <v>0</v>
      </c>
      <c r="CH8" s="205">
        <f t="shared" si="2"/>
        <v>0</v>
      </c>
      <c r="CI8" s="205">
        <f t="shared" si="2"/>
        <v>0</v>
      </c>
      <c r="CJ8" s="205">
        <f t="shared" si="2"/>
        <v>0</v>
      </c>
      <c r="CK8" s="205">
        <f t="shared" si="2"/>
        <v>0</v>
      </c>
      <c r="CL8" s="205">
        <f t="shared" si="2"/>
        <v>0</v>
      </c>
      <c r="CM8" s="205">
        <f t="shared" si="2"/>
        <v>0</v>
      </c>
      <c r="CN8" s="205">
        <f t="shared" si="2"/>
        <v>0</v>
      </c>
      <c r="CO8" s="205">
        <f t="shared" si="2"/>
        <v>0</v>
      </c>
      <c r="CP8" s="205">
        <f t="shared" si="2"/>
        <v>0</v>
      </c>
      <c r="CQ8" s="205">
        <f t="shared" si="2"/>
        <v>0</v>
      </c>
      <c r="CR8" s="205">
        <f t="shared" si="2"/>
        <v>0</v>
      </c>
      <c r="CS8" s="205">
        <f t="shared" si="3"/>
        <v>0</v>
      </c>
      <c r="CT8" s="205">
        <f t="shared" si="3"/>
        <v>0</v>
      </c>
      <c r="CU8" s="205">
        <f t="shared" si="3"/>
        <v>0</v>
      </c>
      <c r="CV8" s="205">
        <f t="shared" si="3"/>
        <v>0</v>
      </c>
      <c r="CW8" s="205">
        <f t="shared" si="3"/>
        <v>0</v>
      </c>
      <c r="CX8" s="205">
        <f t="shared" si="3"/>
        <v>0</v>
      </c>
      <c r="CY8" s="205">
        <f t="shared" si="3"/>
        <v>0</v>
      </c>
      <c r="CZ8" s="205">
        <f t="shared" si="3"/>
        <v>0</v>
      </c>
      <c r="DA8" s="205">
        <f t="shared" si="3"/>
        <v>0</v>
      </c>
      <c r="DB8" s="205"/>
    </row>
    <row r="9" spans="1:106">
      <c r="A9" s="202" t="str">
        <f>Income!A78</f>
        <v>Labour - casual</v>
      </c>
      <c r="B9" s="204">
        <f>Income!B78</f>
        <v>7428.5714285714284</v>
      </c>
      <c r="C9" s="204">
        <f>Income!C78</f>
        <v>4959.9999999999991</v>
      </c>
      <c r="D9" s="204">
        <f>Income!D78</f>
        <v>0</v>
      </c>
      <c r="E9" s="204">
        <f>Income!E78</f>
        <v>0</v>
      </c>
      <c r="F9" s="205">
        <f t="shared" si="4"/>
        <v>7428.5714285714284</v>
      </c>
      <c r="G9" s="205">
        <f t="shared" si="4"/>
        <v>7428.5714285714284</v>
      </c>
      <c r="H9" s="205">
        <f t="shared" si="4"/>
        <v>7428.5714285714284</v>
      </c>
      <c r="I9" s="205">
        <f t="shared" si="4"/>
        <v>7428.5714285714284</v>
      </c>
      <c r="J9" s="205">
        <f t="shared" si="4"/>
        <v>7428.5714285714284</v>
      </c>
      <c r="K9" s="205">
        <f t="shared" si="4"/>
        <v>7428.5714285714284</v>
      </c>
      <c r="L9" s="205">
        <f t="shared" si="4"/>
        <v>7428.5714285714284</v>
      </c>
      <c r="M9" s="205">
        <f t="shared" si="4"/>
        <v>7428.5714285714284</v>
      </c>
      <c r="N9" s="205">
        <f t="shared" si="4"/>
        <v>7428.5714285714284</v>
      </c>
      <c r="O9" s="205">
        <f t="shared" si="4"/>
        <v>7428.5714285714284</v>
      </c>
      <c r="P9" s="205">
        <f t="shared" si="4"/>
        <v>7428.5714285714284</v>
      </c>
      <c r="Q9" s="205">
        <f t="shared" si="4"/>
        <v>7428.5714285714284</v>
      </c>
      <c r="R9" s="205">
        <f t="shared" si="4"/>
        <v>7428.5714285714284</v>
      </c>
      <c r="S9" s="205">
        <f t="shared" si="4"/>
        <v>7428.5714285714284</v>
      </c>
      <c r="T9" s="205">
        <f t="shared" si="4"/>
        <v>7428.5714285714284</v>
      </c>
      <c r="U9" s="205">
        <f t="shared" si="4"/>
        <v>7428.5714285714284</v>
      </c>
      <c r="V9" s="205">
        <f t="shared" si="6"/>
        <v>7428.5714285714284</v>
      </c>
      <c r="W9" s="205">
        <f t="shared" si="6"/>
        <v>7428.5714285714284</v>
      </c>
      <c r="X9" s="205">
        <f t="shared" si="6"/>
        <v>7428.5714285714284</v>
      </c>
      <c r="Y9" s="205">
        <f t="shared" si="6"/>
        <v>7428.5714285714284</v>
      </c>
      <c r="Z9" s="205">
        <f t="shared" si="6"/>
        <v>7428.5714285714284</v>
      </c>
      <c r="AA9" s="205">
        <f t="shared" si="6"/>
        <v>7428.5714285714284</v>
      </c>
      <c r="AB9" s="205">
        <f t="shared" si="6"/>
        <v>7428.5714285714284</v>
      </c>
      <c r="AC9" s="205">
        <f t="shared" si="6"/>
        <v>7428.5714285714284</v>
      </c>
      <c r="AD9" s="205">
        <f t="shared" si="6"/>
        <v>7428.5714285714284</v>
      </c>
      <c r="AE9" s="205">
        <f t="shared" si="6"/>
        <v>7428.5714285714284</v>
      </c>
      <c r="AF9" s="205">
        <f t="shared" si="6"/>
        <v>7428.5714285714284</v>
      </c>
      <c r="AG9" s="205">
        <f t="shared" si="6"/>
        <v>7428.5714285714284</v>
      </c>
      <c r="AH9" s="205">
        <f t="shared" si="6"/>
        <v>7428.5714285714284</v>
      </c>
      <c r="AI9" s="205">
        <f t="shared" si="6"/>
        <v>7428.5714285714284</v>
      </c>
      <c r="AJ9" s="205">
        <f t="shared" si="6"/>
        <v>7428.5714285714284</v>
      </c>
      <c r="AK9" s="205">
        <f t="shared" si="6"/>
        <v>7428.5714285714284</v>
      </c>
      <c r="AL9" s="205">
        <f t="shared" si="7"/>
        <v>7428.5714285714284</v>
      </c>
      <c r="AM9" s="205">
        <f t="shared" si="7"/>
        <v>7428.5714285714284</v>
      </c>
      <c r="AN9" s="205">
        <f t="shared" si="7"/>
        <v>7428.5714285714284</v>
      </c>
      <c r="AO9" s="205">
        <f t="shared" si="7"/>
        <v>7428.5714285714284</v>
      </c>
      <c r="AP9" s="205">
        <f t="shared" si="7"/>
        <v>7428.5714285714284</v>
      </c>
      <c r="AQ9" s="205">
        <f t="shared" si="7"/>
        <v>7428.5714285714284</v>
      </c>
      <c r="AR9" s="205">
        <f t="shared" si="7"/>
        <v>7428.5714285714284</v>
      </c>
      <c r="AS9" s="205">
        <f t="shared" si="7"/>
        <v>7428.5714285714284</v>
      </c>
      <c r="AT9" s="205">
        <f t="shared" si="7"/>
        <v>7428.5714285714284</v>
      </c>
      <c r="AU9" s="205">
        <f t="shared" si="7"/>
        <v>7428.5714285714284</v>
      </c>
      <c r="AV9" s="205">
        <f t="shared" si="7"/>
        <v>7428.5714285714284</v>
      </c>
      <c r="AW9" s="205">
        <f t="shared" si="7"/>
        <v>7428.5714285714284</v>
      </c>
      <c r="AX9" s="205">
        <f t="shared" si="1"/>
        <v>7428.5714285714284</v>
      </c>
      <c r="AY9" s="205">
        <f t="shared" si="1"/>
        <v>7428.5714285714284</v>
      </c>
      <c r="AZ9" s="205">
        <f t="shared" si="1"/>
        <v>7428.5714285714284</v>
      </c>
      <c r="BA9" s="205">
        <f t="shared" si="1"/>
        <v>7428.5714285714284</v>
      </c>
      <c r="BB9" s="205">
        <f t="shared" si="1"/>
        <v>7428.5714285714284</v>
      </c>
      <c r="BC9" s="205">
        <f t="shared" si="1"/>
        <v>7428.5714285714284</v>
      </c>
      <c r="BD9" s="205">
        <f t="shared" si="1"/>
        <v>4959.9999999999991</v>
      </c>
      <c r="BE9" s="205">
        <f t="shared" si="1"/>
        <v>4959.9999999999991</v>
      </c>
      <c r="BF9" s="205">
        <f t="shared" si="1"/>
        <v>4959.9999999999991</v>
      </c>
      <c r="BG9" s="205">
        <f t="shared" si="1"/>
        <v>4959.9999999999991</v>
      </c>
      <c r="BH9" s="205">
        <f t="shared" si="1"/>
        <v>4959.9999999999991</v>
      </c>
      <c r="BI9" s="205">
        <f t="shared" si="1"/>
        <v>4959.9999999999991</v>
      </c>
      <c r="BJ9" s="205">
        <f t="shared" si="1"/>
        <v>4959.9999999999991</v>
      </c>
      <c r="BK9" s="205">
        <f t="shared" si="1"/>
        <v>4959.9999999999991</v>
      </c>
      <c r="BL9" s="205">
        <f t="shared" si="1"/>
        <v>4959.9999999999991</v>
      </c>
      <c r="BM9" s="205">
        <f t="shared" si="1"/>
        <v>4959.9999999999991</v>
      </c>
      <c r="BN9" s="205">
        <f t="shared" si="1"/>
        <v>4959.9999999999991</v>
      </c>
      <c r="BO9" s="205">
        <f t="shared" si="1"/>
        <v>4959.9999999999991</v>
      </c>
      <c r="BP9" s="205">
        <f t="shared" si="1"/>
        <v>4959.9999999999991</v>
      </c>
      <c r="BQ9" s="205">
        <f t="shared" si="1"/>
        <v>4959.9999999999991</v>
      </c>
      <c r="BR9" s="205">
        <f t="shared" si="1"/>
        <v>4959.9999999999991</v>
      </c>
      <c r="BS9" s="205">
        <f t="shared" si="1"/>
        <v>4959.9999999999991</v>
      </c>
      <c r="BT9" s="205">
        <f t="shared" si="1"/>
        <v>4959.9999999999991</v>
      </c>
      <c r="BU9" s="205">
        <f t="shared" si="1"/>
        <v>4959.9999999999991</v>
      </c>
      <c r="BV9" s="205">
        <f t="shared" si="1"/>
        <v>4959.9999999999991</v>
      </c>
      <c r="BW9" s="205">
        <f t="shared" si="1"/>
        <v>4959.9999999999991</v>
      </c>
      <c r="BX9" s="205">
        <f t="shared" si="1"/>
        <v>4959.9999999999991</v>
      </c>
      <c r="BY9" s="205">
        <f t="shared" si="1"/>
        <v>4959.9999999999991</v>
      </c>
      <c r="BZ9" s="205">
        <f t="shared" si="1"/>
        <v>4959.9999999999991</v>
      </c>
      <c r="CA9" s="205">
        <f t="shared" si="2"/>
        <v>4959.9999999999991</v>
      </c>
      <c r="CB9" s="205">
        <f t="shared" si="2"/>
        <v>4959.9999999999991</v>
      </c>
      <c r="CC9" s="205">
        <f t="shared" si="2"/>
        <v>0</v>
      </c>
      <c r="CD9" s="205">
        <f t="shared" si="2"/>
        <v>0</v>
      </c>
      <c r="CE9" s="205">
        <f t="shared" si="2"/>
        <v>0</v>
      </c>
      <c r="CF9" s="205">
        <f t="shared" si="2"/>
        <v>0</v>
      </c>
      <c r="CG9" s="205">
        <f t="shared" si="2"/>
        <v>0</v>
      </c>
      <c r="CH9" s="205">
        <f t="shared" si="2"/>
        <v>0</v>
      </c>
      <c r="CI9" s="205">
        <f t="shared" si="2"/>
        <v>0</v>
      </c>
      <c r="CJ9" s="205">
        <f t="shared" si="2"/>
        <v>0</v>
      </c>
      <c r="CK9" s="205">
        <f t="shared" si="2"/>
        <v>0</v>
      </c>
      <c r="CL9" s="205">
        <f t="shared" si="2"/>
        <v>0</v>
      </c>
      <c r="CM9" s="205">
        <f t="shared" si="2"/>
        <v>0</v>
      </c>
      <c r="CN9" s="205">
        <f t="shared" si="2"/>
        <v>0</v>
      </c>
      <c r="CO9" s="205">
        <f t="shared" si="2"/>
        <v>0</v>
      </c>
      <c r="CP9" s="205">
        <f t="shared" si="2"/>
        <v>0</v>
      </c>
      <c r="CQ9" s="205">
        <f t="shared" si="2"/>
        <v>0</v>
      </c>
      <c r="CR9" s="205">
        <f t="shared" si="2"/>
        <v>0</v>
      </c>
      <c r="CS9" s="205">
        <f t="shared" si="3"/>
        <v>0</v>
      </c>
      <c r="CT9" s="205">
        <f t="shared" si="3"/>
        <v>0</v>
      </c>
      <c r="CU9" s="205">
        <f t="shared" si="3"/>
        <v>0</v>
      </c>
      <c r="CV9" s="205">
        <f t="shared" si="3"/>
        <v>0</v>
      </c>
      <c r="CW9" s="205">
        <f t="shared" si="3"/>
        <v>0</v>
      </c>
      <c r="CX9" s="205">
        <f t="shared" si="3"/>
        <v>0</v>
      </c>
      <c r="CY9" s="205">
        <f t="shared" si="3"/>
        <v>0</v>
      </c>
      <c r="CZ9" s="205">
        <f t="shared" si="3"/>
        <v>0</v>
      </c>
      <c r="DA9" s="205">
        <f t="shared" si="3"/>
        <v>0</v>
      </c>
      <c r="DB9" s="205"/>
    </row>
    <row r="10" spans="1:106">
      <c r="A10" s="202" t="str">
        <f>Income!A79</f>
        <v>Labour - formal emp</v>
      </c>
      <c r="B10" s="204">
        <f>Income!B79</f>
        <v>0</v>
      </c>
      <c r="C10" s="204">
        <f>Income!C79</f>
        <v>0</v>
      </c>
      <c r="D10" s="204">
        <f>Income!D79</f>
        <v>21942.857142857141</v>
      </c>
      <c r="E10" s="204">
        <f>Income!E79</f>
        <v>75600</v>
      </c>
      <c r="F10" s="205">
        <f t="shared" si="4"/>
        <v>0</v>
      </c>
      <c r="G10" s="205">
        <f t="shared" si="4"/>
        <v>0</v>
      </c>
      <c r="H10" s="205">
        <f t="shared" si="4"/>
        <v>0</v>
      </c>
      <c r="I10" s="205">
        <f t="shared" si="4"/>
        <v>0</v>
      </c>
      <c r="J10" s="205">
        <f t="shared" si="4"/>
        <v>0</v>
      </c>
      <c r="K10" s="205">
        <f t="shared" si="4"/>
        <v>0</v>
      </c>
      <c r="L10" s="205">
        <f t="shared" si="4"/>
        <v>0</v>
      </c>
      <c r="M10" s="205">
        <f t="shared" si="4"/>
        <v>0</v>
      </c>
      <c r="N10" s="205">
        <f t="shared" si="4"/>
        <v>0</v>
      </c>
      <c r="O10" s="205">
        <f t="shared" si="4"/>
        <v>0</v>
      </c>
      <c r="P10" s="205">
        <f t="shared" si="4"/>
        <v>0</v>
      </c>
      <c r="Q10" s="205">
        <f t="shared" si="4"/>
        <v>0</v>
      </c>
      <c r="R10" s="205">
        <f t="shared" si="4"/>
        <v>0</v>
      </c>
      <c r="S10" s="205">
        <f t="shared" si="4"/>
        <v>0</v>
      </c>
      <c r="T10" s="205">
        <f t="shared" si="4"/>
        <v>0</v>
      </c>
      <c r="U10" s="205">
        <f t="shared" si="4"/>
        <v>0</v>
      </c>
      <c r="V10" s="205">
        <f t="shared" si="6"/>
        <v>0</v>
      </c>
      <c r="W10" s="205">
        <f t="shared" si="6"/>
        <v>0</v>
      </c>
      <c r="X10" s="205">
        <f t="shared" si="6"/>
        <v>0</v>
      </c>
      <c r="Y10" s="205">
        <f t="shared" si="6"/>
        <v>0</v>
      </c>
      <c r="Z10" s="205">
        <f t="shared" si="6"/>
        <v>0</v>
      </c>
      <c r="AA10" s="205">
        <f t="shared" si="6"/>
        <v>0</v>
      </c>
      <c r="AB10" s="205">
        <f t="shared" si="6"/>
        <v>0</v>
      </c>
      <c r="AC10" s="205">
        <f t="shared" si="6"/>
        <v>0</v>
      </c>
      <c r="AD10" s="205">
        <f t="shared" si="6"/>
        <v>0</v>
      </c>
      <c r="AE10" s="205">
        <f t="shared" si="6"/>
        <v>0</v>
      </c>
      <c r="AF10" s="205">
        <f t="shared" si="6"/>
        <v>0</v>
      </c>
      <c r="AG10" s="205">
        <f t="shared" si="6"/>
        <v>0</v>
      </c>
      <c r="AH10" s="205">
        <f t="shared" si="6"/>
        <v>0</v>
      </c>
      <c r="AI10" s="205">
        <f t="shared" si="6"/>
        <v>0</v>
      </c>
      <c r="AJ10" s="205">
        <f t="shared" si="6"/>
        <v>0</v>
      </c>
      <c r="AK10" s="205">
        <f t="shared" si="6"/>
        <v>0</v>
      </c>
      <c r="AL10" s="205">
        <f t="shared" si="7"/>
        <v>0</v>
      </c>
      <c r="AM10" s="205">
        <f t="shared" si="7"/>
        <v>0</v>
      </c>
      <c r="AN10" s="205">
        <f t="shared" si="7"/>
        <v>0</v>
      </c>
      <c r="AO10" s="205">
        <f t="shared" si="7"/>
        <v>0</v>
      </c>
      <c r="AP10" s="205">
        <f t="shared" si="7"/>
        <v>0</v>
      </c>
      <c r="AQ10" s="205">
        <f t="shared" si="7"/>
        <v>0</v>
      </c>
      <c r="AR10" s="205">
        <f t="shared" si="7"/>
        <v>0</v>
      </c>
      <c r="AS10" s="205">
        <f t="shared" si="7"/>
        <v>0</v>
      </c>
      <c r="AT10" s="205">
        <f t="shared" si="7"/>
        <v>0</v>
      </c>
      <c r="AU10" s="205">
        <f t="shared" si="7"/>
        <v>0</v>
      </c>
      <c r="AV10" s="205">
        <f t="shared" si="7"/>
        <v>0</v>
      </c>
      <c r="AW10" s="205">
        <f t="shared" si="7"/>
        <v>0</v>
      </c>
      <c r="AX10" s="205">
        <f t="shared" si="1"/>
        <v>0</v>
      </c>
      <c r="AY10" s="205">
        <f t="shared" si="1"/>
        <v>0</v>
      </c>
      <c r="AZ10" s="205">
        <f t="shared" si="1"/>
        <v>0</v>
      </c>
      <c r="BA10" s="205">
        <f t="shared" si="1"/>
        <v>0</v>
      </c>
      <c r="BB10" s="205">
        <f t="shared" si="1"/>
        <v>0</v>
      </c>
      <c r="BC10" s="205">
        <f t="shared" si="1"/>
        <v>0</v>
      </c>
      <c r="BD10" s="205">
        <f t="shared" si="1"/>
        <v>0</v>
      </c>
      <c r="BE10" s="205">
        <f t="shared" si="1"/>
        <v>0</v>
      </c>
      <c r="BF10" s="205">
        <f t="shared" si="1"/>
        <v>0</v>
      </c>
      <c r="BG10" s="205">
        <f t="shared" si="1"/>
        <v>0</v>
      </c>
      <c r="BH10" s="205">
        <f t="shared" si="1"/>
        <v>0</v>
      </c>
      <c r="BI10" s="205">
        <f t="shared" si="1"/>
        <v>0</v>
      </c>
      <c r="BJ10" s="205">
        <f t="shared" si="1"/>
        <v>0</v>
      </c>
      <c r="BK10" s="205">
        <f t="shared" si="1"/>
        <v>0</v>
      </c>
      <c r="BL10" s="205">
        <f t="shared" si="1"/>
        <v>0</v>
      </c>
      <c r="BM10" s="205">
        <f t="shared" si="1"/>
        <v>0</v>
      </c>
      <c r="BN10" s="205">
        <f t="shared" si="1"/>
        <v>0</v>
      </c>
      <c r="BO10" s="205">
        <f t="shared" si="1"/>
        <v>0</v>
      </c>
      <c r="BP10" s="205">
        <f t="shared" si="1"/>
        <v>0</v>
      </c>
      <c r="BQ10" s="205">
        <f t="shared" si="1"/>
        <v>0</v>
      </c>
      <c r="BR10" s="205">
        <f t="shared" ref="AX10:BZ18" si="8">IF(BR$2&lt;=($B$2+$C$2+$D$2),IF(BR$2&lt;=($B$2+$C$2),IF(BR$2&lt;=$B$2,$B10,$C10),$D10),$E10)</f>
        <v>0</v>
      </c>
      <c r="BS10" s="205">
        <f t="shared" si="8"/>
        <v>0</v>
      </c>
      <c r="BT10" s="205">
        <f t="shared" si="8"/>
        <v>0</v>
      </c>
      <c r="BU10" s="205">
        <f t="shared" si="8"/>
        <v>0</v>
      </c>
      <c r="BV10" s="205">
        <f t="shared" si="8"/>
        <v>0</v>
      </c>
      <c r="BW10" s="205">
        <f t="shared" si="8"/>
        <v>0</v>
      </c>
      <c r="BX10" s="205">
        <f t="shared" si="8"/>
        <v>0</v>
      </c>
      <c r="BY10" s="205">
        <f t="shared" si="8"/>
        <v>0</v>
      </c>
      <c r="BZ10" s="205">
        <f t="shared" si="8"/>
        <v>0</v>
      </c>
      <c r="CA10" s="205">
        <f t="shared" si="2"/>
        <v>0</v>
      </c>
      <c r="CB10" s="205">
        <f t="shared" si="2"/>
        <v>0</v>
      </c>
      <c r="CC10" s="205">
        <f t="shared" si="2"/>
        <v>21942.857142857141</v>
      </c>
      <c r="CD10" s="205">
        <f t="shared" si="2"/>
        <v>21942.857142857141</v>
      </c>
      <c r="CE10" s="205">
        <f t="shared" si="2"/>
        <v>21942.857142857141</v>
      </c>
      <c r="CF10" s="205">
        <f t="shared" si="2"/>
        <v>21942.857142857141</v>
      </c>
      <c r="CG10" s="205">
        <f t="shared" si="2"/>
        <v>21942.857142857141</v>
      </c>
      <c r="CH10" s="205">
        <f t="shared" si="2"/>
        <v>21942.857142857141</v>
      </c>
      <c r="CI10" s="205">
        <f t="shared" si="2"/>
        <v>21942.857142857141</v>
      </c>
      <c r="CJ10" s="205">
        <f t="shared" si="2"/>
        <v>21942.857142857141</v>
      </c>
      <c r="CK10" s="205">
        <f t="shared" si="2"/>
        <v>21942.857142857141</v>
      </c>
      <c r="CL10" s="205">
        <f t="shared" si="2"/>
        <v>21942.857142857141</v>
      </c>
      <c r="CM10" s="205">
        <f t="shared" si="2"/>
        <v>21942.857142857141</v>
      </c>
      <c r="CN10" s="205">
        <f t="shared" si="2"/>
        <v>21942.857142857141</v>
      </c>
      <c r="CO10" s="205">
        <f t="shared" si="2"/>
        <v>21942.857142857141</v>
      </c>
      <c r="CP10" s="205">
        <f t="shared" si="2"/>
        <v>21942.857142857141</v>
      </c>
      <c r="CQ10" s="205">
        <f t="shared" si="2"/>
        <v>21942.857142857141</v>
      </c>
      <c r="CR10" s="205">
        <f t="shared" si="2"/>
        <v>75600</v>
      </c>
      <c r="CS10" s="205">
        <f t="shared" si="3"/>
        <v>75600</v>
      </c>
      <c r="CT10" s="205">
        <f t="shared" si="3"/>
        <v>75600</v>
      </c>
      <c r="CU10" s="205">
        <f t="shared" si="3"/>
        <v>75600</v>
      </c>
      <c r="CV10" s="205">
        <f t="shared" si="3"/>
        <v>75600</v>
      </c>
      <c r="CW10" s="205">
        <f t="shared" si="3"/>
        <v>75600</v>
      </c>
      <c r="CX10" s="205">
        <f t="shared" si="3"/>
        <v>75600</v>
      </c>
      <c r="CY10" s="205">
        <f t="shared" si="3"/>
        <v>75600</v>
      </c>
      <c r="CZ10" s="205">
        <f t="shared" si="3"/>
        <v>75600</v>
      </c>
      <c r="DA10" s="205">
        <f t="shared" si="3"/>
        <v>75600</v>
      </c>
      <c r="DB10" s="205"/>
    </row>
    <row r="11" spans="1:106">
      <c r="A11" s="202" t="str">
        <f>Income!A81</f>
        <v>Self - employment</v>
      </c>
      <c r="B11" s="204">
        <f>Income!B81</f>
        <v>0</v>
      </c>
      <c r="C11" s="204">
        <f>Income!C81</f>
        <v>0</v>
      </c>
      <c r="D11" s="204">
        <f>Income!D81</f>
        <v>0</v>
      </c>
      <c r="E11" s="204">
        <f>Income!E81</f>
        <v>0</v>
      </c>
      <c r="F11" s="205">
        <f t="shared" si="4"/>
        <v>0</v>
      </c>
      <c r="G11" s="205">
        <f t="shared" si="4"/>
        <v>0</v>
      </c>
      <c r="H11" s="205">
        <f t="shared" si="4"/>
        <v>0</v>
      </c>
      <c r="I11" s="205">
        <f t="shared" si="4"/>
        <v>0</v>
      </c>
      <c r="J11" s="205">
        <f t="shared" si="4"/>
        <v>0</v>
      </c>
      <c r="K11" s="205">
        <f t="shared" si="4"/>
        <v>0</v>
      </c>
      <c r="L11" s="205">
        <f t="shared" si="4"/>
        <v>0</v>
      </c>
      <c r="M11" s="205">
        <f t="shared" si="4"/>
        <v>0</v>
      </c>
      <c r="N11" s="205">
        <f t="shared" si="4"/>
        <v>0</v>
      </c>
      <c r="O11" s="205">
        <f t="shared" si="4"/>
        <v>0</v>
      </c>
      <c r="P11" s="205">
        <f t="shared" si="4"/>
        <v>0</v>
      </c>
      <c r="Q11" s="205">
        <f t="shared" si="4"/>
        <v>0</v>
      </c>
      <c r="R11" s="205">
        <f t="shared" si="4"/>
        <v>0</v>
      </c>
      <c r="S11" s="205">
        <f t="shared" si="4"/>
        <v>0</v>
      </c>
      <c r="T11" s="205">
        <f t="shared" si="4"/>
        <v>0</v>
      </c>
      <c r="U11" s="205">
        <f t="shared" si="4"/>
        <v>0</v>
      </c>
      <c r="V11" s="205">
        <f t="shared" si="6"/>
        <v>0</v>
      </c>
      <c r="W11" s="205">
        <f t="shared" si="6"/>
        <v>0</v>
      </c>
      <c r="X11" s="205">
        <f t="shared" si="6"/>
        <v>0</v>
      </c>
      <c r="Y11" s="205">
        <f t="shared" si="6"/>
        <v>0</v>
      </c>
      <c r="Z11" s="205">
        <f t="shared" si="6"/>
        <v>0</v>
      </c>
      <c r="AA11" s="205">
        <f t="shared" si="6"/>
        <v>0</v>
      </c>
      <c r="AB11" s="205">
        <f t="shared" si="6"/>
        <v>0</v>
      </c>
      <c r="AC11" s="205">
        <f t="shared" si="6"/>
        <v>0</v>
      </c>
      <c r="AD11" s="205">
        <f t="shared" si="6"/>
        <v>0</v>
      </c>
      <c r="AE11" s="205">
        <f t="shared" si="6"/>
        <v>0</v>
      </c>
      <c r="AF11" s="205">
        <f t="shared" si="6"/>
        <v>0</v>
      </c>
      <c r="AG11" s="205">
        <f t="shared" si="6"/>
        <v>0</v>
      </c>
      <c r="AH11" s="205">
        <f t="shared" si="6"/>
        <v>0</v>
      </c>
      <c r="AI11" s="205">
        <f t="shared" si="6"/>
        <v>0</v>
      </c>
      <c r="AJ11" s="205">
        <f t="shared" si="6"/>
        <v>0</v>
      </c>
      <c r="AK11" s="205">
        <f t="shared" si="6"/>
        <v>0</v>
      </c>
      <c r="AL11" s="205">
        <f t="shared" si="7"/>
        <v>0</v>
      </c>
      <c r="AM11" s="205">
        <f t="shared" si="7"/>
        <v>0</v>
      </c>
      <c r="AN11" s="205">
        <f t="shared" si="7"/>
        <v>0</v>
      </c>
      <c r="AO11" s="205">
        <f t="shared" si="7"/>
        <v>0</v>
      </c>
      <c r="AP11" s="205">
        <f t="shared" si="7"/>
        <v>0</v>
      </c>
      <c r="AQ11" s="205">
        <f t="shared" si="7"/>
        <v>0</v>
      </c>
      <c r="AR11" s="205">
        <f t="shared" si="7"/>
        <v>0</v>
      </c>
      <c r="AS11" s="205">
        <f t="shared" si="7"/>
        <v>0</v>
      </c>
      <c r="AT11" s="205">
        <f t="shared" si="7"/>
        <v>0</v>
      </c>
      <c r="AU11" s="205">
        <f t="shared" si="7"/>
        <v>0</v>
      </c>
      <c r="AV11" s="205">
        <f t="shared" si="7"/>
        <v>0</v>
      </c>
      <c r="AW11" s="205">
        <f t="shared" si="7"/>
        <v>0</v>
      </c>
      <c r="AX11" s="205">
        <f t="shared" si="8"/>
        <v>0</v>
      </c>
      <c r="AY11" s="205">
        <f t="shared" si="8"/>
        <v>0</v>
      </c>
      <c r="AZ11" s="205">
        <f t="shared" si="8"/>
        <v>0</v>
      </c>
      <c r="BA11" s="205">
        <f t="shared" si="8"/>
        <v>0</v>
      </c>
      <c r="BB11" s="205">
        <f t="shared" si="8"/>
        <v>0</v>
      </c>
      <c r="BC11" s="205">
        <f t="shared" si="8"/>
        <v>0</v>
      </c>
      <c r="BD11" s="205">
        <f t="shared" si="8"/>
        <v>0</v>
      </c>
      <c r="BE11" s="205">
        <f t="shared" si="8"/>
        <v>0</v>
      </c>
      <c r="BF11" s="205">
        <f t="shared" si="8"/>
        <v>0</v>
      </c>
      <c r="BG11" s="205">
        <f t="shared" si="8"/>
        <v>0</v>
      </c>
      <c r="BH11" s="205">
        <f t="shared" si="8"/>
        <v>0</v>
      </c>
      <c r="BI11" s="205">
        <f t="shared" si="8"/>
        <v>0</v>
      </c>
      <c r="BJ11" s="205">
        <f t="shared" si="8"/>
        <v>0</v>
      </c>
      <c r="BK11" s="205">
        <f t="shared" si="8"/>
        <v>0</v>
      </c>
      <c r="BL11" s="205">
        <f t="shared" si="8"/>
        <v>0</v>
      </c>
      <c r="BM11" s="205">
        <f t="shared" si="8"/>
        <v>0</v>
      </c>
      <c r="BN11" s="205">
        <f t="shared" si="8"/>
        <v>0</v>
      </c>
      <c r="BO11" s="205">
        <f t="shared" si="8"/>
        <v>0</v>
      </c>
      <c r="BP11" s="205">
        <f t="shared" si="8"/>
        <v>0</v>
      </c>
      <c r="BQ11" s="205">
        <f t="shared" si="8"/>
        <v>0</v>
      </c>
      <c r="BR11" s="205">
        <f t="shared" si="8"/>
        <v>0</v>
      </c>
      <c r="BS11" s="205">
        <f t="shared" si="8"/>
        <v>0</v>
      </c>
      <c r="BT11" s="205">
        <f t="shared" si="8"/>
        <v>0</v>
      </c>
      <c r="BU11" s="205">
        <f t="shared" si="8"/>
        <v>0</v>
      </c>
      <c r="BV11" s="205">
        <f t="shared" si="8"/>
        <v>0</v>
      </c>
      <c r="BW11" s="205">
        <f t="shared" si="8"/>
        <v>0</v>
      </c>
      <c r="BX11" s="205">
        <f t="shared" si="8"/>
        <v>0</v>
      </c>
      <c r="BY11" s="205">
        <f t="shared" si="8"/>
        <v>0</v>
      </c>
      <c r="BZ11" s="205">
        <f t="shared" si="8"/>
        <v>0</v>
      </c>
      <c r="CA11" s="205">
        <f t="shared" si="2"/>
        <v>0</v>
      </c>
      <c r="CB11" s="205">
        <f t="shared" si="2"/>
        <v>0</v>
      </c>
      <c r="CC11" s="205">
        <f t="shared" si="2"/>
        <v>0</v>
      </c>
      <c r="CD11" s="205">
        <f t="shared" si="2"/>
        <v>0</v>
      </c>
      <c r="CE11" s="205">
        <f t="shared" si="2"/>
        <v>0</v>
      </c>
      <c r="CF11" s="205">
        <f t="shared" si="2"/>
        <v>0</v>
      </c>
      <c r="CG11" s="205">
        <f t="shared" si="2"/>
        <v>0</v>
      </c>
      <c r="CH11" s="205">
        <f t="shared" si="2"/>
        <v>0</v>
      </c>
      <c r="CI11" s="205">
        <f t="shared" si="2"/>
        <v>0</v>
      </c>
      <c r="CJ11" s="205">
        <f t="shared" si="2"/>
        <v>0</v>
      </c>
      <c r="CK11" s="205">
        <f t="shared" si="2"/>
        <v>0</v>
      </c>
      <c r="CL11" s="205">
        <f t="shared" si="2"/>
        <v>0</v>
      </c>
      <c r="CM11" s="205">
        <f t="shared" si="2"/>
        <v>0</v>
      </c>
      <c r="CN11" s="205">
        <f t="shared" si="2"/>
        <v>0</v>
      </c>
      <c r="CO11" s="205">
        <f t="shared" si="2"/>
        <v>0</v>
      </c>
      <c r="CP11" s="205">
        <f t="shared" si="2"/>
        <v>0</v>
      </c>
      <c r="CQ11" s="205">
        <f t="shared" si="2"/>
        <v>0</v>
      </c>
      <c r="CR11" s="205">
        <f t="shared" si="2"/>
        <v>0</v>
      </c>
      <c r="CS11" s="205">
        <f t="shared" si="3"/>
        <v>0</v>
      </c>
      <c r="CT11" s="205">
        <f t="shared" si="3"/>
        <v>0</v>
      </c>
      <c r="CU11" s="205">
        <f t="shared" si="3"/>
        <v>0</v>
      </c>
      <c r="CV11" s="205">
        <f t="shared" si="3"/>
        <v>0</v>
      </c>
      <c r="CW11" s="205">
        <f t="shared" si="3"/>
        <v>0</v>
      </c>
      <c r="CX11" s="205">
        <f t="shared" si="3"/>
        <v>0</v>
      </c>
      <c r="CY11" s="205">
        <f t="shared" si="3"/>
        <v>0</v>
      </c>
      <c r="CZ11" s="205">
        <f t="shared" si="3"/>
        <v>0</v>
      </c>
      <c r="DA11" s="205">
        <f t="shared" si="3"/>
        <v>0</v>
      </c>
      <c r="DB11" s="205"/>
    </row>
    <row r="12" spans="1:106">
      <c r="A12" s="202" t="str">
        <f>Income!A82</f>
        <v>Small business/petty trading</v>
      </c>
      <c r="B12" s="204">
        <f>Income!B82</f>
        <v>0</v>
      </c>
      <c r="C12" s="204">
        <f>Income!C82</f>
        <v>0</v>
      </c>
      <c r="D12" s="204">
        <f>Income!D82</f>
        <v>0</v>
      </c>
      <c r="E12" s="204">
        <f>Income!E82</f>
        <v>62700</v>
      </c>
      <c r="F12" s="205">
        <f t="shared" si="4"/>
        <v>0</v>
      </c>
      <c r="G12" s="205">
        <f t="shared" si="4"/>
        <v>0</v>
      </c>
      <c r="H12" s="205">
        <f t="shared" si="4"/>
        <v>0</v>
      </c>
      <c r="I12" s="205">
        <f t="shared" si="4"/>
        <v>0</v>
      </c>
      <c r="J12" s="205">
        <f t="shared" si="4"/>
        <v>0</v>
      </c>
      <c r="K12" s="205">
        <f t="shared" si="4"/>
        <v>0</v>
      </c>
      <c r="L12" s="205">
        <f t="shared" si="4"/>
        <v>0</v>
      </c>
      <c r="M12" s="205">
        <f t="shared" si="4"/>
        <v>0</v>
      </c>
      <c r="N12" s="205">
        <f t="shared" si="4"/>
        <v>0</v>
      </c>
      <c r="O12" s="205">
        <f t="shared" si="4"/>
        <v>0</v>
      </c>
      <c r="P12" s="205">
        <f t="shared" si="4"/>
        <v>0</v>
      </c>
      <c r="Q12" s="205">
        <f t="shared" si="4"/>
        <v>0</v>
      </c>
      <c r="R12" s="205">
        <f t="shared" si="4"/>
        <v>0</v>
      </c>
      <c r="S12" s="205">
        <f t="shared" si="4"/>
        <v>0</v>
      </c>
      <c r="T12" s="205">
        <f t="shared" si="4"/>
        <v>0</v>
      </c>
      <c r="U12" s="205">
        <f t="shared" si="4"/>
        <v>0</v>
      </c>
      <c r="V12" s="205">
        <f t="shared" si="6"/>
        <v>0</v>
      </c>
      <c r="W12" s="205">
        <f t="shared" si="6"/>
        <v>0</v>
      </c>
      <c r="X12" s="205">
        <f t="shared" si="6"/>
        <v>0</v>
      </c>
      <c r="Y12" s="205">
        <f t="shared" si="6"/>
        <v>0</v>
      </c>
      <c r="Z12" s="205">
        <f t="shared" si="6"/>
        <v>0</v>
      </c>
      <c r="AA12" s="205">
        <f t="shared" si="6"/>
        <v>0</v>
      </c>
      <c r="AB12" s="205">
        <f t="shared" si="6"/>
        <v>0</v>
      </c>
      <c r="AC12" s="205">
        <f t="shared" si="6"/>
        <v>0</v>
      </c>
      <c r="AD12" s="205">
        <f t="shared" si="6"/>
        <v>0</v>
      </c>
      <c r="AE12" s="205">
        <f t="shared" si="6"/>
        <v>0</v>
      </c>
      <c r="AF12" s="205">
        <f t="shared" si="6"/>
        <v>0</v>
      </c>
      <c r="AG12" s="205">
        <f t="shared" si="6"/>
        <v>0</v>
      </c>
      <c r="AH12" s="205">
        <f t="shared" si="6"/>
        <v>0</v>
      </c>
      <c r="AI12" s="205">
        <f t="shared" si="6"/>
        <v>0</v>
      </c>
      <c r="AJ12" s="205">
        <f t="shared" si="6"/>
        <v>0</v>
      </c>
      <c r="AK12" s="205">
        <f t="shared" si="6"/>
        <v>0</v>
      </c>
      <c r="AL12" s="205">
        <f t="shared" si="7"/>
        <v>0</v>
      </c>
      <c r="AM12" s="205">
        <f t="shared" si="7"/>
        <v>0</v>
      </c>
      <c r="AN12" s="205">
        <f t="shared" si="7"/>
        <v>0</v>
      </c>
      <c r="AO12" s="205">
        <f t="shared" si="7"/>
        <v>0</v>
      </c>
      <c r="AP12" s="205">
        <f t="shared" si="7"/>
        <v>0</v>
      </c>
      <c r="AQ12" s="205">
        <f t="shared" si="7"/>
        <v>0</v>
      </c>
      <c r="AR12" s="205">
        <f t="shared" si="7"/>
        <v>0</v>
      </c>
      <c r="AS12" s="205">
        <f t="shared" si="7"/>
        <v>0</v>
      </c>
      <c r="AT12" s="205">
        <f t="shared" si="7"/>
        <v>0</v>
      </c>
      <c r="AU12" s="205">
        <f t="shared" si="7"/>
        <v>0</v>
      </c>
      <c r="AV12" s="205">
        <f t="shared" si="7"/>
        <v>0</v>
      </c>
      <c r="AW12" s="205">
        <f t="shared" si="7"/>
        <v>0</v>
      </c>
      <c r="AX12" s="205">
        <f t="shared" si="8"/>
        <v>0</v>
      </c>
      <c r="AY12" s="205">
        <f t="shared" si="8"/>
        <v>0</v>
      </c>
      <c r="AZ12" s="205">
        <f t="shared" si="8"/>
        <v>0</v>
      </c>
      <c r="BA12" s="205">
        <f t="shared" si="8"/>
        <v>0</v>
      </c>
      <c r="BB12" s="205">
        <f t="shared" si="8"/>
        <v>0</v>
      </c>
      <c r="BC12" s="205">
        <f t="shared" si="8"/>
        <v>0</v>
      </c>
      <c r="BD12" s="205">
        <f t="shared" si="8"/>
        <v>0</v>
      </c>
      <c r="BE12" s="205">
        <f t="shared" si="8"/>
        <v>0</v>
      </c>
      <c r="BF12" s="205">
        <f t="shared" si="8"/>
        <v>0</v>
      </c>
      <c r="BG12" s="205">
        <f t="shared" si="8"/>
        <v>0</v>
      </c>
      <c r="BH12" s="205">
        <f t="shared" si="8"/>
        <v>0</v>
      </c>
      <c r="BI12" s="205">
        <f t="shared" si="8"/>
        <v>0</v>
      </c>
      <c r="BJ12" s="205">
        <f t="shared" si="8"/>
        <v>0</v>
      </c>
      <c r="BK12" s="205">
        <f t="shared" si="8"/>
        <v>0</v>
      </c>
      <c r="BL12" s="205">
        <f t="shared" si="8"/>
        <v>0</v>
      </c>
      <c r="BM12" s="205">
        <f t="shared" si="8"/>
        <v>0</v>
      </c>
      <c r="BN12" s="205">
        <f t="shared" si="8"/>
        <v>0</v>
      </c>
      <c r="BO12" s="205">
        <f t="shared" si="8"/>
        <v>0</v>
      </c>
      <c r="BP12" s="205">
        <f t="shared" si="8"/>
        <v>0</v>
      </c>
      <c r="BQ12" s="205">
        <f t="shared" si="8"/>
        <v>0</v>
      </c>
      <c r="BR12" s="205">
        <f t="shared" si="8"/>
        <v>0</v>
      </c>
      <c r="BS12" s="205">
        <f t="shared" si="8"/>
        <v>0</v>
      </c>
      <c r="BT12" s="205">
        <f t="shared" si="8"/>
        <v>0</v>
      </c>
      <c r="BU12" s="205">
        <f t="shared" si="8"/>
        <v>0</v>
      </c>
      <c r="BV12" s="205">
        <f t="shared" si="8"/>
        <v>0</v>
      </c>
      <c r="BW12" s="205">
        <f t="shared" si="8"/>
        <v>0</v>
      </c>
      <c r="BX12" s="205">
        <f t="shared" si="8"/>
        <v>0</v>
      </c>
      <c r="BY12" s="205">
        <f t="shared" si="8"/>
        <v>0</v>
      </c>
      <c r="BZ12" s="205">
        <f t="shared" si="8"/>
        <v>0</v>
      </c>
      <c r="CA12" s="205">
        <f t="shared" si="2"/>
        <v>0</v>
      </c>
      <c r="CB12" s="205">
        <f t="shared" si="2"/>
        <v>0</v>
      </c>
      <c r="CC12" s="205">
        <f t="shared" si="2"/>
        <v>0</v>
      </c>
      <c r="CD12" s="205">
        <f t="shared" si="2"/>
        <v>0</v>
      </c>
      <c r="CE12" s="205">
        <f t="shared" si="2"/>
        <v>0</v>
      </c>
      <c r="CF12" s="205">
        <f t="shared" si="2"/>
        <v>0</v>
      </c>
      <c r="CG12" s="205">
        <f t="shared" si="2"/>
        <v>0</v>
      </c>
      <c r="CH12" s="205">
        <f t="shared" si="2"/>
        <v>0</v>
      </c>
      <c r="CI12" s="205">
        <f t="shared" si="2"/>
        <v>0</v>
      </c>
      <c r="CJ12" s="205">
        <f t="shared" si="2"/>
        <v>0</v>
      </c>
      <c r="CK12" s="205">
        <f t="shared" si="2"/>
        <v>0</v>
      </c>
      <c r="CL12" s="205">
        <f t="shared" si="2"/>
        <v>0</v>
      </c>
      <c r="CM12" s="205">
        <f t="shared" si="2"/>
        <v>0</v>
      </c>
      <c r="CN12" s="205">
        <f t="shared" si="2"/>
        <v>0</v>
      </c>
      <c r="CO12" s="205">
        <f t="shared" si="2"/>
        <v>0</v>
      </c>
      <c r="CP12" s="205">
        <f t="shared" si="2"/>
        <v>0</v>
      </c>
      <c r="CQ12" s="205">
        <f t="shared" si="2"/>
        <v>0</v>
      </c>
      <c r="CR12" s="205">
        <f t="shared" si="2"/>
        <v>62700</v>
      </c>
      <c r="CS12" s="205">
        <f t="shared" si="3"/>
        <v>62700</v>
      </c>
      <c r="CT12" s="205">
        <f t="shared" si="3"/>
        <v>62700</v>
      </c>
      <c r="CU12" s="205">
        <f t="shared" si="3"/>
        <v>62700</v>
      </c>
      <c r="CV12" s="205">
        <f t="shared" si="3"/>
        <v>62700</v>
      </c>
      <c r="CW12" s="205">
        <f t="shared" si="3"/>
        <v>62700</v>
      </c>
      <c r="CX12" s="205">
        <f t="shared" si="3"/>
        <v>62700</v>
      </c>
      <c r="CY12" s="205">
        <f t="shared" si="3"/>
        <v>62700</v>
      </c>
      <c r="CZ12" s="205">
        <f t="shared" si="3"/>
        <v>62700</v>
      </c>
      <c r="DA12" s="205">
        <f t="shared" si="3"/>
        <v>62700</v>
      </c>
      <c r="DB12" s="205"/>
    </row>
    <row r="13" spans="1:106">
      <c r="A13" s="202" t="str">
        <f>Income!A83</f>
        <v>Food transfer - official</v>
      </c>
      <c r="B13" s="204">
        <f>Income!B83</f>
        <v>1009.1726124276728</v>
      </c>
      <c r="C13" s="204">
        <f>Income!C83</f>
        <v>1009.1726124276729</v>
      </c>
      <c r="D13" s="204">
        <f>Income!D83</f>
        <v>1009.1726124276728</v>
      </c>
      <c r="E13" s="204">
        <f>Income!E83</f>
        <v>0</v>
      </c>
      <c r="F13" s="205">
        <f t="shared" si="4"/>
        <v>1009.1726124276728</v>
      </c>
      <c r="G13" s="205">
        <f t="shared" si="4"/>
        <v>1009.1726124276728</v>
      </c>
      <c r="H13" s="205">
        <f t="shared" si="4"/>
        <v>1009.1726124276728</v>
      </c>
      <c r="I13" s="205">
        <f t="shared" si="4"/>
        <v>1009.1726124276728</v>
      </c>
      <c r="J13" s="205">
        <f t="shared" si="4"/>
        <v>1009.1726124276728</v>
      </c>
      <c r="K13" s="205">
        <f t="shared" si="4"/>
        <v>1009.1726124276728</v>
      </c>
      <c r="L13" s="205">
        <f t="shared" si="4"/>
        <v>1009.1726124276728</v>
      </c>
      <c r="M13" s="205">
        <f t="shared" si="4"/>
        <v>1009.1726124276728</v>
      </c>
      <c r="N13" s="205">
        <f t="shared" si="4"/>
        <v>1009.1726124276728</v>
      </c>
      <c r="O13" s="205">
        <f t="shared" si="4"/>
        <v>1009.1726124276728</v>
      </c>
      <c r="P13" s="205">
        <f t="shared" si="4"/>
        <v>1009.1726124276728</v>
      </c>
      <c r="Q13" s="205">
        <f t="shared" si="4"/>
        <v>1009.1726124276728</v>
      </c>
      <c r="R13" s="205">
        <f t="shared" si="4"/>
        <v>1009.1726124276728</v>
      </c>
      <c r="S13" s="205">
        <f t="shared" si="4"/>
        <v>1009.1726124276728</v>
      </c>
      <c r="T13" s="205">
        <f t="shared" si="4"/>
        <v>1009.1726124276728</v>
      </c>
      <c r="U13" s="205">
        <f t="shared" si="4"/>
        <v>1009.1726124276728</v>
      </c>
      <c r="V13" s="205">
        <f t="shared" si="6"/>
        <v>1009.1726124276728</v>
      </c>
      <c r="W13" s="205">
        <f t="shared" si="6"/>
        <v>1009.1726124276728</v>
      </c>
      <c r="X13" s="205">
        <f t="shared" si="6"/>
        <v>1009.1726124276728</v>
      </c>
      <c r="Y13" s="205">
        <f t="shared" si="6"/>
        <v>1009.1726124276728</v>
      </c>
      <c r="Z13" s="205">
        <f t="shared" si="6"/>
        <v>1009.1726124276728</v>
      </c>
      <c r="AA13" s="205">
        <f t="shared" si="6"/>
        <v>1009.1726124276728</v>
      </c>
      <c r="AB13" s="205">
        <f t="shared" si="6"/>
        <v>1009.1726124276728</v>
      </c>
      <c r="AC13" s="205">
        <f t="shared" si="6"/>
        <v>1009.1726124276728</v>
      </c>
      <c r="AD13" s="205">
        <f t="shared" si="6"/>
        <v>1009.1726124276728</v>
      </c>
      <c r="AE13" s="205">
        <f t="shared" si="6"/>
        <v>1009.1726124276728</v>
      </c>
      <c r="AF13" s="205">
        <f t="shared" si="6"/>
        <v>1009.1726124276728</v>
      </c>
      <c r="AG13" s="205">
        <f t="shared" si="6"/>
        <v>1009.1726124276728</v>
      </c>
      <c r="AH13" s="205">
        <f t="shared" si="6"/>
        <v>1009.1726124276728</v>
      </c>
      <c r="AI13" s="205">
        <f t="shared" si="6"/>
        <v>1009.1726124276728</v>
      </c>
      <c r="AJ13" s="205">
        <f t="shared" si="6"/>
        <v>1009.1726124276728</v>
      </c>
      <c r="AK13" s="205">
        <f t="shared" si="6"/>
        <v>1009.1726124276728</v>
      </c>
      <c r="AL13" s="205">
        <f t="shared" si="7"/>
        <v>1009.1726124276728</v>
      </c>
      <c r="AM13" s="205">
        <f t="shared" si="7"/>
        <v>1009.1726124276728</v>
      </c>
      <c r="AN13" s="205">
        <f t="shared" si="7"/>
        <v>1009.1726124276728</v>
      </c>
      <c r="AO13" s="205">
        <f t="shared" si="7"/>
        <v>1009.1726124276728</v>
      </c>
      <c r="AP13" s="205">
        <f t="shared" si="7"/>
        <v>1009.1726124276728</v>
      </c>
      <c r="AQ13" s="205">
        <f t="shared" si="7"/>
        <v>1009.1726124276728</v>
      </c>
      <c r="AR13" s="205">
        <f t="shared" si="7"/>
        <v>1009.1726124276728</v>
      </c>
      <c r="AS13" s="205">
        <f t="shared" si="7"/>
        <v>1009.1726124276728</v>
      </c>
      <c r="AT13" s="205">
        <f t="shared" si="7"/>
        <v>1009.1726124276728</v>
      </c>
      <c r="AU13" s="205">
        <f t="shared" si="7"/>
        <v>1009.1726124276728</v>
      </c>
      <c r="AV13" s="205">
        <f t="shared" si="7"/>
        <v>1009.1726124276728</v>
      </c>
      <c r="AW13" s="205">
        <f t="shared" si="7"/>
        <v>1009.1726124276728</v>
      </c>
      <c r="AX13" s="205">
        <f t="shared" si="8"/>
        <v>1009.1726124276728</v>
      </c>
      <c r="AY13" s="205">
        <f t="shared" si="8"/>
        <v>1009.1726124276728</v>
      </c>
      <c r="AZ13" s="205">
        <f t="shared" si="8"/>
        <v>1009.1726124276728</v>
      </c>
      <c r="BA13" s="205">
        <f t="shared" si="8"/>
        <v>1009.1726124276728</v>
      </c>
      <c r="BB13" s="205">
        <f t="shared" si="8"/>
        <v>1009.1726124276728</v>
      </c>
      <c r="BC13" s="205">
        <f t="shared" si="8"/>
        <v>1009.1726124276728</v>
      </c>
      <c r="BD13" s="205">
        <f t="shared" si="8"/>
        <v>1009.1726124276729</v>
      </c>
      <c r="BE13" s="205">
        <f t="shared" si="8"/>
        <v>1009.1726124276729</v>
      </c>
      <c r="BF13" s="205">
        <f t="shared" si="8"/>
        <v>1009.1726124276729</v>
      </c>
      <c r="BG13" s="205">
        <f t="shared" si="8"/>
        <v>1009.1726124276729</v>
      </c>
      <c r="BH13" s="205">
        <f t="shared" si="8"/>
        <v>1009.1726124276729</v>
      </c>
      <c r="BI13" s="205">
        <f t="shared" si="8"/>
        <v>1009.1726124276729</v>
      </c>
      <c r="BJ13" s="205">
        <f t="shared" si="8"/>
        <v>1009.1726124276729</v>
      </c>
      <c r="BK13" s="205">
        <f t="shared" si="8"/>
        <v>1009.1726124276729</v>
      </c>
      <c r="BL13" s="205">
        <f t="shared" si="8"/>
        <v>1009.1726124276729</v>
      </c>
      <c r="BM13" s="205">
        <f t="shared" si="8"/>
        <v>1009.1726124276729</v>
      </c>
      <c r="BN13" s="205">
        <f t="shared" si="8"/>
        <v>1009.1726124276729</v>
      </c>
      <c r="BO13" s="205">
        <f t="shared" si="8"/>
        <v>1009.1726124276729</v>
      </c>
      <c r="BP13" s="205">
        <f t="shared" si="8"/>
        <v>1009.1726124276729</v>
      </c>
      <c r="BQ13" s="205">
        <f t="shared" si="8"/>
        <v>1009.1726124276729</v>
      </c>
      <c r="BR13" s="205">
        <f t="shared" si="8"/>
        <v>1009.1726124276729</v>
      </c>
      <c r="BS13" s="205">
        <f t="shared" si="8"/>
        <v>1009.1726124276729</v>
      </c>
      <c r="BT13" s="205">
        <f t="shared" si="8"/>
        <v>1009.1726124276729</v>
      </c>
      <c r="BU13" s="205">
        <f t="shared" si="8"/>
        <v>1009.1726124276729</v>
      </c>
      <c r="BV13" s="205">
        <f t="shared" si="8"/>
        <v>1009.1726124276729</v>
      </c>
      <c r="BW13" s="205">
        <f t="shared" si="8"/>
        <v>1009.1726124276729</v>
      </c>
      <c r="BX13" s="205">
        <f t="shared" si="8"/>
        <v>1009.1726124276729</v>
      </c>
      <c r="BY13" s="205">
        <f t="shared" si="8"/>
        <v>1009.1726124276729</v>
      </c>
      <c r="BZ13" s="205">
        <f t="shared" si="8"/>
        <v>1009.1726124276729</v>
      </c>
      <c r="CA13" s="205">
        <f t="shared" si="2"/>
        <v>1009.1726124276729</v>
      </c>
      <c r="CB13" s="205">
        <f t="shared" si="2"/>
        <v>1009.1726124276729</v>
      </c>
      <c r="CC13" s="205">
        <f t="shared" si="2"/>
        <v>1009.1726124276728</v>
      </c>
      <c r="CD13" s="205">
        <f t="shared" si="2"/>
        <v>1009.1726124276728</v>
      </c>
      <c r="CE13" s="205">
        <f t="shared" si="2"/>
        <v>1009.1726124276728</v>
      </c>
      <c r="CF13" s="205">
        <f t="shared" si="2"/>
        <v>1009.1726124276728</v>
      </c>
      <c r="CG13" s="205">
        <f t="shared" si="2"/>
        <v>1009.1726124276728</v>
      </c>
      <c r="CH13" s="205">
        <f t="shared" si="2"/>
        <v>1009.1726124276728</v>
      </c>
      <c r="CI13" s="205">
        <f t="shared" si="2"/>
        <v>1009.1726124276728</v>
      </c>
      <c r="CJ13" s="205">
        <f t="shared" si="2"/>
        <v>1009.1726124276728</v>
      </c>
      <c r="CK13" s="205">
        <f t="shared" si="2"/>
        <v>1009.1726124276728</v>
      </c>
      <c r="CL13" s="205">
        <f t="shared" si="2"/>
        <v>1009.1726124276728</v>
      </c>
      <c r="CM13" s="205">
        <f t="shared" si="2"/>
        <v>1009.1726124276728</v>
      </c>
      <c r="CN13" s="205">
        <f t="shared" si="2"/>
        <v>1009.1726124276728</v>
      </c>
      <c r="CO13" s="205">
        <f t="shared" si="2"/>
        <v>1009.1726124276728</v>
      </c>
      <c r="CP13" s="205">
        <f t="shared" si="2"/>
        <v>1009.1726124276728</v>
      </c>
      <c r="CQ13" s="205">
        <f t="shared" si="2"/>
        <v>1009.1726124276728</v>
      </c>
      <c r="CR13" s="205">
        <f t="shared" si="2"/>
        <v>0</v>
      </c>
      <c r="CS13" s="205">
        <f t="shared" si="3"/>
        <v>0</v>
      </c>
      <c r="CT13" s="205">
        <f t="shared" si="3"/>
        <v>0</v>
      </c>
      <c r="CU13" s="205">
        <f t="shared" si="3"/>
        <v>0</v>
      </c>
      <c r="CV13" s="205">
        <f t="shared" si="3"/>
        <v>0</v>
      </c>
      <c r="CW13" s="205">
        <f t="shared" si="3"/>
        <v>0</v>
      </c>
      <c r="CX13" s="205">
        <f t="shared" si="3"/>
        <v>0</v>
      </c>
      <c r="CY13" s="205">
        <f t="shared" si="3"/>
        <v>0</v>
      </c>
      <c r="CZ13" s="205">
        <f t="shared" si="3"/>
        <v>0</v>
      </c>
      <c r="DA13" s="205">
        <f t="shared" si="3"/>
        <v>0</v>
      </c>
      <c r="DB13" s="205"/>
    </row>
    <row r="14" spans="1:106">
      <c r="A14" s="202" t="str">
        <f>Income!A85</f>
        <v>Cash transfer - official</v>
      </c>
      <c r="B14" s="204">
        <f>Income!B85</f>
        <v>23108.571428571428</v>
      </c>
      <c r="C14" s="204">
        <f>Income!C85</f>
        <v>22020</v>
      </c>
      <c r="D14" s="204">
        <f>Income!D85</f>
        <v>8708.5714285714294</v>
      </c>
      <c r="E14" s="204">
        <f>Income!E85</f>
        <v>7620</v>
      </c>
      <c r="F14" s="205">
        <f t="shared" si="4"/>
        <v>23108.571428571428</v>
      </c>
      <c r="G14" s="205">
        <f t="shared" si="4"/>
        <v>23108.571428571428</v>
      </c>
      <c r="H14" s="205">
        <f t="shared" si="4"/>
        <v>23108.571428571428</v>
      </c>
      <c r="I14" s="205">
        <f t="shared" si="4"/>
        <v>23108.571428571428</v>
      </c>
      <c r="J14" s="205">
        <f t="shared" si="4"/>
        <v>23108.571428571428</v>
      </c>
      <c r="K14" s="205">
        <f t="shared" si="4"/>
        <v>23108.571428571428</v>
      </c>
      <c r="L14" s="205">
        <f t="shared" si="4"/>
        <v>23108.571428571428</v>
      </c>
      <c r="M14" s="205">
        <f t="shared" si="4"/>
        <v>23108.571428571428</v>
      </c>
      <c r="N14" s="205">
        <f t="shared" si="4"/>
        <v>23108.571428571428</v>
      </c>
      <c r="O14" s="205">
        <f t="shared" si="4"/>
        <v>23108.571428571428</v>
      </c>
      <c r="P14" s="205">
        <f t="shared" si="4"/>
        <v>23108.571428571428</v>
      </c>
      <c r="Q14" s="205">
        <f t="shared" si="4"/>
        <v>23108.571428571428</v>
      </c>
      <c r="R14" s="205">
        <f t="shared" si="4"/>
        <v>23108.571428571428</v>
      </c>
      <c r="S14" s="205">
        <f t="shared" si="4"/>
        <v>23108.571428571428</v>
      </c>
      <c r="T14" s="205">
        <f t="shared" si="4"/>
        <v>23108.571428571428</v>
      </c>
      <c r="U14" s="205">
        <f t="shared" si="4"/>
        <v>23108.571428571428</v>
      </c>
      <c r="V14" s="205">
        <f t="shared" si="6"/>
        <v>23108.571428571428</v>
      </c>
      <c r="W14" s="205">
        <f t="shared" si="6"/>
        <v>23108.571428571428</v>
      </c>
      <c r="X14" s="205">
        <f t="shared" si="6"/>
        <v>23108.571428571428</v>
      </c>
      <c r="Y14" s="205">
        <f t="shared" si="6"/>
        <v>23108.571428571428</v>
      </c>
      <c r="Z14" s="205">
        <f t="shared" si="6"/>
        <v>23108.571428571428</v>
      </c>
      <c r="AA14" s="205">
        <f t="shared" si="6"/>
        <v>23108.571428571428</v>
      </c>
      <c r="AB14" s="205">
        <f t="shared" si="6"/>
        <v>23108.571428571428</v>
      </c>
      <c r="AC14" s="205">
        <f t="shared" si="6"/>
        <v>23108.571428571428</v>
      </c>
      <c r="AD14" s="205">
        <f t="shared" si="6"/>
        <v>23108.571428571428</v>
      </c>
      <c r="AE14" s="205">
        <f t="shared" si="6"/>
        <v>23108.571428571428</v>
      </c>
      <c r="AF14" s="205">
        <f t="shared" si="6"/>
        <v>23108.571428571428</v>
      </c>
      <c r="AG14" s="205">
        <f t="shared" si="6"/>
        <v>23108.571428571428</v>
      </c>
      <c r="AH14" s="205">
        <f t="shared" si="6"/>
        <v>23108.571428571428</v>
      </c>
      <c r="AI14" s="205">
        <f t="shared" si="6"/>
        <v>23108.571428571428</v>
      </c>
      <c r="AJ14" s="205">
        <f t="shared" si="6"/>
        <v>23108.571428571428</v>
      </c>
      <c r="AK14" s="205">
        <f t="shared" si="6"/>
        <v>23108.571428571428</v>
      </c>
      <c r="AL14" s="205">
        <f t="shared" si="7"/>
        <v>23108.571428571428</v>
      </c>
      <c r="AM14" s="205">
        <f t="shared" si="7"/>
        <v>23108.571428571428</v>
      </c>
      <c r="AN14" s="205">
        <f t="shared" si="7"/>
        <v>23108.571428571428</v>
      </c>
      <c r="AO14" s="205">
        <f t="shared" si="7"/>
        <v>23108.571428571428</v>
      </c>
      <c r="AP14" s="205">
        <f t="shared" si="7"/>
        <v>23108.571428571428</v>
      </c>
      <c r="AQ14" s="205">
        <f t="shared" si="7"/>
        <v>23108.571428571428</v>
      </c>
      <c r="AR14" s="205">
        <f t="shared" si="7"/>
        <v>23108.571428571428</v>
      </c>
      <c r="AS14" s="205">
        <f t="shared" si="7"/>
        <v>23108.571428571428</v>
      </c>
      <c r="AT14" s="205">
        <f t="shared" si="7"/>
        <v>23108.571428571428</v>
      </c>
      <c r="AU14" s="205">
        <f t="shared" si="7"/>
        <v>23108.571428571428</v>
      </c>
      <c r="AV14" s="205">
        <f t="shared" si="7"/>
        <v>23108.571428571428</v>
      </c>
      <c r="AW14" s="205">
        <f t="shared" si="7"/>
        <v>23108.571428571428</v>
      </c>
      <c r="AX14" s="205">
        <f t="shared" si="7"/>
        <v>23108.571428571428</v>
      </c>
      <c r="AY14" s="205">
        <f t="shared" si="7"/>
        <v>23108.571428571428</v>
      </c>
      <c r="AZ14" s="205">
        <f t="shared" si="7"/>
        <v>23108.571428571428</v>
      </c>
      <c r="BA14" s="205">
        <f t="shared" si="7"/>
        <v>23108.571428571428</v>
      </c>
      <c r="BB14" s="205">
        <f t="shared" si="8"/>
        <v>23108.571428571428</v>
      </c>
      <c r="BC14" s="205">
        <f t="shared" si="8"/>
        <v>23108.571428571428</v>
      </c>
      <c r="BD14" s="205">
        <f t="shared" si="8"/>
        <v>22020</v>
      </c>
      <c r="BE14" s="205">
        <f t="shared" si="8"/>
        <v>22020</v>
      </c>
      <c r="BF14" s="205">
        <f t="shared" si="8"/>
        <v>22020</v>
      </c>
      <c r="BG14" s="205">
        <f t="shared" si="8"/>
        <v>22020</v>
      </c>
      <c r="BH14" s="205">
        <f t="shared" si="8"/>
        <v>22020</v>
      </c>
      <c r="BI14" s="205">
        <f t="shared" si="8"/>
        <v>22020</v>
      </c>
      <c r="BJ14" s="205">
        <f t="shared" si="8"/>
        <v>22020</v>
      </c>
      <c r="BK14" s="205">
        <f t="shared" si="8"/>
        <v>22020</v>
      </c>
      <c r="BL14" s="205">
        <f t="shared" si="8"/>
        <v>22020</v>
      </c>
      <c r="BM14" s="205">
        <f t="shared" si="8"/>
        <v>22020</v>
      </c>
      <c r="BN14" s="205">
        <f t="shared" si="8"/>
        <v>22020</v>
      </c>
      <c r="BO14" s="205">
        <f t="shared" si="8"/>
        <v>22020</v>
      </c>
      <c r="BP14" s="205">
        <f t="shared" si="8"/>
        <v>22020</v>
      </c>
      <c r="BQ14" s="205">
        <f t="shared" si="8"/>
        <v>22020</v>
      </c>
      <c r="BR14" s="205">
        <f t="shared" si="8"/>
        <v>22020</v>
      </c>
      <c r="BS14" s="205">
        <f t="shared" si="8"/>
        <v>22020</v>
      </c>
      <c r="BT14" s="205">
        <f t="shared" si="8"/>
        <v>22020</v>
      </c>
      <c r="BU14" s="205">
        <f t="shared" si="8"/>
        <v>22020</v>
      </c>
      <c r="BV14" s="205">
        <f t="shared" si="8"/>
        <v>22020</v>
      </c>
      <c r="BW14" s="205">
        <f t="shared" si="8"/>
        <v>22020</v>
      </c>
      <c r="BX14" s="205">
        <f t="shared" si="8"/>
        <v>22020</v>
      </c>
      <c r="BY14" s="205">
        <f t="shared" si="8"/>
        <v>22020</v>
      </c>
      <c r="BZ14" s="205">
        <f t="shared" si="8"/>
        <v>22020</v>
      </c>
      <c r="CA14" s="205">
        <f t="shared" si="2"/>
        <v>22020</v>
      </c>
      <c r="CB14" s="205">
        <f t="shared" si="2"/>
        <v>22020</v>
      </c>
      <c r="CC14" s="205">
        <f t="shared" si="2"/>
        <v>8708.5714285714294</v>
      </c>
      <c r="CD14" s="205">
        <f t="shared" si="2"/>
        <v>8708.5714285714294</v>
      </c>
      <c r="CE14" s="205">
        <f t="shared" si="2"/>
        <v>8708.5714285714294</v>
      </c>
      <c r="CF14" s="205">
        <f t="shared" si="2"/>
        <v>8708.5714285714294</v>
      </c>
      <c r="CG14" s="205">
        <f t="shared" si="2"/>
        <v>8708.5714285714294</v>
      </c>
      <c r="CH14" s="205">
        <f t="shared" si="2"/>
        <v>8708.5714285714294</v>
      </c>
      <c r="CI14" s="205">
        <f t="shared" si="2"/>
        <v>8708.5714285714294</v>
      </c>
      <c r="CJ14" s="205">
        <f t="shared" si="2"/>
        <v>8708.5714285714294</v>
      </c>
      <c r="CK14" s="205">
        <f t="shared" si="2"/>
        <v>8708.5714285714294</v>
      </c>
      <c r="CL14" s="205">
        <f t="shared" si="2"/>
        <v>8708.5714285714294</v>
      </c>
      <c r="CM14" s="205">
        <f t="shared" si="2"/>
        <v>8708.5714285714294</v>
      </c>
      <c r="CN14" s="205">
        <f t="shared" si="2"/>
        <v>8708.5714285714294</v>
      </c>
      <c r="CO14" s="205">
        <f t="shared" si="2"/>
        <v>8708.5714285714294</v>
      </c>
      <c r="CP14" s="205">
        <f t="shared" si="2"/>
        <v>8708.5714285714294</v>
      </c>
      <c r="CQ14" s="205">
        <f t="shared" si="2"/>
        <v>8708.5714285714294</v>
      </c>
      <c r="CR14" s="205">
        <f t="shared" si="2"/>
        <v>7620</v>
      </c>
      <c r="CS14" s="205">
        <f t="shared" si="3"/>
        <v>7620</v>
      </c>
      <c r="CT14" s="205">
        <f t="shared" si="3"/>
        <v>7620</v>
      </c>
      <c r="CU14" s="205">
        <f t="shared" si="3"/>
        <v>7620</v>
      </c>
      <c r="CV14" s="205">
        <f t="shared" si="3"/>
        <v>7620</v>
      </c>
      <c r="CW14" s="205">
        <f t="shared" si="3"/>
        <v>7620</v>
      </c>
      <c r="CX14" s="205">
        <f t="shared" si="3"/>
        <v>7620</v>
      </c>
      <c r="CY14" s="205">
        <f t="shared" si="3"/>
        <v>7620</v>
      </c>
      <c r="CZ14" s="205">
        <f t="shared" si="3"/>
        <v>7620</v>
      </c>
      <c r="DA14" s="205">
        <f t="shared" si="3"/>
        <v>7620</v>
      </c>
      <c r="DB14" s="205"/>
    </row>
    <row r="15" spans="1:106">
      <c r="A15" s="202" t="str">
        <f>Income!A86</f>
        <v>Cash transfer - gifts</v>
      </c>
      <c r="B15" s="204">
        <f>Income!B86</f>
        <v>0</v>
      </c>
      <c r="C15" s="204">
        <f>Income!C86</f>
        <v>0</v>
      </c>
      <c r="D15" s="204">
        <f>Income!D86</f>
        <v>13714.285714285714</v>
      </c>
      <c r="E15" s="204">
        <f>Income!E86</f>
        <v>26040</v>
      </c>
      <c r="F15" s="205">
        <f t="shared" si="4"/>
        <v>0</v>
      </c>
      <c r="G15" s="205">
        <f t="shared" si="4"/>
        <v>0</v>
      </c>
      <c r="H15" s="205">
        <f t="shared" si="4"/>
        <v>0</v>
      </c>
      <c r="I15" s="205">
        <f t="shared" si="4"/>
        <v>0</v>
      </c>
      <c r="J15" s="205">
        <f t="shared" si="4"/>
        <v>0</v>
      </c>
      <c r="K15" s="205">
        <f t="shared" si="4"/>
        <v>0</v>
      </c>
      <c r="L15" s="205">
        <f t="shared" si="4"/>
        <v>0</v>
      </c>
      <c r="M15" s="205">
        <f t="shared" si="4"/>
        <v>0</v>
      </c>
      <c r="N15" s="205">
        <f t="shared" si="4"/>
        <v>0</v>
      </c>
      <c r="O15" s="205">
        <f t="shared" si="4"/>
        <v>0</v>
      </c>
      <c r="P15" s="205">
        <f t="shared" si="4"/>
        <v>0</v>
      </c>
      <c r="Q15" s="205">
        <f t="shared" si="4"/>
        <v>0</v>
      </c>
      <c r="R15" s="205">
        <f t="shared" si="4"/>
        <v>0</v>
      </c>
      <c r="S15" s="205">
        <f t="shared" si="4"/>
        <v>0</v>
      </c>
      <c r="T15" s="205">
        <f t="shared" si="4"/>
        <v>0</v>
      </c>
      <c r="U15" s="205">
        <f t="shared" si="4"/>
        <v>0</v>
      </c>
      <c r="V15" s="205">
        <f t="shared" si="6"/>
        <v>0</v>
      </c>
      <c r="W15" s="205">
        <f t="shared" si="6"/>
        <v>0</v>
      </c>
      <c r="X15" s="205">
        <f t="shared" si="6"/>
        <v>0</v>
      </c>
      <c r="Y15" s="205">
        <f t="shared" si="6"/>
        <v>0</v>
      </c>
      <c r="Z15" s="205">
        <f t="shared" si="6"/>
        <v>0</v>
      </c>
      <c r="AA15" s="205">
        <f t="shared" si="6"/>
        <v>0</v>
      </c>
      <c r="AB15" s="205">
        <f t="shared" si="6"/>
        <v>0</v>
      </c>
      <c r="AC15" s="205">
        <f t="shared" si="6"/>
        <v>0</v>
      </c>
      <c r="AD15" s="205">
        <f t="shared" si="6"/>
        <v>0</v>
      </c>
      <c r="AE15" s="205">
        <f t="shared" si="6"/>
        <v>0</v>
      </c>
      <c r="AF15" s="205">
        <f t="shared" si="6"/>
        <v>0</v>
      </c>
      <c r="AG15" s="205">
        <f t="shared" si="6"/>
        <v>0</v>
      </c>
      <c r="AH15" s="205">
        <f t="shared" si="6"/>
        <v>0</v>
      </c>
      <c r="AI15" s="205">
        <f t="shared" si="6"/>
        <v>0</v>
      </c>
      <c r="AJ15" s="205">
        <f t="shared" si="6"/>
        <v>0</v>
      </c>
      <c r="AK15" s="205">
        <f t="shared" si="6"/>
        <v>0</v>
      </c>
      <c r="AL15" s="205">
        <f t="shared" si="7"/>
        <v>0</v>
      </c>
      <c r="AM15" s="205">
        <f t="shared" si="7"/>
        <v>0</v>
      </c>
      <c r="AN15" s="205">
        <f t="shared" si="7"/>
        <v>0</v>
      </c>
      <c r="AO15" s="205">
        <f t="shared" si="7"/>
        <v>0</v>
      </c>
      <c r="AP15" s="205">
        <f t="shared" si="7"/>
        <v>0</v>
      </c>
      <c r="AQ15" s="205">
        <f t="shared" si="7"/>
        <v>0</v>
      </c>
      <c r="AR15" s="205">
        <f t="shared" si="7"/>
        <v>0</v>
      </c>
      <c r="AS15" s="205">
        <f t="shared" si="7"/>
        <v>0</v>
      </c>
      <c r="AT15" s="205">
        <f t="shared" si="7"/>
        <v>0</v>
      </c>
      <c r="AU15" s="205">
        <f t="shared" si="7"/>
        <v>0</v>
      </c>
      <c r="AV15" s="205">
        <f t="shared" si="7"/>
        <v>0</v>
      </c>
      <c r="AW15" s="205">
        <f t="shared" si="7"/>
        <v>0</v>
      </c>
      <c r="AX15" s="205">
        <f t="shared" si="8"/>
        <v>0</v>
      </c>
      <c r="AY15" s="205">
        <f t="shared" si="8"/>
        <v>0</v>
      </c>
      <c r="AZ15" s="205">
        <f t="shared" si="8"/>
        <v>0</v>
      </c>
      <c r="BA15" s="205">
        <f t="shared" si="8"/>
        <v>0</v>
      </c>
      <c r="BB15" s="205">
        <f t="shared" si="8"/>
        <v>0</v>
      </c>
      <c r="BC15" s="205">
        <f t="shared" si="8"/>
        <v>0</v>
      </c>
      <c r="BD15" s="205">
        <f t="shared" si="8"/>
        <v>0</v>
      </c>
      <c r="BE15" s="205">
        <f t="shared" si="8"/>
        <v>0</v>
      </c>
      <c r="BF15" s="205">
        <f t="shared" si="8"/>
        <v>0</v>
      </c>
      <c r="BG15" s="205">
        <f t="shared" si="8"/>
        <v>0</v>
      </c>
      <c r="BH15" s="205">
        <f t="shared" si="8"/>
        <v>0</v>
      </c>
      <c r="BI15" s="205">
        <f t="shared" si="8"/>
        <v>0</v>
      </c>
      <c r="BJ15" s="205">
        <f t="shared" si="8"/>
        <v>0</v>
      </c>
      <c r="BK15" s="205">
        <f t="shared" si="8"/>
        <v>0</v>
      </c>
      <c r="BL15" s="205">
        <f t="shared" si="8"/>
        <v>0</v>
      </c>
      <c r="BM15" s="205">
        <f t="shared" si="8"/>
        <v>0</v>
      </c>
      <c r="BN15" s="205">
        <f t="shared" si="8"/>
        <v>0</v>
      </c>
      <c r="BO15" s="205">
        <f t="shared" si="8"/>
        <v>0</v>
      </c>
      <c r="BP15" s="205">
        <f t="shared" si="8"/>
        <v>0</v>
      </c>
      <c r="BQ15" s="205">
        <f t="shared" si="8"/>
        <v>0</v>
      </c>
      <c r="BR15" s="205">
        <f t="shared" si="8"/>
        <v>0</v>
      </c>
      <c r="BS15" s="205">
        <f t="shared" si="8"/>
        <v>0</v>
      </c>
      <c r="BT15" s="205">
        <f t="shared" si="8"/>
        <v>0</v>
      </c>
      <c r="BU15" s="205">
        <f t="shared" si="8"/>
        <v>0</v>
      </c>
      <c r="BV15" s="205">
        <f t="shared" si="8"/>
        <v>0</v>
      </c>
      <c r="BW15" s="205">
        <f t="shared" si="8"/>
        <v>0</v>
      </c>
      <c r="BX15" s="205">
        <f t="shared" si="8"/>
        <v>0</v>
      </c>
      <c r="BY15" s="205">
        <f t="shared" si="8"/>
        <v>0</v>
      </c>
      <c r="BZ15" s="205">
        <f t="shared" si="8"/>
        <v>0</v>
      </c>
      <c r="CA15" s="205">
        <f t="shared" si="2"/>
        <v>0</v>
      </c>
      <c r="CB15" s="205">
        <f t="shared" si="2"/>
        <v>0</v>
      </c>
      <c r="CC15" s="205">
        <f t="shared" si="2"/>
        <v>13714.285714285714</v>
      </c>
      <c r="CD15" s="205">
        <f t="shared" ref="CC15:CR18" si="9">IF(CD$2&lt;=($B$2+$C$2+$D$2),IF(CD$2&lt;=($B$2+$C$2),IF(CD$2&lt;=$B$2,$B15,$C15),$D15),$E15)</f>
        <v>13714.285714285714</v>
      </c>
      <c r="CE15" s="205">
        <f t="shared" si="9"/>
        <v>13714.285714285714</v>
      </c>
      <c r="CF15" s="205">
        <f t="shared" si="9"/>
        <v>13714.285714285714</v>
      </c>
      <c r="CG15" s="205">
        <f t="shared" si="9"/>
        <v>13714.285714285714</v>
      </c>
      <c r="CH15" s="205">
        <f t="shared" si="9"/>
        <v>13714.285714285714</v>
      </c>
      <c r="CI15" s="205">
        <f t="shared" si="9"/>
        <v>13714.285714285714</v>
      </c>
      <c r="CJ15" s="205">
        <f t="shared" si="9"/>
        <v>13714.285714285714</v>
      </c>
      <c r="CK15" s="205">
        <f t="shared" si="9"/>
        <v>13714.285714285714</v>
      </c>
      <c r="CL15" s="205">
        <f t="shared" si="9"/>
        <v>13714.285714285714</v>
      </c>
      <c r="CM15" s="205">
        <f t="shared" si="9"/>
        <v>13714.285714285714</v>
      </c>
      <c r="CN15" s="205">
        <f t="shared" si="9"/>
        <v>13714.285714285714</v>
      </c>
      <c r="CO15" s="205">
        <f t="shared" si="9"/>
        <v>13714.285714285714</v>
      </c>
      <c r="CP15" s="205">
        <f t="shared" si="9"/>
        <v>13714.285714285714</v>
      </c>
      <c r="CQ15" s="205">
        <f t="shared" si="9"/>
        <v>13714.285714285714</v>
      </c>
      <c r="CR15" s="205">
        <f t="shared" si="9"/>
        <v>26040</v>
      </c>
      <c r="CS15" s="205">
        <f t="shared" si="3"/>
        <v>26040</v>
      </c>
      <c r="CT15" s="205">
        <f t="shared" si="3"/>
        <v>26040</v>
      </c>
      <c r="CU15" s="205">
        <f t="shared" si="3"/>
        <v>26040</v>
      </c>
      <c r="CV15" s="205">
        <f t="shared" si="3"/>
        <v>26040</v>
      </c>
      <c r="CW15" s="205">
        <f t="shared" si="3"/>
        <v>26040</v>
      </c>
      <c r="CX15" s="205">
        <f t="shared" si="3"/>
        <v>26040</v>
      </c>
      <c r="CY15" s="205">
        <f t="shared" si="3"/>
        <v>26040</v>
      </c>
      <c r="CZ15" s="205">
        <f t="shared" si="3"/>
        <v>26040</v>
      </c>
      <c r="DA15" s="205">
        <f t="shared" si="3"/>
        <v>26040</v>
      </c>
      <c r="DB15" s="205"/>
    </row>
    <row r="16" spans="1:106">
      <c r="A16" s="202" t="s">
        <v>115</v>
      </c>
      <c r="B16" s="204">
        <f>Income!B88</f>
        <v>33626.686424582367</v>
      </c>
      <c r="C16" s="204">
        <f>Income!C88</f>
        <v>56673.493158928199</v>
      </c>
      <c r="D16" s="204">
        <f>Income!D88</f>
        <v>102134.43263926136</v>
      </c>
      <c r="E16" s="204">
        <f>Income!E88</f>
        <v>217462.86556961184</v>
      </c>
      <c r="F16" s="205">
        <f t="shared" si="4"/>
        <v>33626.686424582367</v>
      </c>
      <c r="G16" s="205">
        <f t="shared" si="4"/>
        <v>33626.686424582367</v>
      </c>
      <c r="H16" s="205">
        <f t="shared" si="4"/>
        <v>33626.686424582367</v>
      </c>
      <c r="I16" s="205">
        <f t="shared" si="4"/>
        <v>33626.686424582367</v>
      </c>
      <c r="J16" s="205">
        <f t="shared" si="4"/>
        <v>33626.686424582367</v>
      </c>
      <c r="K16" s="205">
        <f t="shared" si="4"/>
        <v>33626.686424582367</v>
      </c>
      <c r="L16" s="205">
        <f t="shared" si="4"/>
        <v>33626.686424582367</v>
      </c>
      <c r="M16" s="205">
        <f t="shared" si="4"/>
        <v>33626.686424582367</v>
      </c>
      <c r="N16" s="205">
        <f t="shared" si="4"/>
        <v>33626.686424582367</v>
      </c>
      <c r="O16" s="205">
        <f t="shared" si="4"/>
        <v>33626.686424582367</v>
      </c>
      <c r="P16" s="205">
        <f t="shared" si="4"/>
        <v>33626.686424582367</v>
      </c>
      <c r="Q16" s="205">
        <f t="shared" si="4"/>
        <v>33626.686424582367</v>
      </c>
      <c r="R16" s="205">
        <f t="shared" si="4"/>
        <v>33626.686424582367</v>
      </c>
      <c r="S16" s="205">
        <f t="shared" si="4"/>
        <v>33626.686424582367</v>
      </c>
      <c r="T16" s="205">
        <f t="shared" si="4"/>
        <v>33626.686424582367</v>
      </c>
      <c r="U16" s="205">
        <f t="shared" si="4"/>
        <v>33626.686424582367</v>
      </c>
      <c r="V16" s="205">
        <f t="shared" si="6"/>
        <v>33626.686424582367</v>
      </c>
      <c r="W16" s="205">
        <f t="shared" si="6"/>
        <v>33626.686424582367</v>
      </c>
      <c r="X16" s="205">
        <f t="shared" si="6"/>
        <v>33626.686424582367</v>
      </c>
      <c r="Y16" s="205">
        <f t="shared" si="6"/>
        <v>33626.686424582367</v>
      </c>
      <c r="Z16" s="205">
        <f t="shared" si="6"/>
        <v>33626.686424582367</v>
      </c>
      <c r="AA16" s="205">
        <f t="shared" si="6"/>
        <v>33626.686424582367</v>
      </c>
      <c r="AB16" s="205">
        <f t="shared" si="6"/>
        <v>33626.686424582367</v>
      </c>
      <c r="AC16" s="205">
        <f t="shared" si="6"/>
        <v>33626.686424582367</v>
      </c>
      <c r="AD16" s="205">
        <f t="shared" si="6"/>
        <v>33626.686424582367</v>
      </c>
      <c r="AE16" s="205">
        <f>IF(AE$2&lt;=($B$2+$C$2+$D$2),IF(AE$2&lt;=($B$2+$C$2),IF(AE$2&lt;=$B$2,$B16,$C16),$D16),$E16)</f>
        <v>33626.686424582367</v>
      </c>
      <c r="AF16" s="205">
        <f t="shared" si="6"/>
        <v>33626.686424582367</v>
      </c>
      <c r="AG16" s="205">
        <f t="shared" si="6"/>
        <v>33626.686424582367</v>
      </c>
      <c r="AH16" s="205">
        <f t="shared" si="6"/>
        <v>33626.686424582367</v>
      </c>
      <c r="AI16" s="205">
        <f t="shared" si="6"/>
        <v>33626.686424582367</v>
      </c>
      <c r="AJ16" s="205">
        <f t="shared" si="6"/>
        <v>33626.686424582367</v>
      </c>
      <c r="AK16" s="205">
        <f t="shared" si="6"/>
        <v>33626.686424582367</v>
      </c>
      <c r="AL16" s="205">
        <f t="shared" si="7"/>
        <v>33626.686424582367</v>
      </c>
      <c r="AM16" s="205">
        <f t="shared" si="7"/>
        <v>33626.686424582367</v>
      </c>
      <c r="AN16" s="205">
        <f t="shared" si="7"/>
        <v>33626.686424582367</v>
      </c>
      <c r="AO16" s="205">
        <f t="shared" si="7"/>
        <v>33626.686424582367</v>
      </c>
      <c r="AP16" s="205">
        <f t="shared" si="7"/>
        <v>33626.686424582367</v>
      </c>
      <c r="AQ16" s="205">
        <f t="shared" si="7"/>
        <v>33626.686424582367</v>
      </c>
      <c r="AR16" s="205">
        <f t="shared" si="7"/>
        <v>33626.686424582367</v>
      </c>
      <c r="AS16" s="205">
        <f t="shared" si="7"/>
        <v>33626.686424582367</v>
      </c>
      <c r="AT16" s="205">
        <f t="shared" si="7"/>
        <v>33626.686424582367</v>
      </c>
      <c r="AU16" s="205">
        <f t="shared" si="7"/>
        <v>33626.686424582367</v>
      </c>
      <c r="AV16" s="205">
        <f t="shared" si="7"/>
        <v>33626.686424582367</v>
      </c>
      <c r="AW16" s="205">
        <f t="shared" si="7"/>
        <v>33626.686424582367</v>
      </c>
      <c r="AX16" s="205">
        <f t="shared" si="8"/>
        <v>33626.686424582367</v>
      </c>
      <c r="AY16" s="205">
        <f t="shared" si="8"/>
        <v>33626.686424582367</v>
      </c>
      <c r="AZ16" s="205">
        <f t="shared" si="8"/>
        <v>33626.686424582367</v>
      </c>
      <c r="BA16" s="205">
        <f t="shared" si="8"/>
        <v>33626.686424582367</v>
      </c>
      <c r="BB16" s="205">
        <f t="shared" si="8"/>
        <v>33626.686424582367</v>
      </c>
      <c r="BC16" s="205">
        <f t="shared" si="8"/>
        <v>33626.686424582367</v>
      </c>
      <c r="BD16" s="205">
        <f t="shared" si="8"/>
        <v>56673.493158928199</v>
      </c>
      <c r="BE16" s="205">
        <f t="shared" si="8"/>
        <v>56673.493158928199</v>
      </c>
      <c r="BF16" s="205">
        <f t="shared" si="8"/>
        <v>56673.493158928199</v>
      </c>
      <c r="BG16" s="205">
        <f t="shared" si="8"/>
        <v>56673.493158928199</v>
      </c>
      <c r="BH16" s="205">
        <f t="shared" si="8"/>
        <v>56673.493158928199</v>
      </c>
      <c r="BI16" s="205">
        <f t="shared" si="8"/>
        <v>56673.493158928199</v>
      </c>
      <c r="BJ16" s="205">
        <f t="shared" si="8"/>
        <v>56673.493158928199</v>
      </c>
      <c r="BK16" s="205">
        <f t="shared" si="8"/>
        <v>56673.493158928199</v>
      </c>
      <c r="BL16" s="205">
        <f t="shared" si="8"/>
        <v>56673.493158928199</v>
      </c>
      <c r="BM16" s="205">
        <f t="shared" si="8"/>
        <v>56673.493158928199</v>
      </c>
      <c r="BN16" s="205">
        <f t="shared" si="8"/>
        <v>56673.493158928199</v>
      </c>
      <c r="BO16" s="205">
        <f t="shared" si="8"/>
        <v>56673.493158928199</v>
      </c>
      <c r="BP16" s="205">
        <f t="shared" si="8"/>
        <v>56673.493158928199</v>
      </c>
      <c r="BQ16" s="205">
        <f t="shared" si="8"/>
        <v>56673.493158928199</v>
      </c>
      <c r="BR16" s="205">
        <f t="shared" si="8"/>
        <v>56673.493158928199</v>
      </c>
      <c r="BS16" s="205">
        <f t="shared" si="8"/>
        <v>56673.493158928199</v>
      </c>
      <c r="BT16" s="205">
        <f t="shared" si="8"/>
        <v>56673.493158928199</v>
      </c>
      <c r="BU16" s="205">
        <f t="shared" si="8"/>
        <v>56673.493158928199</v>
      </c>
      <c r="BV16" s="205">
        <f t="shared" si="8"/>
        <v>56673.493158928199</v>
      </c>
      <c r="BW16" s="205">
        <f t="shared" si="8"/>
        <v>56673.493158928199</v>
      </c>
      <c r="BX16" s="205">
        <f t="shared" si="8"/>
        <v>56673.493158928199</v>
      </c>
      <c r="BY16" s="205">
        <f t="shared" si="8"/>
        <v>56673.493158928199</v>
      </c>
      <c r="BZ16" s="205">
        <f t="shared" si="8"/>
        <v>56673.493158928199</v>
      </c>
      <c r="CA16" s="205">
        <f t="shared" ref="CA16:CB18" si="10">IF(CA$2&lt;=($B$2+$C$2+$D$2),IF(CA$2&lt;=($B$2+$C$2),IF(CA$2&lt;=$B$2,$B16,$C16),$D16),$E16)</f>
        <v>56673.493158928199</v>
      </c>
      <c r="CB16" s="205">
        <f t="shared" si="10"/>
        <v>56673.493158928199</v>
      </c>
      <c r="CC16" s="205">
        <f t="shared" si="9"/>
        <v>102134.43263926136</v>
      </c>
      <c r="CD16" s="205">
        <f t="shared" si="9"/>
        <v>102134.43263926136</v>
      </c>
      <c r="CE16" s="205">
        <f t="shared" si="9"/>
        <v>102134.43263926136</v>
      </c>
      <c r="CF16" s="205">
        <f t="shared" si="9"/>
        <v>102134.43263926136</v>
      </c>
      <c r="CG16" s="205">
        <f t="shared" si="9"/>
        <v>102134.43263926136</v>
      </c>
      <c r="CH16" s="205">
        <f t="shared" si="9"/>
        <v>102134.43263926136</v>
      </c>
      <c r="CI16" s="205">
        <f t="shared" si="9"/>
        <v>102134.43263926136</v>
      </c>
      <c r="CJ16" s="205">
        <f t="shared" si="9"/>
        <v>102134.43263926136</v>
      </c>
      <c r="CK16" s="205">
        <f t="shared" si="9"/>
        <v>102134.43263926136</v>
      </c>
      <c r="CL16" s="205">
        <f t="shared" si="9"/>
        <v>102134.43263926136</v>
      </c>
      <c r="CM16" s="205">
        <f t="shared" si="9"/>
        <v>102134.43263926136</v>
      </c>
      <c r="CN16" s="205">
        <f t="shared" si="9"/>
        <v>102134.43263926136</v>
      </c>
      <c r="CO16" s="205">
        <f t="shared" si="9"/>
        <v>102134.43263926136</v>
      </c>
      <c r="CP16" s="205">
        <f t="shared" si="9"/>
        <v>102134.43263926136</v>
      </c>
      <c r="CQ16" s="205">
        <f t="shared" si="9"/>
        <v>102134.43263926136</v>
      </c>
      <c r="CR16" s="205">
        <f t="shared" si="9"/>
        <v>217462.86556961184</v>
      </c>
      <c r="CS16" s="205">
        <f t="shared" ref="CS16:DA18" si="11">IF(CS$2&lt;=($B$2+$C$2+$D$2),IF(CS$2&lt;=($B$2+$C$2),IF(CS$2&lt;=$B$2,$B16,$C16),$D16),$E16)</f>
        <v>217462.86556961184</v>
      </c>
      <c r="CT16" s="205">
        <f t="shared" si="11"/>
        <v>217462.86556961184</v>
      </c>
      <c r="CU16" s="205">
        <f t="shared" si="11"/>
        <v>217462.86556961184</v>
      </c>
      <c r="CV16" s="205">
        <f t="shared" si="11"/>
        <v>217462.86556961184</v>
      </c>
      <c r="CW16" s="205">
        <f t="shared" si="11"/>
        <v>217462.86556961184</v>
      </c>
      <c r="CX16" s="205">
        <f t="shared" si="11"/>
        <v>217462.86556961184</v>
      </c>
      <c r="CY16" s="205">
        <f t="shared" si="11"/>
        <v>217462.86556961184</v>
      </c>
      <c r="CZ16" s="205">
        <f t="shared" si="11"/>
        <v>217462.86556961184</v>
      </c>
      <c r="DA16" s="205">
        <f t="shared" si="11"/>
        <v>217462.86556961184</v>
      </c>
      <c r="DB16" s="205"/>
    </row>
    <row r="17" spans="1:105">
      <c r="A17" s="202" t="s">
        <v>101</v>
      </c>
      <c r="B17" s="204">
        <f>Income!B89</f>
        <v>19286.708587419434</v>
      </c>
      <c r="C17" s="204">
        <f>Income!C89</f>
        <v>19286.708587419431</v>
      </c>
      <c r="D17" s="204">
        <f>Income!D89</f>
        <v>19286.708587419424</v>
      </c>
      <c r="E17" s="204">
        <f>Income!E89</f>
        <v>19286.708587419434</v>
      </c>
      <c r="F17" s="205">
        <f t="shared" si="4"/>
        <v>19286.708587419434</v>
      </c>
      <c r="G17" s="205">
        <f t="shared" si="4"/>
        <v>19286.708587419434</v>
      </c>
      <c r="H17" s="205">
        <f t="shared" si="4"/>
        <v>19286.708587419434</v>
      </c>
      <c r="I17" s="205">
        <f t="shared" si="4"/>
        <v>19286.708587419434</v>
      </c>
      <c r="J17" s="205">
        <f t="shared" si="4"/>
        <v>19286.708587419434</v>
      </c>
      <c r="K17" s="205">
        <f t="shared" si="4"/>
        <v>19286.708587419434</v>
      </c>
      <c r="L17" s="205">
        <f t="shared" si="4"/>
        <v>19286.708587419434</v>
      </c>
      <c r="M17" s="205">
        <f t="shared" si="4"/>
        <v>19286.708587419434</v>
      </c>
      <c r="N17" s="205">
        <f t="shared" si="4"/>
        <v>19286.708587419434</v>
      </c>
      <c r="O17" s="205">
        <f t="shared" si="4"/>
        <v>19286.708587419434</v>
      </c>
      <c r="P17" s="205">
        <f t="shared" si="4"/>
        <v>19286.708587419434</v>
      </c>
      <c r="Q17" s="205">
        <f t="shared" si="4"/>
        <v>19286.708587419434</v>
      </c>
      <c r="R17" s="205">
        <f t="shared" si="4"/>
        <v>19286.708587419434</v>
      </c>
      <c r="S17" s="205">
        <f t="shared" si="4"/>
        <v>19286.708587419434</v>
      </c>
      <c r="T17" s="205">
        <f t="shared" si="4"/>
        <v>19286.708587419434</v>
      </c>
      <c r="U17" s="205">
        <f t="shared" si="4"/>
        <v>19286.708587419434</v>
      </c>
      <c r="V17" s="205">
        <f t="shared" si="6"/>
        <v>19286.708587419434</v>
      </c>
      <c r="W17" s="205">
        <f t="shared" si="6"/>
        <v>19286.708587419434</v>
      </c>
      <c r="X17" s="205">
        <f t="shared" si="6"/>
        <v>19286.708587419434</v>
      </c>
      <c r="Y17" s="205">
        <f t="shared" si="6"/>
        <v>19286.708587419434</v>
      </c>
      <c r="Z17" s="205">
        <f t="shared" si="6"/>
        <v>19286.708587419434</v>
      </c>
      <c r="AA17" s="205">
        <f t="shared" si="6"/>
        <v>19286.708587419434</v>
      </c>
      <c r="AB17" s="205">
        <f t="shared" si="6"/>
        <v>19286.708587419434</v>
      </c>
      <c r="AC17" s="205">
        <f t="shared" si="6"/>
        <v>19286.708587419434</v>
      </c>
      <c r="AD17" s="205">
        <f t="shared" si="6"/>
        <v>19286.708587419434</v>
      </c>
      <c r="AE17" s="205">
        <f t="shared" si="6"/>
        <v>19286.708587419434</v>
      </c>
      <c r="AF17" s="205">
        <f t="shared" si="6"/>
        <v>19286.708587419434</v>
      </c>
      <c r="AG17" s="205">
        <f t="shared" si="6"/>
        <v>19286.708587419434</v>
      </c>
      <c r="AH17" s="205">
        <f t="shared" si="6"/>
        <v>19286.708587419434</v>
      </c>
      <c r="AI17" s="205">
        <f t="shared" si="6"/>
        <v>19286.708587419434</v>
      </c>
      <c r="AJ17" s="205">
        <f t="shared" si="6"/>
        <v>19286.708587419434</v>
      </c>
      <c r="AK17" s="205">
        <f t="shared" si="6"/>
        <v>19286.708587419434</v>
      </c>
      <c r="AL17" s="205">
        <f t="shared" si="7"/>
        <v>19286.708587419434</v>
      </c>
      <c r="AM17" s="205">
        <f t="shared" si="7"/>
        <v>19286.708587419434</v>
      </c>
      <c r="AN17" s="205">
        <f t="shared" si="7"/>
        <v>19286.708587419434</v>
      </c>
      <c r="AO17" s="205">
        <f t="shared" si="7"/>
        <v>19286.708587419434</v>
      </c>
      <c r="AP17" s="205">
        <f t="shared" si="7"/>
        <v>19286.708587419434</v>
      </c>
      <c r="AQ17" s="205">
        <f t="shared" si="7"/>
        <v>19286.708587419434</v>
      </c>
      <c r="AR17" s="205">
        <f t="shared" si="7"/>
        <v>19286.708587419434</v>
      </c>
      <c r="AS17" s="205">
        <f t="shared" si="7"/>
        <v>19286.708587419434</v>
      </c>
      <c r="AT17" s="205">
        <f t="shared" si="7"/>
        <v>19286.708587419434</v>
      </c>
      <c r="AU17" s="205">
        <f t="shared" si="7"/>
        <v>19286.708587419434</v>
      </c>
      <c r="AV17" s="205">
        <f t="shared" si="7"/>
        <v>19286.708587419434</v>
      </c>
      <c r="AW17" s="205">
        <f t="shared" si="7"/>
        <v>19286.708587419434</v>
      </c>
      <c r="AX17" s="205">
        <f t="shared" si="8"/>
        <v>19286.708587419434</v>
      </c>
      <c r="AY17" s="205">
        <f t="shared" si="8"/>
        <v>19286.708587419434</v>
      </c>
      <c r="AZ17" s="205">
        <f t="shared" si="8"/>
        <v>19286.708587419434</v>
      </c>
      <c r="BA17" s="205">
        <f t="shared" si="8"/>
        <v>19286.708587419434</v>
      </c>
      <c r="BB17" s="205">
        <f t="shared" si="8"/>
        <v>19286.708587419434</v>
      </c>
      <c r="BC17" s="205">
        <f t="shared" si="8"/>
        <v>19286.708587419434</v>
      </c>
      <c r="BD17" s="205">
        <f t="shared" si="8"/>
        <v>19286.708587419431</v>
      </c>
      <c r="BE17" s="205">
        <f t="shared" si="8"/>
        <v>19286.708587419431</v>
      </c>
      <c r="BF17" s="205">
        <f t="shared" si="8"/>
        <v>19286.708587419431</v>
      </c>
      <c r="BG17" s="205">
        <f t="shared" si="8"/>
        <v>19286.708587419431</v>
      </c>
      <c r="BH17" s="205">
        <f t="shared" si="8"/>
        <v>19286.708587419431</v>
      </c>
      <c r="BI17" s="205">
        <f t="shared" si="8"/>
        <v>19286.708587419431</v>
      </c>
      <c r="BJ17" s="205">
        <f t="shared" si="8"/>
        <v>19286.708587419431</v>
      </c>
      <c r="BK17" s="205">
        <f t="shared" si="8"/>
        <v>19286.708587419431</v>
      </c>
      <c r="BL17" s="205">
        <f t="shared" si="8"/>
        <v>19286.708587419431</v>
      </c>
      <c r="BM17" s="205">
        <f t="shared" si="8"/>
        <v>19286.708587419431</v>
      </c>
      <c r="BN17" s="205">
        <f t="shared" si="8"/>
        <v>19286.708587419431</v>
      </c>
      <c r="BO17" s="205">
        <f t="shared" si="8"/>
        <v>19286.708587419431</v>
      </c>
      <c r="BP17" s="205">
        <f t="shared" si="8"/>
        <v>19286.708587419431</v>
      </c>
      <c r="BQ17" s="205">
        <f t="shared" si="8"/>
        <v>19286.708587419431</v>
      </c>
      <c r="BR17" s="205">
        <f t="shared" si="8"/>
        <v>19286.708587419431</v>
      </c>
      <c r="BS17" s="205">
        <f t="shared" si="8"/>
        <v>19286.708587419431</v>
      </c>
      <c r="BT17" s="205">
        <f t="shared" si="8"/>
        <v>19286.708587419431</v>
      </c>
      <c r="BU17" s="205">
        <f t="shared" si="8"/>
        <v>19286.708587419431</v>
      </c>
      <c r="BV17" s="205">
        <f t="shared" si="8"/>
        <v>19286.708587419431</v>
      </c>
      <c r="BW17" s="205">
        <f t="shared" si="8"/>
        <v>19286.708587419431</v>
      </c>
      <c r="BX17" s="205">
        <f t="shared" si="8"/>
        <v>19286.708587419431</v>
      </c>
      <c r="BY17" s="205">
        <f t="shared" si="8"/>
        <v>19286.708587419431</v>
      </c>
      <c r="BZ17" s="205">
        <f t="shared" si="8"/>
        <v>19286.708587419431</v>
      </c>
      <c r="CA17" s="205">
        <f t="shared" si="10"/>
        <v>19286.708587419431</v>
      </c>
      <c r="CB17" s="205">
        <f t="shared" si="10"/>
        <v>19286.708587419431</v>
      </c>
      <c r="CC17" s="205">
        <f t="shared" si="9"/>
        <v>19286.708587419424</v>
      </c>
      <c r="CD17" s="205">
        <f t="shared" si="9"/>
        <v>19286.708587419424</v>
      </c>
      <c r="CE17" s="205">
        <f t="shared" si="9"/>
        <v>19286.708587419424</v>
      </c>
      <c r="CF17" s="205">
        <f t="shared" si="9"/>
        <v>19286.708587419424</v>
      </c>
      <c r="CG17" s="205">
        <f t="shared" si="9"/>
        <v>19286.708587419424</v>
      </c>
      <c r="CH17" s="205">
        <f t="shared" si="9"/>
        <v>19286.708587419424</v>
      </c>
      <c r="CI17" s="205">
        <f t="shared" si="9"/>
        <v>19286.708587419424</v>
      </c>
      <c r="CJ17" s="205">
        <f t="shared" si="9"/>
        <v>19286.708587419424</v>
      </c>
      <c r="CK17" s="205">
        <f t="shared" si="9"/>
        <v>19286.708587419424</v>
      </c>
      <c r="CL17" s="205">
        <f t="shared" si="9"/>
        <v>19286.708587419424</v>
      </c>
      <c r="CM17" s="205">
        <f t="shared" si="9"/>
        <v>19286.708587419424</v>
      </c>
      <c r="CN17" s="205">
        <f t="shared" si="9"/>
        <v>19286.708587419424</v>
      </c>
      <c r="CO17" s="205">
        <f t="shared" si="9"/>
        <v>19286.708587419424</v>
      </c>
      <c r="CP17" s="205">
        <f t="shared" si="9"/>
        <v>19286.708587419424</v>
      </c>
      <c r="CQ17" s="205">
        <f t="shared" si="9"/>
        <v>19286.708587419424</v>
      </c>
      <c r="CR17" s="205">
        <f t="shared" si="9"/>
        <v>19286.708587419434</v>
      </c>
      <c r="CS17" s="205">
        <f t="shared" si="11"/>
        <v>19286.708587419434</v>
      </c>
      <c r="CT17" s="205">
        <f t="shared" si="11"/>
        <v>19286.708587419434</v>
      </c>
      <c r="CU17" s="205">
        <f t="shared" si="11"/>
        <v>19286.708587419434</v>
      </c>
      <c r="CV17" s="205">
        <f t="shared" si="11"/>
        <v>19286.708587419434</v>
      </c>
      <c r="CW17" s="205">
        <f t="shared" si="11"/>
        <v>19286.708587419434</v>
      </c>
      <c r="CX17" s="205">
        <f t="shared" si="11"/>
        <v>19286.708587419434</v>
      </c>
      <c r="CY17" s="205">
        <f t="shared" si="11"/>
        <v>19286.708587419434</v>
      </c>
      <c r="CZ17" s="205">
        <f t="shared" si="11"/>
        <v>19286.708587419434</v>
      </c>
      <c r="DA17" s="205">
        <f t="shared" si="11"/>
        <v>19286.708587419434</v>
      </c>
    </row>
    <row r="18" spans="1:105">
      <c r="A18" s="202" t="s">
        <v>85</v>
      </c>
      <c r="B18" s="204">
        <f>Income!B90</f>
        <v>34865.375254086095</v>
      </c>
      <c r="C18" s="204">
        <f>Income!C90</f>
        <v>34865.375254086095</v>
      </c>
      <c r="D18" s="204">
        <f>Income!D90</f>
        <v>34865.375254086095</v>
      </c>
      <c r="E18" s="204">
        <f>Income!E90</f>
        <v>34865.375254086102</v>
      </c>
      <c r="F18" s="205">
        <f t="shared" ref="F18:U18" si="12">IF(F$2&lt;=($B$2+$C$2+$D$2),IF(F$2&lt;=($B$2+$C$2),IF(F$2&lt;=$B$2,$B18,$C18),$D18),$E18)</f>
        <v>34865.375254086095</v>
      </c>
      <c r="G18" s="205">
        <f t="shared" si="12"/>
        <v>34865.375254086095</v>
      </c>
      <c r="H18" s="205">
        <f t="shared" si="12"/>
        <v>34865.375254086095</v>
      </c>
      <c r="I18" s="205">
        <f t="shared" si="12"/>
        <v>34865.375254086095</v>
      </c>
      <c r="J18" s="205">
        <f t="shared" si="12"/>
        <v>34865.375254086095</v>
      </c>
      <c r="K18" s="205">
        <f t="shared" si="12"/>
        <v>34865.375254086095</v>
      </c>
      <c r="L18" s="205">
        <f t="shared" si="12"/>
        <v>34865.375254086095</v>
      </c>
      <c r="M18" s="205">
        <f t="shared" si="12"/>
        <v>34865.375254086095</v>
      </c>
      <c r="N18" s="205">
        <f t="shared" si="12"/>
        <v>34865.375254086095</v>
      </c>
      <c r="O18" s="205">
        <f t="shared" si="12"/>
        <v>34865.375254086095</v>
      </c>
      <c r="P18" s="205">
        <f t="shared" si="12"/>
        <v>34865.375254086095</v>
      </c>
      <c r="Q18" s="205">
        <f t="shared" si="12"/>
        <v>34865.375254086095</v>
      </c>
      <c r="R18" s="205">
        <f t="shared" si="12"/>
        <v>34865.375254086095</v>
      </c>
      <c r="S18" s="205">
        <f t="shared" si="12"/>
        <v>34865.375254086095</v>
      </c>
      <c r="T18" s="205">
        <f t="shared" si="12"/>
        <v>34865.375254086095</v>
      </c>
      <c r="U18" s="205">
        <f t="shared" si="12"/>
        <v>34865.375254086095</v>
      </c>
      <c r="V18" s="205">
        <f t="shared" si="6"/>
        <v>34865.375254086095</v>
      </c>
      <c r="W18" s="205">
        <f t="shared" si="6"/>
        <v>34865.375254086095</v>
      </c>
      <c r="X18" s="205">
        <f t="shared" si="6"/>
        <v>34865.375254086095</v>
      </c>
      <c r="Y18" s="205">
        <f t="shared" si="6"/>
        <v>34865.375254086095</v>
      </c>
      <c r="Z18" s="205">
        <f t="shared" si="6"/>
        <v>34865.375254086095</v>
      </c>
      <c r="AA18" s="205">
        <f t="shared" si="6"/>
        <v>34865.375254086095</v>
      </c>
      <c r="AB18" s="205">
        <f t="shared" si="6"/>
        <v>34865.375254086095</v>
      </c>
      <c r="AC18" s="205">
        <f t="shared" si="6"/>
        <v>34865.375254086095</v>
      </c>
      <c r="AD18" s="205">
        <f t="shared" si="6"/>
        <v>34865.375254086095</v>
      </c>
      <c r="AE18" s="205">
        <f t="shared" si="6"/>
        <v>34865.375254086095</v>
      </c>
      <c r="AF18" s="205">
        <f t="shared" si="6"/>
        <v>34865.375254086095</v>
      </c>
      <c r="AG18" s="205">
        <f t="shared" si="6"/>
        <v>34865.375254086095</v>
      </c>
      <c r="AH18" s="205">
        <f t="shared" si="6"/>
        <v>34865.375254086095</v>
      </c>
      <c r="AI18" s="205">
        <f t="shared" si="6"/>
        <v>34865.375254086095</v>
      </c>
      <c r="AJ18" s="205">
        <f t="shared" si="6"/>
        <v>34865.375254086095</v>
      </c>
      <c r="AK18" s="205">
        <f t="shared" si="6"/>
        <v>34865.375254086095</v>
      </c>
      <c r="AL18" s="205">
        <f t="shared" si="7"/>
        <v>34865.375254086095</v>
      </c>
      <c r="AM18" s="205">
        <f t="shared" si="7"/>
        <v>34865.375254086095</v>
      </c>
      <c r="AN18" s="205">
        <f t="shared" si="7"/>
        <v>34865.375254086095</v>
      </c>
      <c r="AO18" s="205">
        <f t="shared" si="7"/>
        <v>34865.375254086095</v>
      </c>
      <c r="AP18" s="205">
        <f t="shared" si="7"/>
        <v>34865.375254086095</v>
      </c>
      <c r="AQ18" s="205">
        <f t="shared" si="7"/>
        <v>34865.375254086095</v>
      </c>
      <c r="AR18" s="205">
        <f t="shared" si="7"/>
        <v>34865.375254086095</v>
      </c>
      <c r="AS18" s="205">
        <f t="shared" si="7"/>
        <v>34865.375254086095</v>
      </c>
      <c r="AT18" s="205">
        <f t="shared" si="7"/>
        <v>34865.375254086095</v>
      </c>
      <c r="AU18" s="205">
        <f t="shared" si="7"/>
        <v>34865.375254086095</v>
      </c>
      <c r="AV18" s="205">
        <f t="shared" si="7"/>
        <v>34865.375254086095</v>
      </c>
      <c r="AW18" s="205">
        <f t="shared" si="7"/>
        <v>34865.375254086095</v>
      </c>
      <c r="AX18" s="205">
        <f t="shared" si="8"/>
        <v>34865.375254086095</v>
      </c>
      <c r="AY18" s="205">
        <f t="shared" si="8"/>
        <v>34865.375254086095</v>
      </c>
      <c r="AZ18" s="205">
        <f t="shared" si="8"/>
        <v>34865.375254086095</v>
      </c>
      <c r="BA18" s="205">
        <f t="shared" si="8"/>
        <v>34865.375254086095</v>
      </c>
      <c r="BB18" s="205">
        <f t="shared" si="8"/>
        <v>34865.375254086095</v>
      </c>
      <c r="BC18" s="205">
        <f t="shared" si="8"/>
        <v>34865.375254086095</v>
      </c>
      <c r="BD18" s="205">
        <f t="shared" si="8"/>
        <v>34865.375254086095</v>
      </c>
      <c r="BE18" s="205">
        <f t="shared" si="8"/>
        <v>34865.375254086095</v>
      </c>
      <c r="BF18" s="205">
        <f t="shared" si="8"/>
        <v>34865.375254086095</v>
      </c>
      <c r="BG18" s="205">
        <f t="shared" si="8"/>
        <v>34865.375254086095</v>
      </c>
      <c r="BH18" s="205">
        <f t="shared" si="8"/>
        <v>34865.375254086095</v>
      </c>
      <c r="BI18" s="205">
        <f t="shared" si="8"/>
        <v>34865.375254086095</v>
      </c>
      <c r="BJ18" s="205">
        <f t="shared" si="8"/>
        <v>34865.375254086095</v>
      </c>
      <c r="BK18" s="205">
        <f t="shared" si="8"/>
        <v>34865.375254086095</v>
      </c>
      <c r="BL18" s="205">
        <f t="shared" ref="BL18:BZ18" si="13">IF(BL$2&lt;=($B$2+$C$2+$D$2),IF(BL$2&lt;=($B$2+$C$2),IF(BL$2&lt;=$B$2,$B18,$C18),$D18),$E18)</f>
        <v>34865.375254086095</v>
      </c>
      <c r="BM18" s="205">
        <f t="shared" si="13"/>
        <v>34865.375254086095</v>
      </c>
      <c r="BN18" s="205">
        <f t="shared" si="13"/>
        <v>34865.375254086095</v>
      </c>
      <c r="BO18" s="205">
        <f t="shared" si="13"/>
        <v>34865.375254086095</v>
      </c>
      <c r="BP18" s="205">
        <f t="shared" si="13"/>
        <v>34865.375254086095</v>
      </c>
      <c r="BQ18" s="205">
        <f t="shared" si="13"/>
        <v>34865.375254086095</v>
      </c>
      <c r="BR18" s="205">
        <f t="shared" si="13"/>
        <v>34865.375254086095</v>
      </c>
      <c r="BS18" s="205">
        <f t="shared" si="13"/>
        <v>34865.375254086095</v>
      </c>
      <c r="BT18" s="205">
        <f t="shared" si="13"/>
        <v>34865.375254086095</v>
      </c>
      <c r="BU18" s="205">
        <f t="shared" si="13"/>
        <v>34865.375254086095</v>
      </c>
      <c r="BV18" s="205">
        <f t="shared" si="13"/>
        <v>34865.375254086095</v>
      </c>
      <c r="BW18" s="205">
        <f t="shared" si="13"/>
        <v>34865.375254086095</v>
      </c>
      <c r="BX18" s="205">
        <f t="shared" si="13"/>
        <v>34865.375254086095</v>
      </c>
      <c r="BY18" s="205">
        <f t="shared" si="13"/>
        <v>34865.375254086095</v>
      </c>
      <c r="BZ18" s="205">
        <f t="shared" si="13"/>
        <v>34865.375254086095</v>
      </c>
      <c r="CA18" s="205">
        <f t="shared" si="10"/>
        <v>34865.375254086095</v>
      </c>
      <c r="CB18" s="205">
        <f t="shared" si="10"/>
        <v>34865.375254086095</v>
      </c>
      <c r="CC18" s="205">
        <f t="shared" si="9"/>
        <v>34865.375254086095</v>
      </c>
      <c r="CD18" s="205">
        <f t="shared" si="9"/>
        <v>34865.375254086095</v>
      </c>
      <c r="CE18" s="205">
        <f t="shared" si="9"/>
        <v>34865.375254086095</v>
      </c>
      <c r="CF18" s="205">
        <f t="shared" si="9"/>
        <v>34865.375254086095</v>
      </c>
      <c r="CG18" s="205">
        <f t="shared" si="9"/>
        <v>34865.375254086095</v>
      </c>
      <c r="CH18" s="205">
        <f t="shared" si="9"/>
        <v>34865.375254086095</v>
      </c>
      <c r="CI18" s="205">
        <f t="shared" si="9"/>
        <v>34865.375254086095</v>
      </c>
      <c r="CJ18" s="205">
        <f t="shared" si="9"/>
        <v>34865.375254086095</v>
      </c>
      <c r="CK18" s="205">
        <f t="shared" si="9"/>
        <v>34865.375254086095</v>
      </c>
      <c r="CL18" s="205">
        <f t="shared" si="9"/>
        <v>34865.375254086095</v>
      </c>
      <c r="CM18" s="205">
        <f t="shared" si="9"/>
        <v>34865.375254086095</v>
      </c>
      <c r="CN18" s="205">
        <f t="shared" si="9"/>
        <v>34865.375254086095</v>
      </c>
      <c r="CO18" s="205">
        <f t="shared" si="9"/>
        <v>34865.375254086095</v>
      </c>
      <c r="CP18" s="205">
        <f t="shared" si="9"/>
        <v>34865.375254086095</v>
      </c>
      <c r="CQ18" s="205">
        <f t="shared" si="9"/>
        <v>34865.375254086095</v>
      </c>
      <c r="CR18" s="205">
        <f t="shared" si="9"/>
        <v>34865.375254086102</v>
      </c>
      <c r="CS18" s="205">
        <f t="shared" si="11"/>
        <v>34865.375254086102</v>
      </c>
      <c r="CT18" s="205">
        <f t="shared" si="11"/>
        <v>34865.375254086102</v>
      </c>
      <c r="CU18" s="205">
        <f t="shared" si="11"/>
        <v>34865.375254086102</v>
      </c>
      <c r="CV18" s="205">
        <f t="shared" si="11"/>
        <v>34865.375254086102</v>
      </c>
      <c r="CW18" s="205">
        <f t="shared" si="11"/>
        <v>34865.375254086102</v>
      </c>
      <c r="CX18" s="205">
        <f t="shared" si="11"/>
        <v>34865.375254086102</v>
      </c>
      <c r="CY18" s="205">
        <f t="shared" si="11"/>
        <v>34865.375254086102</v>
      </c>
      <c r="CZ18" s="205">
        <f t="shared" si="11"/>
        <v>34865.375254086102</v>
      </c>
      <c r="DA18" s="205">
        <f t="shared" si="11"/>
        <v>34865.375254086102</v>
      </c>
    </row>
    <row r="19" spans="1:105">
      <c r="A19" s="202" t="s">
        <v>116</v>
      </c>
      <c r="F19" s="202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2" t="str">
        <f t="shared" ref="G19:BR19" si="14">IF(G$22&lt;$E$24,IF(G$22&lt;$D$24,IF(G$22&lt;$C$24,IF(G$22&lt;$B$24,"",$B$16+(G$22-$B$24)*(($C$16-$B$16)/($C$24-$B$24))),$C$16+(G$22-$C$24)*(($D$16-$C$16)/($D$24-$C$24))),$D$16+(G$22-$D$24)*(($E$16-$D$16)/($E$24-$D$24))),"")</f>
        <v/>
      </c>
      <c r="H19" s="202" t="str">
        <f t="shared" si="14"/>
        <v/>
      </c>
      <c r="I19" s="202" t="str">
        <f t="shared" si="14"/>
        <v/>
      </c>
      <c r="J19" s="202" t="str">
        <f t="shared" si="14"/>
        <v/>
      </c>
      <c r="K19" s="202" t="str">
        <f t="shared" si="14"/>
        <v/>
      </c>
      <c r="L19" s="202" t="str">
        <f t="shared" si="14"/>
        <v/>
      </c>
      <c r="M19" s="202" t="str">
        <f t="shared" si="14"/>
        <v/>
      </c>
      <c r="N19" s="202" t="str">
        <f t="shared" si="14"/>
        <v/>
      </c>
      <c r="O19" s="202" t="str">
        <f t="shared" si="14"/>
        <v/>
      </c>
      <c r="P19" s="202" t="str">
        <f t="shared" si="14"/>
        <v/>
      </c>
      <c r="Q19" s="202" t="str">
        <f t="shared" si="14"/>
        <v/>
      </c>
      <c r="R19" s="202" t="str">
        <f>IF(R$22&lt;$E$24,IF(R$22&lt;$D$24,IF(R$22&lt;$C$24,IF(R$22&lt;$B$24,"",$B$16+(R$22-$B$24)*(($C$16-$B$16)/($C$24-$B$24))),$C$16+(R$22-$C$24)*(($D$16-$C$16)/($D$24-$C$24))),$D$16+(R$22-$D$24)*(($E$16-$D$16)/($E$24-$D$24))),"")</f>
        <v/>
      </c>
      <c r="S19" s="202" t="str">
        <f>IF(S$22&lt;$E$24,IF(S$22&lt;$D$24,IF(S$22&lt;$C$24,IF(S$22&lt;$B$24,"",$B$16+(S$22-$B$24)*(($C$16-$B$16)/($C$24-$B$24))),$C$16+(S$22-$C$24)*(($D$16-$C$16)/($D$24-$C$24))),$D$16+(S$22-$D$24)*(($E$16-$D$16)/($E$24-$D$24))),"")</f>
        <v/>
      </c>
      <c r="T19" s="202" t="str">
        <f t="shared" si="14"/>
        <v/>
      </c>
      <c r="U19" s="202" t="str">
        <f t="shared" si="14"/>
        <v/>
      </c>
      <c r="V19" s="202" t="str">
        <f t="shared" si="14"/>
        <v/>
      </c>
      <c r="W19" s="202" t="str">
        <f t="shared" si="14"/>
        <v/>
      </c>
      <c r="X19" s="202" t="str">
        <f t="shared" si="14"/>
        <v/>
      </c>
      <c r="Y19" s="202" t="str">
        <f t="shared" si="14"/>
        <v/>
      </c>
      <c r="Z19" s="202" t="str">
        <f t="shared" si="14"/>
        <v/>
      </c>
      <c r="AA19" s="202" t="str">
        <f t="shared" si="14"/>
        <v/>
      </c>
      <c r="AB19" s="202" t="str">
        <f t="shared" si="14"/>
        <v/>
      </c>
      <c r="AC19" s="202" t="str">
        <f t="shared" si="14"/>
        <v/>
      </c>
      <c r="AD19" s="202" t="str">
        <f t="shared" si="14"/>
        <v/>
      </c>
      <c r="AE19" s="202">
        <f t="shared" si="14"/>
        <v>33626.686424582367</v>
      </c>
      <c r="AF19" s="202">
        <f t="shared" si="14"/>
        <v>34241.267937498254</v>
      </c>
      <c r="AG19" s="202">
        <f t="shared" si="14"/>
        <v>34855.849450414142</v>
      </c>
      <c r="AH19" s="202">
        <f t="shared" si="14"/>
        <v>35470.430963330036</v>
      </c>
      <c r="AI19" s="202">
        <f t="shared" si="14"/>
        <v>36085.012476245924</v>
      </c>
      <c r="AJ19" s="202">
        <f t="shared" si="14"/>
        <v>36699.593989161811</v>
      </c>
      <c r="AK19" s="202">
        <f t="shared" si="14"/>
        <v>37314.175502077698</v>
      </c>
      <c r="AL19" s="202">
        <f t="shared" si="14"/>
        <v>37928.757014993593</v>
      </c>
      <c r="AM19" s="202">
        <f t="shared" si="14"/>
        <v>38543.33852790948</v>
      </c>
      <c r="AN19" s="202">
        <f t="shared" si="14"/>
        <v>39157.920040825367</v>
      </c>
      <c r="AO19" s="202">
        <f t="shared" si="14"/>
        <v>39772.501553741255</v>
      </c>
      <c r="AP19" s="202">
        <f t="shared" si="14"/>
        <v>40387.083066657142</v>
      </c>
      <c r="AQ19" s="202">
        <f t="shared" si="14"/>
        <v>41001.664579573036</v>
      </c>
      <c r="AR19" s="202">
        <f t="shared" si="14"/>
        <v>41616.246092488924</v>
      </c>
      <c r="AS19" s="202">
        <f t="shared" si="14"/>
        <v>42230.827605404811</v>
      </c>
      <c r="AT19" s="202">
        <f t="shared" si="14"/>
        <v>42845.409118320698</v>
      </c>
      <c r="AU19" s="202">
        <f t="shared" si="14"/>
        <v>43459.990631236593</v>
      </c>
      <c r="AV19" s="202">
        <f t="shared" si="14"/>
        <v>44074.57214415248</v>
      </c>
      <c r="AW19" s="202">
        <f t="shared" si="14"/>
        <v>44689.153657068367</v>
      </c>
      <c r="AX19" s="202">
        <f t="shared" si="14"/>
        <v>45303.735169984255</v>
      </c>
      <c r="AY19" s="202">
        <f t="shared" si="14"/>
        <v>45918.316682900142</v>
      </c>
      <c r="AZ19" s="202">
        <f t="shared" si="14"/>
        <v>46532.898195816029</v>
      </c>
      <c r="BA19" s="202">
        <f t="shared" si="14"/>
        <v>47147.479708731924</v>
      </c>
      <c r="BB19" s="202">
        <f t="shared" si="14"/>
        <v>47762.061221647811</v>
      </c>
      <c r="BC19" s="202">
        <f t="shared" si="14"/>
        <v>48376.642734563698</v>
      </c>
      <c r="BD19" s="202">
        <f t="shared" si="14"/>
        <v>48991.224247479593</v>
      </c>
      <c r="BE19" s="202">
        <f t="shared" si="14"/>
        <v>49605.80576039548</v>
      </c>
      <c r="BF19" s="202">
        <f t="shared" si="14"/>
        <v>50220.387273311368</v>
      </c>
      <c r="BG19" s="202">
        <f t="shared" si="14"/>
        <v>50834.968786227255</v>
      </c>
      <c r="BH19" s="202">
        <f t="shared" si="14"/>
        <v>51449.550299143142</v>
      </c>
      <c r="BI19" s="202">
        <f t="shared" si="14"/>
        <v>52064.131812059029</v>
      </c>
      <c r="BJ19" s="202">
        <f t="shared" si="14"/>
        <v>52678.713324974924</v>
      </c>
      <c r="BK19" s="202">
        <f t="shared" si="14"/>
        <v>53293.294837890811</v>
      </c>
      <c r="BL19" s="202">
        <f t="shared" si="14"/>
        <v>53907.876350806699</v>
      </c>
      <c r="BM19" s="202">
        <f t="shared" si="14"/>
        <v>54522.457863722593</v>
      </c>
      <c r="BN19" s="202">
        <f t="shared" si="14"/>
        <v>55137.03937663848</v>
      </c>
      <c r="BO19" s="202">
        <f t="shared" si="14"/>
        <v>55751.620889554368</v>
      </c>
      <c r="BP19" s="202">
        <f t="shared" si="14"/>
        <v>56366.202402470255</v>
      </c>
      <c r="BQ19" s="202">
        <f t="shared" si="14"/>
        <v>57810.016645936528</v>
      </c>
      <c r="BR19" s="202">
        <f t="shared" si="14"/>
        <v>60083.063619953187</v>
      </c>
      <c r="BS19" s="202">
        <f t="shared" ref="BS19:DA19" si="15">IF(BS$22&lt;$E$24,IF(BS$22&lt;$D$24,IF(BS$22&lt;$C$24,IF(BS$22&lt;$B$24,"",$B$16+(BS$22-$B$24)*(($C$16-$B$16)/($C$24-$B$24))),$C$16+(BS$22-$C$24)*(($D$16-$C$16)/($D$24-$C$24))),$D$16+(BS$22-$D$24)*(($E$16-$D$16)/($E$24-$D$24))),"")</f>
        <v>62356.110593969846</v>
      </c>
      <c r="BT19" s="202">
        <f t="shared" si="15"/>
        <v>64629.157567986505</v>
      </c>
      <c r="BU19" s="202">
        <f t="shared" si="15"/>
        <v>66902.204542003165</v>
      </c>
      <c r="BV19" s="202">
        <f t="shared" si="15"/>
        <v>69175.251516019824</v>
      </c>
      <c r="BW19" s="202">
        <f t="shared" si="15"/>
        <v>71448.298490036483</v>
      </c>
      <c r="BX19" s="202">
        <f t="shared" si="15"/>
        <v>73721.345464053127</v>
      </c>
      <c r="BY19" s="202">
        <f t="shared" si="15"/>
        <v>75994.392438069801</v>
      </c>
      <c r="BZ19" s="202">
        <f t="shared" si="15"/>
        <v>78267.439412086445</v>
      </c>
      <c r="CA19" s="202">
        <f t="shared" si="15"/>
        <v>80540.486386103104</v>
      </c>
      <c r="CB19" s="202">
        <f t="shared" si="15"/>
        <v>82813.533360119764</v>
      </c>
      <c r="CC19" s="202">
        <f t="shared" si="15"/>
        <v>85086.580334136423</v>
      </c>
      <c r="CD19" s="202">
        <f t="shared" si="15"/>
        <v>87359.627308153082</v>
      </c>
      <c r="CE19" s="202">
        <f t="shared" si="15"/>
        <v>89632.674282169741</v>
      </c>
      <c r="CF19" s="202">
        <f t="shared" si="15"/>
        <v>91905.7212561864</v>
      </c>
      <c r="CG19" s="202">
        <f t="shared" si="15"/>
        <v>94178.768230203059</v>
      </c>
      <c r="CH19" s="202">
        <f t="shared" si="15"/>
        <v>96451.815204219718</v>
      </c>
      <c r="CI19" s="202">
        <f t="shared" si="15"/>
        <v>98724.862178236377</v>
      </c>
      <c r="CJ19" s="202">
        <f t="shared" si="15"/>
        <v>100997.90915225304</v>
      </c>
      <c r="CK19" s="202">
        <f t="shared" si="15"/>
        <v>106747.56995647537</v>
      </c>
      <c r="CL19" s="202">
        <f t="shared" si="15"/>
        <v>115973.84459090342</v>
      </c>
      <c r="CM19" s="202">
        <f t="shared" si="15"/>
        <v>125200.11922533145</v>
      </c>
      <c r="CN19" s="202">
        <f t="shared" si="15"/>
        <v>134426.3938597595</v>
      </c>
      <c r="CO19" s="202">
        <f t="shared" si="15"/>
        <v>143652.66849418753</v>
      </c>
      <c r="CP19" s="202">
        <f t="shared" si="15"/>
        <v>152878.94312861556</v>
      </c>
      <c r="CQ19" s="202">
        <f t="shared" si="15"/>
        <v>162105.21776304359</v>
      </c>
      <c r="CR19" s="202">
        <f t="shared" si="15"/>
        <v>171331.49239747165</v>
      </c>
      <c r="CS19" s="202">
        <f t="shared" si="15"/>
        <v>180557.76703189968</v>
      </c>
      <c r="CT19" s="202">
        <f t="shared" si="15"/>
        <v>189784.04166632774</v>
      </c>
      <c r="CU19" s="202">
        <f t="shared" si="15"/>
        <v>199010.31630075577</v>
      </c>
      <c r="CV19" s="202">
        <f t="shared" si="15"/>
        <v>208236.59093518381</v>
      </c>
      <c r="CW19" s="202" t="str">
        <f t="shared" si="15"/>
        <v/>
      </c>
      <c r="CX19" s="202" t="str">
        <f t="shared" si="15"/>
        <v/>
      </c>
      <c r="CY19" s="202" t="str">
        <f t="shared" si="15"/>
        <v/>
      </c>
      <c r="CZ19" s="202" t="str">
        <f t="shared" si="15"/>
        <v/>
      </c>
      <c r="DA19" s="202" t="str">
        <f t="shared" si="15"/>
        <v/>
      </c>
    </row>
    <row r="21" spans="1:105">
      <c r="B21" s="202" t="s">
        <v>97</v>
      </c>
      <c r="C21" s="202" t="s">
        <v>96</v>
      </c>
      <c r="D21" s="202" t="s">
        <v>98</v>
      </c>
      <c r="E21" s="202" t="s">
        <v>99</v>
      </c>
    </row>
    <row r="22" spans="1:105">
      <c r="B22" s="206">
        <f>B2*100</f>
        <v>50</v>
      </c>
      <c r="C22" s="206">
        <f>C2*100</f>
        <v>25</v>
      </c>
      <c r="D22" s="206">
        <f>D2*100</f>
        <v>15</v>
      </c>
      <c r="E22" s="206">
        <f>E2*100</f>
        <v>10</v>
      </c>
      <c r="F22" s="206">
        <v>0</v>
      </c>
      <c r="G22" s="206">
        <v>1</v>
      </c>
      <c r="H22" s="206">
        <v>2</v>
      </c>
      <c r="I22" s="206">
        <v>3</v>
      </c>
      <c r="J22" s="206">
        <v>4</v>
      </c>
      <c r="K22" s="206">
        <v>5</v>
      </c>
      <c r="L22" s="206">
        <v>6</v>
      </c>
      <c r="M22" s="206">
        <v>7</v>
      </c>
      <c r="N22" s="206">
        <v>8</v>
      </c>
      <c r="O22" s="206">
        <v>9</v>
      </c>
      <c r="P22" s="206">
        <v>10</v>
      </c>
      <c r="Q22" s="206">
        <v>11</v>
      </c>
      <c r="R22" s="206">
        <v>12</v>
      </c>
      <c r="S22" s="206">
        <v>13</v>
      </c>
      <c r="T22" s="206">
        <v>14</v>
      </c>
      <c r="U22" s="206">
        <v>15</v>
      </c>
      <c r="V22" s="206">
        <v>16</v>
      </c>
      <c r="W22" s="206">
        <v>17</v>
      </c>
      <c r="X22" s="206">
        <v>18</v>
      </c>
      <c r="Y22" s="206">
        <v>19</v>
      </c>
      <c r="Z22" s="206">
        <v>20</v>
      </c>
      <c r="AA22" s="206">
        <v>21</v>
      </c>
      <c r="AB22" s="206">
        <v>22</v>
      </c>
      <c r="AC22" s="206">
        <v>23</v>
      </c>
      <c r="AD22" s="206">
        <v>24</v>
      </c>
      <c r="AE22" s="206">
        <v>25</v>
      </c>
      <c r="AF22" s="206">
        <v>26</v>
      </c>
      <c r="AG22" s="206">
        <v>27</v>
      </c>
      <c r="AH22" s="206">
        <v>28</v>
      </c>
      <c r="AI22" s="206">
        <v>29</v>
      </c>
      <c r="AJ22" s="206">
        <v>30</v>
      </c>
      <c r="AK22" s="206">
        <v>31</v>
      </c>
      <c r="AL22" s="206">
        <v>32</v>
      </c>
      <c r="AM22" s="206">
        <v>33</v>
      </c>
      <c r="AN22" s="206">
        <v>34</v>
      </c>
      <c r="AO22" s="206">
        <v>35</v>
      </c>
      <c r="AP22" s="206">
        <v>36</v>
      </c>
      <c r="AQ22" s="206">
        <v>37</v>
      </c>
      <c r="AR22" s="206">
        <v>38</v>
      </c>
      <c r="AS22" s="206">
        <v>39</v>
      </c>
      <c r="AT22" s="206">
        <v>40</v>
      </c>
      <c r="AU22" s="206">
        <v>41</v>
      </c>
      <c r="AV22" s="206">
        <v>42</v>
      </c>
      <c r="AW22" s="206">
        <v>43</v>
      </c>
      <c r="AX22" s="206">
        <v>44</v>
      </c>
      <c r="AY22" s="206">
        <v>45</v>
      </c>
      <c r="AZ22" s="206">
        <v>46</v>
      </c>
      <c r="BA22" s="206">
        <v>47</v>
      </c>
      <c r="BB22" s="206">
        <v>48</v>
      </c>
      <c r="BC22" s="206">
        <v>49</v>
      </c>
      <c r="BD22" s="206">
        <v>50</v>
      </c>
      <c r="BE22" s="206">
        <v>51</v>
      </c>
      <c r="BF22" s="206">
        <v>52</v>
      </c>
      <c r="BG22" s="206">
        <v>53</v>
      </c>
      <c r="BH22" s="206">
        <v>54</v>
      </c>
      <c r="BI22" s="206">
        <v>55</v>
      </c>
      <c r="BJ22" s="206">
        <v>56</v>
      </c>
      <c r="BK22" s="206">
        <v>57</v>
      </c>
      <c r="BL22" s="206">
        <v>58</v>
      </c>
      <c r="BM22" s="206">
        <v>59</v>
      </c>
      <c r="BN22" s="206">
        <v>60</v>
      </c>
      <c r="BO22" s="206">
        <v>61</v>
      </c>
      <c r="BP22" s="206">
        <v>62</v>
      </c>
      <c r="BQ22" s="206">
        <v>63</v>
      </c>
      <c r="BR22" s="206">
        <v>64</v>
      </c>
      <c r="BS22" s="206">
        <v>65</v>
      </c>
      <c r="BT22" s="206">
        <v>66</v>
      </c>
      <c r="BU22" s="206">
        <v>67</v>
      </c>
      <c r="BV22" s="206">
        <v>68</v>
      </c>
      <c r="BW22" s="206">
        <v>69</v>
      </c>
      <c r="BX22" s="206">
        <v>70</v>
      </c>
      <c r="BY22" s="206">
        <v>71</v>
      </c>
      <c r="BZ22" s="206">
        <v>72</v>
      </c>
      <c r="CA22" s="206">
        <v>73</v>
      </c>
      <c r="CB22" s="206">
        <v>74</v>
      </c>
      <c r="CC22" s="206">
        <v>75</v>
      </c>
      <c r="CD22" s="206">
        <v>76</v>
      </c>
      <c r="CE22" s="206">
        <v>77</v>
      </c>
      <c r="CF22" s="206">
        <v>78</v>
      </c>
      <c r="CG22" s="206">
        <v>79</v>
      </c>
      <c r="CH22" s="206">
        <v>80</v>
      </c>
      <c r="CI22" s="206">
        <v>81</v>
      </c>
      <c r="CJ22" s="206">
        <v>82</v>
      </c>
      <c r="CK22" s="206">
        <v>83</v>
      </c>
      <c r="CL22" s="206">
        <v>84</v>
      </c>
      <c r="CM22" s="206">
        <v>85</v>
      </c>
      <c r="CN22" s="206">
        <v>86</v>
      </c>
      <c r="CO22" s="206">
        <v>87</v>
      </c>
      <c r="CP22" s="206">
        <v>88</v>
      </c>
      <c r="CQ22" s="206">
        <v>89</v>
      </c>
      <c r="CR22" s="206">
        <v>90</v>
      </c>
      <c r="CS22" s="206">
        <v>91</v>
      </c>
      <c r="CT22" s="206">
        <v>92</v>
      </c>
      <c r="CU22" s="206">
        <v>93</v>
      </c>
      <c r="CV22" s="206">
        <v>94</v>
      </c>
      <c r="CW22" s="206">
        <v>95</v>
      </c>
      <c r="CX22" s="206">
        <v>96</v>
      </c>
      <c r="CY22" s="206">
        <v>97</v>
      </c>
      <c r="CZ22" s="206">
        <v>98</v>
      </c>
      <c r="DA22" s="206">
        <v>99</v>
      </c>
    </row>
    <row r="23" spans="1:105">
      <c r="B23" s="207">
        <f>SUM($B22:B22)</f>
        <v>50</v>
      </c>
      <c r="C23" s="207">
        <f>SUM($B22:C22)</f>
        <v>75</v>
      </c>
      <c r="D23" s="207">
        <f>SUM($B22:D22)</f>
        <v>90</v>
      </c>
      <c r="E23" s="207">
        <f>SUM($B22:E22)</f>
        <v>100</v>
      </c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  <c r="AN23" s="208"/>
      <c r="AO23" s="208"/>
      <c r="AP23" s="208"/>
      <c r="AQ23" s="208"/>
      <c r="AR23" s="208"/>
      <c r="AS23" s="208"/>
      <c r="AT23" s="208"/>
      <c r="AU23" s="208"/>
      <c r="AV23" s="208"/>
      <c r="AW23" s="208"/>
      <c r="AX23" s="208"/>
      <c r="AY23" s="208"/>
      <c r="AZ23" s="208"/>
      <c r="BA23" s="208"/>
      <c r="BB23" s="208"/>
      <c r="BC23" s="208"/>
      <c r="BD23" s="208"/>
      <c r="BE23" s="208"/>
      <c r="BF23" s="208"/>
      <c r="BG23" s="208"/>
      <c r="BH23" s="208"/>
      <c r="BI23" s="208"/>
      <c r="BJ23" s="208"/>
      <c r="BK23" s="208"/>
      <c r="BL23" s="208"/>
      <c r="BM23" s="208"/>
      <c r="BN23" s="208"/>
      <c r="BO23" s="208"/>
      <c r="BP23" s="208"/>
      <c r="BQ23" s="208"/>
      <c r="BR23" s="208"/>
      <c r="BS23" s="208"/>
      <c r="BT23" s="208"/>
      <c r="BU23" s="208"/>
      <c r="BV23" s="208"/>
      <c r="BW23" s="208"/>
      <c r="BX23" s="208"/>
      <c r="BY23" s="208"/>
      <c r="BZ23" s="208"/>
      <c r="CA23" s="208"/>
      <c r="CB23" s="208"/>
      <c r="CC23" s="208"/>
      <c r="CD23" s="208"/>
      <c r="CE23" s="208"/>
      <c r="CF23" s="208"/>
      <c r="CG23" s="208"/>
      <c r="CH23" s="208"/>
      <c r="CI23" s="208"/>
      <c r="CJ23" s="208"/>
      <c r="CK23" s="208"/>
      <c r="CL23" s="208"/>
      <c r="CM23" s="208"/>
      <c r="CN23" s="208"/>
      <c r="CO23" s="208"/>
      <c r="CP23" s="208"/>
      <c r="CQ23" s="208"/>
      <c r="CR23" s="208"/>
      <c r="CS23" s="208"/>
      <c r="CT23" s="208"/>
      <c r="CU23" s="208"/>
      <c r="CV23" s="208"/>
      <c r="CW23" s="208"/>
      <c r="CX23" s="208"/>
      <c r="CY23" s="208"/>
      <c r="CZ23" s="208"/>
      <c r="DA23" s="208"/>
    </row>
    <row r="24" spans="1:105">
      <c r="B24" s="209">
        <f>A23+(B23-A23)/2</f>
        <v>25</v>
      </c>
      <c r="C24" s="209">
        <f>B23+(C23-B23)/2</f>
        <v>62.5</v>
      </c>
      <c r="D24" s="209">
        <f>C23+(D23-C23)/2</f>
        <v>82.5</v>
      </c>
      <c r="E24" s="209">
        <f>D23+(E23-D23)/2</f>
        <v>95</v>
      </c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  <c r="AP24" s="210"/>
      <c r="AQ24" s="210"/>
      <c r="AR24" s="210"/>
      <c r="AS24" s="210"/>
      <c r="AT24" s="210"/>
      <c r="AU24" s="210"/>
      <c r="AV24" s="210"/>
      <c r="AW24" s="210"/>
      <c r="AX24" s="210"/>
      <c r="AY24" s="210"/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0"/>
      <c r="BN24" s="210"/>
      <c r="BO24" s="210"/>
      <c r="BP24" s="210"/>
      <c r="BQ24" s="210"/>
      <c r="BR24" s="210"/>
      <c r="BS24" s="210"/>
      <c r="BT24" s="210"/>
      <c r="BU24" s="210"/>
      <c r="BV24" s="210"/>
      <c r="BW24" s="210"/>
      <c r="BX24" s="210"/>
      <c r="BY24" s="210"/>
      <c r="BZ24" s="210"/>
      <c r="CA24" s="210"/>
      <c r="CB24" s="210"/>
      <c r="CC24" s="210"/>
      <c r="CD24" s="210"/>
      <c r="CE24" s="210"/>
      <c r="CF24" s="210"/>
      <c r="CG24" s="210"/>
      <c r="CH24" s="210"/>
      <c r="CI24" s="210"/>
      <c r="CJ24" s="210"/>
      <c r="CK24" s="210"/>
      <c r="CL24" s="210"/>
      <c r="CM24" s="210"/>
      <c r="CN24" s="210"/>
      <c r="CO24" s="210"/>
      <c r="CP24" s="210"/>
      <c r="CQ24" s="210"/>
      <c r="CR24" s="210"/>
      <c r="CS24" s="210"/>
      <c r="CT24" s="210"/>
      <c r="CU24" s="210"/>
      <c r="CV24" s="210"/>
      <c r="CW24" s="210"/>
      <c r="CX24" s="210"/>
      <c r="CY24" s="210"/>
      <c r="CZ24" s="210"/>
      <c r="DA24" s="210"/>
    </row>
    <row r="25" spans="1:105">
      <c r="A25" s="202" t="str">
        <f>Income!A72</f>
        <v>Own crops Consumed</v>
      </c>
      <c r="B25" s="204">
        <f>Income!B72</f>
        <v>708.82399368587198</v>
      </c>
      <c r="C25" s="204">
        <f>Income!C72</f>
        <v>1947.5138121546961</v>
      </c>
      <c r="D25" s="204">
        <f>Income!D72</f>
        <v>1795.2644041041829</v>
      </c>
      <c r="E25" s="204">
        <f>Income!E72</f>
        <v>1257.3480662983425</v>
      </c>
      <c r="F25" s="211">
        <f>IF(F$22&lt;=$E$24,IF(F$22&lt;=$D$24,IF(F$22&lt;=$C$24,IF(F$22&lt;=$B$24,$B25,$B25+(F$22-$B$24)*($C25-$B25)/($C$24-$B$24)),$C25+(F$22-$C$24)*($D25-$C25)/($D$24-$C$24)),$D25+(F$22-$D$24)*($E25-$D25)/($E$24-$D$24)),$E25)</f>
        <v>708.82399368587198</v>
      </c>
      <c r="G25" s="211">
        <f t="shared" ref="F25:U37" si="16">IF(G$22&lt;=$E$24,IF(G$22&lt;=$D$24,IF(G$22&lt;=$C$24,IF(G$22&lt;=$B$24,$B25,$B25+(G$22-$B$24)*($C25-$B25)/($C$24-$B$24)),$C25+(G$22-$C$24)*($D25-$C25)/($D$24-$C$24)),$D25+(G$22-$D$24)*($E25-$D25)/($E$24-$D$24)),$E25)</f>
        <v>708.82399368587198</v>
      </c>
      <c r="H25" s="211">
        <f t="shared" si="16"/>
        <v>708.82399368587198</v>
      </c>
      <c r="I25" s="211">
        <f t="shared" si="16"/>
        <v>708.82399368587198</v>
      </c>
      <c r="J25" s="211">
        <f t="shared" si="16"/>
        <v>708.82399368587198</v>
      </c>
      <c r="K25" s="211">
        <f t="shared" si="16"/>
        <v>708.82399368587198</v>
      </c>
      <c r="L25" s="211">
        <f t="shared" si="16"/>
        <v>708.82399368587198</v>
      </c>
      <c r="M25" s="211">
        <f t="shared" si="16"/>
        <v>708.82399368587198</v>
      </c>
      <c r="N25" s="211">
        <f t="shared" si="16"/>
        <v>708.82399368587198</v>
      </c>
      <c r="O25" s="211">
        <f t="shared" si="16"/>
        <v>708.82399368587198</v>
      </c>
      <c r="P25" s="211">
        <f t="shared" ref="P25:AE37" si="17">IF(P$22&lt;=$E$24,IF(P$22&lt;=$D$24,IF(P$22&lt;=$C$24,IF(P$22&lt;=$B$24,$B25,$B25+(P$22-$B$24)*($C25-$B25)/($C$24-$B$24)),$C25+(P$22-$C$24)*($D25-$C25)/($D$24-$C$24)),$D25+(P$22-$D$24)*($E25-$D25)/($E$24-$D$24)),$E25)</f>
        <v>708.82399368587198</v>
      </c>
      <c r="Q25" s="211">
        <f t="shared" si="17"/>
        <v>708.82399368587198</v>
      </c>
      <c r="R25" s="211">
        <f t="shared" si="17"/>
        <v>708.82399368587198</v>
      </c>
      <c r="S25" s="211">
        <f>IF(S$22&lt;=$E$24,IF(S$22&lt;=$D$24,IF(S$22&lt;=$C$24,IF(S$22&lt;=$B$24,$B25,$B25+(S$22-$B$24)*($C25-$B25)/($C$24-$B$24)),$C25+(S$22-$C$24)*($D25-$C25)/($D$24-$C$24)),$D25+(S$22-$D$24)*($E25-$D25)/($E$24-$D$24)),$E25)</f>
        <v>708.82399368587198</v>
      </c>
      <c r="T25" s="211">
        <f t="shared" si="17"/>
        <v>708.82399368587198</v>
      </c>
      <c r="U25" s="211">
        <f t="shared" si="17"/>
        <v>708.82399368587198</v>
      </c>
      <c r="V25" s="211">
        <f t="shared" si="17"/>
        <v>708.82399368587198</v>
      </c>
      <c r="W25" s="211">
        <f t="shared" si="17"/>
        <v>708.82399368587198</v>
      </c>
      <c r="X25" s="211">
        <f t="shared" si="17"/>
        <v>708.82399368587198</v>
      </c>
      <c r="Y25" s="211">
        <f t="shared" si="17"/>
        <v>708.82399368587198</v>
      </c>
      <c r="Z25" s="211">
        <f t="shared" ref="Z25:AO37" si="18">IF(Z$22&lt;=$E$24,IF(Z$22&lt;=$D$24,IF(Z$22&lt;=$C$24,IF(Z$22&lt;=$B$24,$B25,$B25+(Z$22-$B$24)*($C25-$B25)/($C$24-$B$24)),$C25+(Z$22-$C$24)*($D25-$C25)/($D$24-$C$24)),$D25+(Z$22-$D$24)*($E25-$D25)/($E$24-$D$24)),$E25)</f>
        <v>708.82399368587198</v>
      </c>
      <c r="AA25" s="211">
        <f t="shared" si="18"/>
        <v>708.82399368587198</v>
      </c>
      <c r="AB25" s="211">
        <f t="shared" si="18"/>
        <v>708.82399368587198</v>
      </c>
      <c r="AC25" s="211">
        <f t="shared" si="18"/>
        <v>708.82399368587198</v>
      </c>
      <c r="AD25" s="211">
        <f t="shared" si="18"/>
        <v>708.82399368587198</v>
      </c>
      <c r="AE25" s="211">
        <f t="shared" si="18"/>
        <v>708.82399368587198</v>
      </c>
      <c r="AF25" s="211">
        <f t="shared" si="18"/>
        <v>741.85572217837398</v>
      </c>
      <c r="AG25" s="211">
        <f t="shared" si="18"/>
        <v>774.88745067087598</v>
      </c>
      <c r="AH25" s="211">
        <f t="shared" si="18"/>
        <v>807.91917916337786</v>
      </c>
      <c r="AI25" s="211">
        <f t="shared" si="18"/>
        <v>840.95090765587986</v>
      </c>
      <c r="AJ25" s="211">
        <f t="shared" ref="AJ25:AY37" si="19">IF(AJ$22&lt;=$E$24,IF(AJ$22&lt;=$D$24,IF(AJ$22&lt;=$C$24,IF(AJ$22&lt;=$B$24,$B25,$B25+(AJ$22-$B$24)*($C25-$B25)/($C$24-$B$24)),$C25+(AJ$22-$C$24)*($D25-$C25)/($D$24-$C$24)),$D25+(AJ$22-$D$24)*($E25-$D25)/($E$24-$D$24)),$E25)</f>
        <v>873.98263614838186</v>
      </c>
      <c r="AK25" s="211">
        <f t="shared" si="19"/>
        <v>907.01436464088385</v>
      </c>
      <c r="AL25" s="211">
        <f t="shared" si="19"/>
        <v>940.04609313338585</v>
      </c>
      <c r="AM25" s="211">
        <f t="shared" si="19"/>
        <v>973.07782162588774</v>
      </c>
      <c r="AN25" s="211">
        <f t="shared" si="19"/>
        <v>1006.1095501183897</v>
      </c>
      <c r="AO25" s="211">
        <f t="shared" si="19"/>
        <v>1039.1412786108917</v>
      </c>
      <c r="AP25" s="211">
        <f t="shared" si="19"/>
        <v>1072.1730071033937</v>
      </c>
      <c r="AQ25" s="211">
        <f t="shared" si="19"/>
        <v>1105.2047355958957</v>
      </c>
      <c r="AR25" s="211">
        <f t="shared" si="19"/>
        <v>1138.2364640883977</v>
      </c>
      <c r="AS25" s="211">
        <f t="shared" si="19"/>
        <v>1171.2681925808997</v>
      </c>
      <c r="AT25" s="211">
        <f t="shared" ref="AT25:BI37" si="20">IF(AT$22&lt;=$E$24,IF(AT$22&lt;=$D$24,IF(AT$22&lt;=$C$24,IF(AT$22&lt;=$B$24,$B25,$B25+(AT$22-$B$24)*($C25-$B25)/($C$24-$B$24)),$C25+(AT$22-$C$24)*($D25-$C25)/($D$24-$C$24)),$D25+(AT$22-$D$24)*($E25-$D25)/($E$24-$D$24)),$E25)</f>
        <v>1204.2999210734015</v>
      </c>
      <c r="AU25" s="211">
        <f t="shared" si="20"/>
        <v>1237.3316495659037</v>
      </c>
      <c r="AV25" s="211">
        <f t="shared" si="20"/>
        <v>1270.3633780584055</v>
      </c>
      <c r="AW25" s="211">
        <f t="shared" si="20"/>
        <v>1303.3951065509075</v>
      </c>
      <c r="AX25" s="211">
        <f t="shared" si="20"/>
        <v>1336.4268350434095</v>
      </c>
      <c r="AY25" s="211">
        <f t="shared" si="20"/>
        <v>1369.4585635359115</v>
      </c>
      <c r="AZ25" s="211">
        <f t="shared" si="20"/>
        <v>1402.4902920284135</v>
      </c>
      <c r="BA25" s="211">
        <f t="shared" si="20"/>
        <v>1435.5220205209155</v>
      </c>
      <c r="BB25" s="211">
        <f t="shared" si="20"/>
        <v>1468.5537490134175</v>
      </c>
      <c r="BC25" s="211">
        <f t="shared" si="20"/>
        <v>1501.5854775059192</v>
      </c>
      <c r="BD25" s="211">
        <f t="shared" ref="BD25:BS37" si="21">IF(BD$22&lt;=$E$24,IF(BD$22&lt;=$D$24,IF(BD$22&lt;=$C$24,IF(BD$22&lt;=$B$24,$B25,$B25+(BD$22-$B$24)*($C25-$B25)/($C$24-$B$24)),$C25+(BD$22-$C$24)*($D25-$C25)/($D$24-$C$24)),$D25+(BD$22-$D$24)*($E25-$D25)/($E$24-$D$24)),$E25)</f>
        <v>1534.6172059984215</v>
      </c>
      <c r="BE25" s="211">
        <f t="shared" si="21"/>
        <v>1567.6489344909232</v>
      </c>
      <c r="BF25" s="211">
        <f t="shared" si="21"/>
        <v>1600.6806629834255</v>
      </c>
      <c r="BG25" s="211">
        <f t="shared" si="21"/>
        <v>1633.7123914759272</v>
      </c>
      <c r="BH25" s="211">
        <f t="shared" si="21"/>
        <v>1666.7441199684292</v>
      </c>
      <c r="BI25" s="211">
        <f t="shared" si="21"/>
        <v>1699.7758484609312</v>
      </c>
      <c r="BJ25" s="211">
        <f t="shared" si="21"/>
        <v>1732.8075769534332</v>
      </c>
      <c r="BK25" s="211">
        <f t="shared" si="21"/>
        <v>1765.8393054459352</v>
      </c>
      <c r="BL25" s="211">
        <f t="shared" si="21"/>
        <v>1798.8710339384372</v>
      </c>
      <c r="BM25" s="211">
        <f t="shared" si="21"/>
        <v>1831.9027624309392</v>
      </c>
      <c r="BN25" s="211">
        <f t="shared" ref="BN25:CC37" si="22">IF(BN$22&lt;=$E$24,IF(BN$22&lt;=$D$24,IF(BN$22&lt;=$C$24,IF(BN$22&lt;=$B$24,$B25,$B25+(BN$22-$B$24)*($C25-$B25)/($C$24-$B$24)),$C25+(BN$22-$C$24)*($D25-$C25)/($D$24-$C$24)),$D25+(BN$22-$D$24)*($E25-$D25)/($E$24-$D$24)),$E25)</f>
        <v>1864.9344909234412</v>
      </c>
      <c r="BO25" s="211">
        <f t="shared" si="22"/>
        <v>1897.966219415943</v>
      </c>
      <c r="BP25" s="211">
        <f t="shared" si="22"/>
        <v>1930.997947908445</v>
      </c>
      <c r="BQ25" s="211">
        <f t="shared" si="22"/>
        <v>1943.7075769534333</v>
      </c>
      <c r="BR25" s="211">
        <f t="shared" si="22"/>
        <v>1936.0951065509075</v>
      </c>
      <c r="BS25" s="211">
        <f t="shared" si="22"/>
        <v>1928.482636148382</v>
      </c>
      <c r="BT25" s="211">
        <f t="shared" si="22"/>
        <v>1920.8701657458562</v>
      </c>
      <c r="BU25" s="211">
        <f t="shared" si="22"/>
        <v>1913.2576953433306</v>
      </c>
      <c r="BV25" s="211">
        <f t="shared" si="22"/>
        <v>1905.6452249408051</v>
      </c>
      <c r="BW25" s="211">
        <f t="shared" si="22"/>
        <v>1898.0327545382793</v>
      </c>
      <c r="BX25" s="211">
        <f t="shared" ref="BX25:CM37" si="23">IF(BX$22&lt;=$E$24,IF(BX$22&lt;=$D$24,IF(BX$22&lt;=$C$24,IF(BX$22&lt;=$B$24,$B25,$B25+(BX$22-$B$24)*($C25-$B25)/($C$24-$B$24)),$C25+(BX$22-$C$24)*($D25-$C25)/($D$24-$C$24)),$D25+(BX$22-$D$24)*($E25-$D25)/($E$24-$D$24)),$E25)</f>
        <v>1890.4202841357537</v>
      </c>
      <c r="BY25" s="211">
        <f t="shared" si="23"/>
        <v>1882.8078137332279</v>
      </c>
      <c r="BZ25" s="211">
        <f t="shared" si="23"/>
        <v>1875.1953433307024</v>
      </c>
      <c r="CA25" s="211">
        <f t="shared" si="23"/>
        <v>1867.5828729281766</v>
      </c>
      <c r="CB25" s="211">
        <f t="shared" si="23"/>
        <v>1859.970402525651</v>
      </c>
      <c r="CC25" s="211">
        <f t="shared" si="23"/>
        <v>1852.3579321231252</v>
      </c>
      <c r="CD25" s="211">
        <f t="shared" si="23"/>
        <v>1844.7454617205997</v>
      </c>
      <c r="CE25" s="211">
        <f t="shared" si="23"/>
        <v>1837.1329913180739</v>
      </c>
      <c r="CF25" s="211">
        <f t="shared" si="23"/>
        <v>1829.5205209155483</v>
      </c>
      <c r="CG25" s="211">
        <f t="shared" si="23"/>
        <v>1821.9080505130228</v>
      </c>
      <c r="CH25" s="211">
        <f t="shared" ref="CH25:CW37" si="24">IF(CH$22&lt;=$E$24,IF(CH$22&lt;=$D$24,IF(CH$22&lt;=$C$24,IF(CH$22&lt;=$B$24,$B25,$B25+(CH$22-$B$24)*($C25-$B25)/($C$24-$B$24)),$C25+(CH$22-$C$24)*($D25-$C25)/($D$24-$C$24)),$D25+(CH$22-$D$24)*($E25-$D25)/($E$24-$D$24)),$E25)</f>
        <v>1814.295580110497</v>
      </c>
      <c r="CI25" s="211">
        <f t="shared" si="24"/>
        <v>1806.6831097079714</v>
      </c>
      <c r="CJ25" s="211">
        <f t="shared" si="24"/>
        <v>1799.0706393054456</v>
      </c>
      <c r="CK25" s="211">
        <f t="shared" si="24"/>
        <v>1773.7477505919492</v>
      </c>
      <c r="CL25" s="211">
        <f t="shared" si="24"/>
        <v>1730.714443567482</v>
      </c>
      <c r="CM25" s="211">
        <f t="shared" si="24"/>
        <v>1687.6811365430149</v>
      </c>
      <c r="CN25" s="211">
        <f t="shared" si="24"/>
        <v>1644.6478295185475</v>
      </c>
      <c r="CO25" s="211">
        <f t="shared" si="24"/>
        <v>1601.6145224940803</v>
      </c>
      <c r="CP25" s="211">
        <f t="shared" si="24"/>
        <v>1558.5812154696132</v>
      </c>
      <c r="CQ25" s="211">
        <f t="shared" si="24"/>
        <v>1515.5479084451458</v>
      </c>
      <c r="CR25" s="211">
        <f t="shared" ref="CR25:DA37" si="25">IF(CR$22&lt;=$E$24,IF(CR$22&lt;=$D$24,IF(CR$22&lt;=$C$24,IF(CR$22&lt;=$B$24,$B25,$B25+(CR$22-$B$24)*($C25-$B25)/($C$24-$B$24)),$C25+(CR$22-$C$24)*($D25-$C25)/($D$24-$C$24)),$D25+(CR$22-$D$24)*($E25-$D25)/($E$24-$D$24)),$E25)</f>
        <v>1472.5146014206787</v>
      </c>
      <c r="CS25" s="211">
        <f t="shared" si="25"/>
        <v>1429.4812943962115</v>
      </c>
      <c r="CT25" s="211">
        <f t="shared" si="25"/>
        <v>1386.4479873717441</v>
      </c>
      <c r="CU25" s="211">
        <f t="shared" si="25"/>
        <v>1343.4146803472768</v>
      </c>
      <c r="CV25" s="211">
        <f t="shared" si="25"/>
        <v>1300.3813733228096</v>
      </c>
      <c r="CW25" s="211">
        <f t="shared" si="25"/>
        <v>1257.3480662983425</v>
      </c>
      <c r="CX25" s="211">
        <f t="shared" si="25"/>
        <v>1257.3480662983425</v>
      </c>
      <c r="CY25" s="211">
        <f t="shared" si="25"/>
        <v>1257.3480662983425</v>
      </c>
      <c r="CZ25" s="211">
        <f t="shared" si="25"/>
        <v>1257.3480662983425</v>
      </c>
      <c r="DA25" s="211">
        <f t="shared" si="25"/>
        <v>1257.3480662983425</v>
      </c>
    </row>
    <row r="26" spans="1:105">
      <c r="A26" s="202" t="str">
        <f>Income!A73</f>
        <v>Own crops sold</v>
      </c>
      <c r="B26" s="204">
        <f>Income!B73</f>
        <v>0</v>
      </c>
      <c r="C26" s="204">
        <f>Income!C73</f>
        <v>1660.0000000000002</v>
      </c>
      <c r="D26" s="204">
        <f>Income!D73</f>
        <v>25314.28571428571</v>
      </c>
      <c r="E26" s="204">
        <f>Income!E73</f>
        <v>10032</v>
      </c>
      <c r="F26" s="211">
        <f t="shared" si="16"/>
        <v>0</v>
      </c>
      <c r="G26" s="211">
        <f t="shared" si="16"/>
        <v>0</v>
      </c>
      <c r="H26" s="211">
        <f t="shared" si="16"/>
        <v>0</v>
      </c>
      <c r="I26" s="211">
        <f t="shared" si="16"/>
        <v>0</v>
      </c>
      <c r="J26" s="211">
        <f t="shared" si="16"/>
        <v>0</v>
      </c>
      <c r="K26" s="211">
        <f t="shared" si="16"/>
        <v>0</v>
      </c>
      <c r="L26" s="211">
        <f t="shared" si="16"/>
        <v>0</v>
      </c>
      <c r="M26" s="211">
        <f t="shared" si="16"/>
        <v>0</v>
      </c>
      <c r="N26" s="211">
        <f t="shared" si="16"/>
        <v>0</v>
      </c>
      <c r="O26" s="211">
        <f t="shared" si="16"/>
        <v>0</v>
      </c>
      <c r="P26" s="211">
        <f t="shared" si="17"/>
        <v>0</v>
      </c>
      <c r="Q26" s="211">
        <f t="shared" si="17"/>
        <v>0</v>
      </c>
      <c r="R26" s="211">
        <f t="shared" si="17"/>
        <v>0</v>
      </c>
      <c r="S26" s="211">
        <f t="shared" si="17"/>
        <v>0</v>
      </c>
      <c r="T26" s="211">
        <f t="shared" si="17"/>
        <v>0</v>
      </c>
      <c r="U26" s="211">
        <f t="shared" si="17"/>
        <v>0</v>
      </c>
      <c r="V26" s="211">
        <f t="shared" si="17"/>
        <v>0</v>
      </c>
      <c r="W26" s="211">
        <f t="shared" si="17"/>
        <v>0</v>
      </c>
      <c r="X26" s="211">
        <f t="shared" si="17"/>
        <v>0</v>
      </c>
      <c r="Y26" s="211">
        <f t="shared" si="17"/>
        <v>0</v>
      </c>
      <c r="Z26" s="211">
        <f t="shared" si="18"/>
        <v>0</v>
      </c>
      <c r="AA26" s="211">
        <f t="shared" si="18"/>
        <v>0</v>
      </c>
      <c r="AB26" s="211">
        <f t="shared" si="18"/>
        <v>0</v>
      </c>
      <c r="AC26" s="211">
        <f t="shared" si="18"/>
        <v>0</v>
      </c>
      <c r="AD26" s="211">
        <f t="shared" si="18"/>
        <v>0</v>
      </c>
      <c r="AE26" s="211">
        <f t="shared" si="18"/>
        <v>0</v>
      </c>
      <c r="AF26" s="211">
        <f t="shared" si="18"/>
        <v>44.266666666666673</v>
      </c>
      <c r="AG26" s="211">
        <f t="shared" si="18"/>
        <v>88.533333333333346</v>
      </c>
      <c r="AH26" s="211">
        <f t="shared" si="18"/>
        <v>132.80000000000001</v>
      </c>
      <c r="AI26" s="211">
        <f t="shared" si="18"/>
        <v>177.06666666666669</v>
      </c>
      <c r="AJ26" s="211">
        <f t="shared" si="19"/>
        <v>221.33333333333337</v>
      </c>
      <c r="AK26" s="211">
        <f t="shared" si="19"/>
        <v>265.60000000000002</v>
      </c>
      <c r="AL26" s="211">
        <f t="shared" si="19"/>
        <v>309.86666666666673</v>
      </c>
      <c r="AM26" s="211">
        <f t="shared" si="19"/>
        <v>354.13333333333338</v>
      </c>
      <c r="AN26" s="211">
        <f t="shared" si="19"/>
        <v>398.40000000000003</v>
      </c>
      <c r="AO26" s="211">
        <f t="shared" si="19"/>
        <v>442.66666666666674</v>
      </c>
      <c r="AP26" s="211">
        <f t="shared" si="19"/>
        <v>486.93333333333345</v>
      </c>
      <c r="AQ26" s="211">
        <f t="shared" si="19"/>
        <v>531.20000000000005</v>
      </c>
      <c r="AR26" s="211">
        <f t="shared" si="19"/>
        <v>575.46666666666681</v>
      </c>
      <c r="AS26" s="211">
        <f t="shared" si="19"/>
        <v>619.73333333333346</v>
      </c>
      <c r="AT26" s="211">
        <f t="shared" si="20"/>
        <v>664.00000000000011</v>
      </c>
      <c r="AU26" s="211">
        <f t="shared" si="20"/>
        <v>708.26666666666677</v>
      </c>
      <c r="AV26" s="211">
        <f t="shared" si="20"/>
        <v>752.53333333333342</v>
      </c>
      <c r="AW26" s="211">
        <f t="shared" si="20"/>
        <v>796.80000000000007</v>
      </c>
      <c r="AX26" s="211">
        <f t="shared" si="20"/>
        <v>841.06666666666672</v>
      </c>
      <c r="AY26" s="211">
        <f t="shared" si="20"/>
        <v>885.33333333333348</v>
      </c>
      <c r="AZ26" s="211">
        <f t="shared" si="20"/>
        <v>929.60000000000025</v>
      </c>
      <c r="BA26" s="211">
        <f t="shared" si="20"/>
        <v>973.8666666666669</v>
      </c>
      <c r="BB26" s="211">
        <f t="shared" si="20"/>
        <v>1018.1333333333336</v>
      </c>
      <c r="BC26" s="211">
        <f t="shared" si="20"/>
        <v>1062.4000000000001</v>
      </c>
      <c r="BD26" s="211">
        <f t="shared" si="21"/>
        <v>1106.666666666667</v>
      </c>
      <c r="BE26" s="211">
        <f t="shared" si="21"/>
        <v>1150.9333333333336</v>
      </c>
      <c r="BF26" s="211">
        <f t="shared" si="21"/>
        <v>1195.2000000000003</v>
      </c>
      <c r="BG26" s="211">
        <f t="shared" si="21"/>
        <v>1239.4666666666669</v>
      </c>
      <c r="BH26" s="211">
        <f t="shared" si="21"/>
        <v>1283.7333333333336</v>
      </c>
      <c r="BI26" s="211">
        <f t="shared" si="21"/>
        <v>1328.0000000000002</v>
      </c>
      <c r="BJ26" s="211">
        <f t="shared" si="21"/>
        <v>1372.2666666666669</v>
      </c>
      <c r="BK26" s="211">
        <f t="shared" si="21"/>
        <v>1416.5333333333335</v>
      </c>
      <c r="BL26" s="211">
        <f t="shared" si="21"/>
        <v>1460.8000000000002</v>
      </c>
      <c r="BM26" s="211">
        <f t="shared" si="21"/>
        <v>1505.0666666666668</v>
      </c>
      <c r="BN26" s="211">
        <f t="shared" si="22"/>
        <v>1549.3333333333335</v>
      </c>
      <c r="BO26" s="211">
        <f t="shared" si="22"/>
        <v>1593.6000000000001</v>
      </c>
      <c r="BP26" s="211">
        <f t="shared" si="22"/>
        <v>1637.8666666666668</v>
      </c>
      <c r="BQ26" s="211">
        <f t="shared" si="22"/>
        <v>2251.3571428571431</v>
      </c>
      <c r="BR26" s="211">
        <f t="shared" si="22"/>
        <v>3434.0714285714284</v>
      </c>
      <c r="BS26" s="211">
        <f t="shared" si="22"/>
        <v>4616.7857142857138</v>
      </c>
      <c r="BT26" s="211">
        <f t="shared" si="22"/>
        <v>5799.4999999999991</v>
      </c>
      <c r="BU26" s="211">
        <f t="shared" si="22"/>
        <v>6982.2142857142844</v>
      </c>
      <c r="BV26" s="211">
        <f t="shared" si="22"/>
        <v>8164.9285714285706</v>
      </c>
      <c r="BW26" s="211">
        <f t="shared" si="22"/>
        <v>9347.6428571428551</v>
      </c>
      <c r="BX26" s="211">
        <f t="shared" si="23"/>
        <v>10530.357142857141</v>
      </c>
      <c r="BY26" s="211">
        <f t="shared" si="23"/>
        <v>11713.071428571426</v>
      </c>
      <c r="BZ26" s="211">
        <f t="shared" si="23"/>
        <v>12895.785714285714</v>
      </c>
      <c r="CA26" s="211">
        <f t="shared" si="23"/>
        <v>14078.499999999996</v>
      </c>
      <c r="CB26" s="211">
        <f t="shared" si="23"/>
        <v>15261.214285714284</v>
      </c>
      <c r="CC26" s="211">
        <f t="shared" si="23"/>
        <v>16443.928571428569</v>
      </c>
      <c r="CD26" s="211">
        <f t="shared" si="23"/>
        <v>17626.642857142855</v>
      </c>
      <c r="CE26" s="211">
        <f t="shared" si="23"/>
        <v>18809.357142857138</v>
      </c>
      <c r="CF26" s="211">
        <f t="shared" si="23"/>
        <v>19992.071428571428</v>
      </c>
      <c r="CG26" s="211">
        <f t="shared" si="23"/>
        <v>21174.78571428571</v>
      </c>
      <c r="CH26" s="211">
        <f t="shared" si="24"/>
        <v>22357.499999999996</v>
      </c>
      <c r="CI26" s="211">
        <f t="shared" si="24"/>
        <v>23540.214285714283</v>
      </c>
      <c r="CJ26" s="211">
        <f t="shared" si="24"/>
        <v>24722.928571428569</v>
      </c>
      <c r="CK26" s="211">
        <f t="shared" si="24"/>
        <v>24702.994285714281</v>
      </c>
      <c r="CL26" s="211">
        <f t="shared" si="24"/>
        <v>23480.411428571424</v>
      </c>
      <c r="CM26" s="211">
        <f t="shared" si="24"/>
        <v>22257.828571428567</v>
      </c>
      <c r="CN26" s="211">
        <f t="shared" si="24"/>
        <v>21035.245714285709</v>
      </c>
      <c r="CO26" s="211">
        <f t="shared" si="24"/>
        <v>19812.662857142856</v>
      </c>
      <c r="CP26" s="211">
        <f t="shared" si="24"/>
        <v>18590.079999999998</v>
      </c>
      <c r="CQ26" s="211">
        <f t="shared" si="24"/>
        <v>17367.497142857141</v>
      </c>
      <c r="CR26" s="211">
        <f t="shared" si="25"/>
        <v>16144.914285714283</v>
      </c>
      <c r="CS26" s="211">
        <f t="shared" si="25"/>
        <v>14922.331428571428</v>
      </c>
      <c r="CT26" s="211">
        <f t="shared" si="25"/>
        <v>13699.748571428569</v>
      </c>
      <c r="CU26" s="211">
        <f t="shared" si="25"/>
        <v>12477.165714285715</v>
      </c>
      <c r="CV26" s="211">
        <f t="shared" si="25"/>
        <v>11254.582857142856</v>
      </c>
      <c r="CW26" s="211">
        <f t="shared" si="25"/>
        <v>10032.000000000002</v>
      </c>
      <c r="CX26" s="211">
        <f t="shared" si="25"/>
        <v>10032</v>
      </c>
      <c r="CY26" s="211">
        <f t="shared" si="25"/>
        <v>10032</v>
      </c>
      <c r="CZ26" s="211">
        <f t="shared" si="25"/>
        <v>10032</v>
      </c>
      <c r="DA26" s="211">
        <f t="shared" si="25"/>
        <v>10032</v>
      </c>
    </row>
    <row r="27" spans="1:105">
      <c r="A27" s="202" t="str">
        <f>Income!A74</f>
        <v>Animal products consumed</v>
      </c>
      <c r="B27" s="204">
        <f>Income!B74</f>
        <v>85.83267561168114</v>
      </c>
      <c r="C27" s="204">
        <f>Income!C74</f>
        <v>410.80673434582877</v>
      </c>
      <c r="D27" s="204">
        <f>Income!D74</f>
        <v>1192.8527655866458</v>
      </c>
      <c r="E27" s="204">
        <f>Income!E74</f>
        <v>1463.5175033134919</v>
      </c>
      <c r="F27" s="211">
        <f t="shared" si="16"/>
        <v>85.83267561168114</v>
      </c>
      <c r="G27" s="211">
        <f t="shared" si="16"/>
        <v>85.83267561168114</v>
      </c>
      <c r="H27" s="211">
        <f t="shared" si="16"/>
        <v>85.83267561168114</v>
      </c>
      <c r="I27" s="211">
        <f t="shared" si="16"/>
        <v>85.83267561168114</v>
      </c>
      <c r="J27" s="211">
        <f t="shared" si="16"/>
        <v>85.83267561168114</v>
      </c>
      <c r="K27" s="211">
        <f t="shared" si="16"/>
        <v>85.83267561168114</v>
      </c>
      <c r="L27" s="211">
        <f t="shared" si="16"/>
        <v>85.83267561168114</v>
      </c>
      <c r="M27" s="211">
        <f t="shared" si="16"/>
        <v>85.83267561168114</v>
      </c>
      <c r="N27" s="211">
        <f t="shared" si="16"/>
        <v>85.83267561168114</v>
      </c>
      <c r="O27" s="211">
        <f t="shared" si="16"/>
        <v>85.83267561168114</v>
      </c>
      <c r="P27" s="211">
        <f t="shared" si="17"/>
        <v>85.83267561168114</v>
      </c>
      <c r="Q27" s="211">
        <f t="shared" si="17"/>
        <v>85.83267561168114</v>
      </c>
      <c r="R27" s="211">
        <f t="shared" si="17"/>
        <v>85.83267561168114</v>
      </c>
      <c r="S27" s="211">
        <f t="shared" si="17"/>
        <v>85.83267561168114</v>
      </c>
      <c r="T27" s="211">
        <f t="shared" si="17"/>
        <v>85.83267561168114</v>
      </c>
      <c r="U27" s="211">
        <f t="shared" si="17"/>
        <v>85.83267561168114</v>
      </c>
      <c r="V27" s="211">
        <f t="shared" si="17"/>
        <v>85.83267561168114</v>
      </c>
      <c r="W27" s="211">
        <f t="shared" si="17"/>
        <v>85.83267561168114</v>
      </c>
      <c r="X27" s="211">
        <f t="shared" si="17"/>
        <v>85.83267561168114</v>
      </c>
      <c r="Y27" s="211">
        <f t="shared" si="17"/>
        <v>85.83267561168114</v>
      </c>
      <c r="Z27" s="211">
        <f t="shared" si="18"/>
        <v>85.83267561168114</v>
      </c>
      <c r="AA27" s="211">
        <f t="shared" si="18"/>
        <v>85.83267561168114</v>
      </c>
      <c r="AB27" s="211">
        <f t="shared" si="18"/>
        <v>85.83267561168114</v>
      </c>
      <c r="AC27" s="211">
        <f t="shared" si="18"/>
        <v>85.83267561168114</v>
      </c>
      <c r="AD27" s="211">
        <f t="shared" si="18"/>
        <v>85.83267561168114</v>
      </c>
      <c r="AE27" s="211">
        <f t="shared" si="18"/>
        <v>85.83267561168114</v>
      </c>
      <c r="AF27" s="211">
        <f t="shared" si="18"/>
        <v>94.498650511258404</v>
      </c>
      <c r="AG27" s="211">
        <f t="shared" si="18"/>
        <v>103.16462541083568</v>
      </c>
      <c r="AH27" s="211">
        <f t="shared" si="18"/>
        <v>111.83060031041295</v>
      </c>
      <c r="AI27" s="211">
        <f t="shared" si="18"/>
        <v>120.49657520999023</v>
      </c>
      <c r="AJ27" s="211">
        <f t="shared" si="19"/>
        <v>129.16255010956749</v>
      </c>
      <c r="AK27" s="211">
        <f t="shared" si="19"/>
        <v>137.82852500914476</v>
      </c>
      <c r="AL27" s="211">
        <f t="shared" si="19"/>
        <v>146.49449990872205</v>
      </c>
      <c r="AM27" s="211">
        <f t="shared" si="19"/>
        <v>155.16047480829931</v>
      </c>
      <c r="AN27" s="211">
        <f t="shared" si="19"/>
        <v>163.82644970787658</v>
      </c>
      <c r="AO27" s="211">
        <f t="shared" si="19"/>
        <v>172.49242460745384</v>
      </c>
      <c r="AP27" s="211">
        <f t="shared" si="19"/>
        <v>181.15839950703111</v>
      </c>
      <c r="AQ27" s="211">
        <f t="shared" si="19"/>
        <v>189.8243744066084</v>
      </c>
      <c r="AR27" s="211">
        <f t="shared" si="19"/>
        <v>198.49034930618569</v>
      </c>
      <c r="AS27" s="211">
        <f t="shared" si="19"/>
        <v>207.15632420576293</v>
      </c>
      <c r="AT27" s="211">
        <f t="shared" si="20"/>
        <v>215.82229910534022</v>
      </c>
      <c r="AU27" s="211">
        <f t="shared" si="20"/>
        <v>224.48827400491749</v>
      </c>
      <c r="AV27" s="211">
        <f t="shared" si="20"/>
        <v>233.15424890449475</v>
      </c>
      <c r="AW27" s="211">
        <f t="shared" si="20"/>
        <v>241.82022380407201</v>
      </c>
      <c r="AX27" s="211">
        <f t="shared" si="20"/>
        <v>250.48619870364928</v>
      </c>
      <c r="AY27" s="211">
        <f t="shared" si="20"/>
        <v>259.15217360322652</v>
      </c>
      <c r="AZ27" s="211">
        <f t="shared" si="20"/>
        <v>267.81814850280387</v>
      </c>
      <c r="BA27" s="211">
        <f t="shared" si="20"/>
        <v>276.4841234023811</v>
      </c>
      <c r="BB27" s="211">
        <f t="shared" si="20"/>
        <v>285.15009830195834</v>
      </c>
      <c r="BC27" s="211">
        <f t="shared" si="20"/>
        <v>293.81607320153563</v>
      </c>
      <c r="BD27" s="211">
        <f t="shared" si="21"/>
        <v>302.48204810111292</v>
      </c>
      <c r="BE27" s="211">
        <f t="shared" si="21"/>
        <v>311.14802300069022</v>
      </c>
      <c r="BF27" s="211">
        <f t="shared" si="21"/>
        <v>319.81399790026751</v>
      </c>
      <c r="BG27" s="211">
        <f t="shared" si="21"/>
        <v>328.47997279984475</v>
      </c>
      <c r="BH27" s="211">
        <f t="shared" si="21"/>
        <v>337.14594769942198</v>
      </c>
      <c r="BI27" s="211">
        <f t="shared" si="21"/>
        <v>345.81192259899933</v>
      </c>
      <c r="BJ27" s="211">
        <f t="shared" si="21"/>
        <v>354.47789749857657</v>
      </c>
      <c r="BK27" s="211">
        <f t="shared" si="21"/>
        <v>363.1438723981538</v>
      </c>
      <c r="BL27" s="211">
        <f t="shared" si="21"/>
        <v>371.80984729773104</v>
      </c>
      <c r="BM27" s="211">
        <f t="shared" si="21"/>
        <v>380.47582219730839</v>
      </c>
      <c r="BN27" s="211">
        <f t="shared" si="22"/>
        <v>389.14179709688563</v>
      </c>
      <c r="BO27" s="211">
        <f t="shared" si="22"/>
        <v>397.80777199646286</v>
      </c>
      <c r="BP27" s="211">
        <f t="shared" si="22"/>
        <v>406.4737468960401</v>
      </c>
      <c r="BQ27" s="211">
        <f t="shared" si="22"/>
        <v>430.35788512684917</v>
      </c>
      <c r="BR27" s="211">
        <f t="shared" si="22"/>
        <v>469.46018668889008</v>
      </c>
      <c r="BS27" s="211">
        <f t="shared" si="22"/>
        <v>508.56248825093087</v>
      </c>
      <c r="BT27" s="211">
        <f t="shared" si="22"/>
        <v>547.66478981297178</v>
      </c>
      <c r="BU27" s="211">
        <f t="shared" si="22"/>
        <v>586.76709137501257</v>
      </c>
      <c r="BV27" s="211">
        <f t="shared" si="22"/>
        <v>625.86939293705348</v>
      </c>
      <c r="BW27" s="211">
        <f t="shared" si="22"/>
        <v>664.97169449909427</v>
      </c>
      <c r="BX27" s="211">
        <f t="shared" si="23"/>
        <v>704.07399606113518</v>
      </c>
      <c r="BY27" s="211">
        <f t="shared" si="23"/>
        <v>743.17629762317597</v>
      </c>
      <c r="BZ27" s="211">
        <f t="shared" si="23"/>
        <v>782.27859918521688</v>
      </c>
      <c r="CA27" s="211">
        <f t="shared" si="23"/>
        <v>821.38090074725767</v>
      </c>
      <c r="CB27" s="211">
        <f t="shared" si="23"/>
        <v>860.48320230929858</v>
      </c>
      <c r="CC27" s="211">
        <f t="shared" si="23"/>
        <v>899.58550387133937</v>
      </c>
      <c r="CD27" s="211">
        <f t="shared" si="23"/>
        <v>938.68780543338028</v>
      </c>
      <c r="CE27" s="211">
        <f t="shared" si="23"/>
        <v>977.79010699542118</v>
      </c>
      <c r="CF27" s="211">
        <f t="shared" si="23"/>
        <v>1016.892408557462</v>
      </c>
      <c r="CG27" s="211">
        <f t="shared" si="23"/>
        <v>1055.9947101195028</v>
      </c>
      <c r="CH27" s="211">
        <f t="shared" si="24"/>
        <v>1095.0970116815436</v>
      </c>
      <c r="CI27" s="211">
        <f t="shared" si="24"/>
        <v>1134.1993132435846</v>
      </c>
      <c r="CJ27" s="211">
        <f t="shared" si="24"/>
        <v>1173.3016148056254</v>
      </c>
      <c r="CK27" s="211">
        <f t="shared" si="24"/>
        <v>1203.6793550957195</v>
      </c>
      <c r="CL27" s="211">
        <f t="shared" si="24"/>
        <v>1225.3325341138673</v>
      </c>
      <c r="CM27" s="211">
        <f t="shared" si="24"/>
        <v>1246.985713132015</v>
      </c>
      <c r="CN27" s="211">
        <f t="shared" si="24"/>
        <v>1268.6388921501627</v>
      </c>
      <c r="CO27" s="211">
        <f t="shared" si="24"/>
        <v>1290.2920711683105</v>
      </c>
      <c r="CP27" s="211">
        <f t="shared" si="24"/>
        <v>1311.945250186458</v>
      </c>
      <c r="CQ27" s="211">
        <f t="shared" si="24"/>
        <v>1333.5984292046057</v>
      </c>
      <c r="CR27" s="211">
        <f t="shared" si="25"/>
        <v>1355.2516082227535</v>
      </c>
      <c r="CS27" s="211">
        <f t="shared" si="25"/>
        <v>1376.9047872409012</v>
      </c>
      <c r="CT27" s="211">
        <f t="shared" si="25"/>
        <v>1398.557966259049</v>
      </c>
      <c r="CU27" s="211">
        <f t="shared" si="25"/>
        <v>1420.2111452771965</v>
      </c>
      <c r="CV27" s="211">
        <f t="shared" si="25"/>
        <v>1441.8643242953442</v>
      </c>
      <c r="CW27" s="211">
        <f t="shared" si="25"/>
        <v>1463.5175033134919</v>
      </c>
      <c r="CX27" s="211">
        <f t="shared" si="25"/>
        <v>1463.5175033134919</v>
      </c>
      <c r="CY27" s="211">
        <f t="shared" si="25"/>
        <v>1463.5175033134919</v>
      </c>
      <c r="CZ27" s="211">
        <f t="shared" si="25"/>
        <v>1463.5175033134919</v>
      </c>
      <c r="DA27" s="211">
        <f t="shared" si="25"/>
        <v>1463.5175033134919</v>
      </c>
    </row>
    <row r="28" spans="1:105">
      <c r="A28" s="202" t="str">
        <f>Income!A75</f>
        <v>Animal products sold</v>
      </c>
      <c r="B28" s="204">
        <f>Income!B75</f>
        <v>0</v>
      </c>
      <c r="C28" s="204">
        <f>Income!C75</f>
        <v>0</v>
      </c>
      <c r="D28" s="204">
        <f>Income!D75</f>
        <v>0</v>
      </c>
      <c r="E28" s="204">
        <f>Income!E75</f>
        <v>0</v>
      </c>
      <c r="F28" s="211">
        <f t="shared" si="16"/>
        <v>0</v>
      </c>
      <c r="G28" s="211">
        <f t="shared" si="16"/>
        <v>0</v>
      </c>
      <c r="H28" s="211">
        <f t="shared" si="16"/>
        <v>0</v>
      </c>
      <c r="I28" s="211">
        <f t="shared" si="16"/>
        <v>0</v>
      </c>
      <c r="J28" s="211">
        <f t="shared" si="16"/>
        <v>0</v>
      </c>
      <c r="K28" s="211">
        <f t="shared" si="16"/>
        <v>0</v>
      </c>
      <c r="L28" s="211">
        <f t="shared" si="16"/>
        <v>0</v>
      </c>
      <c r="M28" s="211">
        <f t="shared" si="16"/>
        <v>0</v>
      </c>
      <c r="N28" s="211">
        <f t="shared" si="16"/>
        <v>0</v>
      </c>
      <c r="O28" s="211">
        <f t="shared" si="16"/>
        <v>0</v>
      </c>
      <c r="P28" s="211">
        <f t="shared" si="17"/>
        <v>0</v>
      </c>
      <c r="Q28" s="211">
        <f t="shared" si="17"/>
        <v>0</v>
      </c>
      <c r="R28" s="211">
        <f t="shared" si="17"/>
        <v>0</v>
      </c>
      <c r="S28" s="211">
        <f t="shared" si="17"/>
        <v>0</v>
      </c>
      <c r="T28" s="211">
        <f t="shared" si="17"/>
        <v>0</v>
      </c>
      <c r="U28" s="211">
        <f t="shared" si="17"/>
        <v>0</v>
      </c>
      <c r="V28" s="211">
        <f t="shared" si="17"/>
        <v>0</v>
      </c>
      <c r="W28" s="211">
        <f t="shared" si="17"/>
        <v>0</v>
      </c>
      <c r="X28" s="211">
        <f t="shared" si="17"/>
        <v>0</v>
      </c>
      <c r="Y28" s="211">
        <f t="shared" si="17"/>
        <v>0</v>
      </c>
      <c r="Z28" s="211">
        <f t="shared" si="18"/>
        <v>0</v>
      </c>
      <c r="AA28" s="211">
        <f t="shared" si="18"/>
        <v>0</v>
      </c>
      <c r="AB28" s="211">
        <f t="shared" si="18"/>
        <v>0</v>
      </c>
      <c r="AC28" s="211">
        <f t="shared" si="18"/>
        <v>0</v>
      </c>
      <c r="AD28" s="211">
        <f t="shared" si="18"/>
        <v>0</v>
      </c>
      <c r="AE28" s="211">
        <f t="shared" si="18"/>
        <v>0</v>
      </c>
      <c r="AF28" s="211">
        <f t="shared" si="18"/>
        <v>0</v>
      </c>
      <c r="AG28" s="211">
        <f t="shared" si="18"/>
        <v>0</v>
      </c>
      <c r="AH28" s="211">
        <f t="shared" si="18"/>
        <v>0</v>
      </c>
      <c r="AI28" s="211">
        <f t="shared" si="18"/>
        <v>0</v>
      </c>
      <c r="AJ28" s="211">
        <f t="shared" si="19"/>
        <v>0</v>
      </c>
      <c r="AK28" s="211">
        <f t="shared" si="19"/>
        <v>0</v>
      </c>
      <c r="AL28" s="211">
        <f t="shared" si="19"/>
        <v>0</v>
      </c>
      <c r="AM28" s="211">
        <f t="shared" si="19"/>
        <v>0</v>
      </c>
      <c r="AN28" s="211">
        <f t="shared" si="19"/>
        <v>0</v>
      </c>
      <c r="AO28" s="211">
        <f t="shared" si="19"/>
        <v>0</v>
      </c>
      <c r="AP28" s="211">
        <f t="shared" si="19"/>
        <v>0</v>
      </c>
      <c r="AQ28" s="211">
        <f t="shared" si="19"/>
        <v>0</v>
      </c>
      <c r="AR28" s="211">
        <f t="shared" si="19"/>
        <v>0</v>
      </c>
      <c r="AS28" s="211">
        <f t="shared" si="19"/>
        <v>0</v>
      </c>
      <c r="AT28" s="211">
        <f t="shared" si="20"/>
        <v>0</v>
      </c>
      <c r="AU28" s="211">
        <f t="shared" si="20"/>
        <v>0</v>
      </c>
      <c r="AV28" s="211">
        <f t="shared" si="20"/>
        <v>0</v>
      </c>
      <c r="AW28" s="211">
        <f t="shared" si="20"/>
        <v>0</v>
      </c>
      <c r="AX28" s="211">
        <f t="shared" si="20"/>
        <v>0</v>
      </c>
      <c r="AY28" s="211">
        <f t="shared" si="20"/>
        <v>0</v>
      </c>
      <c r="AZ28" s="211">
        <f t="shared" si="20"/>
        <v>0</v>
      </c>
      <c r="BA28" s="211">
        <f t="shared" si="20"/>
        <v>0</v>
      </c>
      <c r="BB28" s="211">
        <f t="shared" si="20"/>
        <v>0</v>
      </c>
      <c r="BC28" s="211">
        <f t="shared" si="20"/>
        <v>0</v>
      </c>
      <c r="BD28" s="211">
        <f t="shared" si="21"/>
        <v>0</v>
      </c>
      <c r="BE28" s="211">
        <f t="shared" si="21"/>
        <v>0</v>
      </c>
      <c r="BF28" s="211">
        <f t="shared" si="21"/>
        <v>0</v>
      </c>
      <c r="BG28" s="211">
        <f t="shared" si="21"/>
        <v>0</v>
      </c>
      <c r="BH28" s="211">
        <f t="shared" si="21"/>
        <v>0</v>
      </c>
      <c r="BI28" s="211">
        <f t="shared" si="21"/>
        <v>0</v>
      </c>
      <c r="BJ28" s="211">
        <f t="shared" si="21"/>
        <v>0</v>
      </c>
      <c r="BK28" s="211">
        <f t="shared" si="21"/>
        <v>0</v>
      </c>
      <c r="BL28" s="211">
        <f t="shared" si="21"/>
        <v>0</v>
      </c>
      <c r="BM28" s="211">
        <f t="shared" si="21"/>
        <v>0</v>
      </c>
      <c r="BN28" s="211">
        <f t="shared" si="22"/>
        <v>0</v>
      </c>
      <c r="BO28" s="211">
        <f t="shared" si="22"/>
        <v>0</v>
      </c>
      <c r="BP28" s="211">
        <f t="shared" si="22"/>
        <v>0</v>
      </c>
      <c r="BQ28" s="211">
        <f t="shared" si="22"/>
        <v>0</v>
      </c>
      <c r="BR28" s="211">
        <f t="shared" si="22"/>
        <v>0</v>
      </c>
      <c r="BS28" s="211">
        <f t="shared" si="22"/>
        <v>0</v>
      </c>
      <c r="BT28" s="211">
        <f t="shared" si="22"/>
        <v>0</v>
      </c>
      <c r="BU28" s="211">
        <f t="shared" si="22"/>
        <v>0</v>
      </c>
      <c r="BV28" s="211">
        <f t="shared" si="22"/>
        <v>0</v>
      </c>
      <c r="BW28" s="211">
        <f t="shared" si="22"/>
        <v>0</v>
      </c>
      <c r="BX28" s="211">
        <f t="shared" si="23"/>
        <v>0</v>
      </c>
      <c r="BY28" s="211">
        <f t="shared" si="23"/>
        <v>0</v>
      </c>
      <c r="BZ28" s="211">
        <f t="shared" si="23"/>
        <v>0</v>
      </c>
      <c r="CA28" s="211">
        <f t="shared" si="23"/>
        <v>0</v>
      </c>
      <c r="CB28" s="211">
        <f t="shared" si="23"/>
        <v>0</v>
      </c>
      <c r="CC28" s="211">
        <f t="shared" si="23"/>
        <v>0</v>
      </c>
      <c r="CD28" s="211">
        <f t="shared" si="23"/>
        <v>0</v>
      </c>
      <c r="CE28" s="211">
        <f t="shared" si="23"/>
        <v>0</v>
      </c>
      <c r="CF28" s="211">
        <f t="shared" si="23"/>
        <v>0</v>
      </c>
      <c r="CG28" s="211">
        <f t="shared" si="23"/>
        <v>0</v>
      </c>
      <c r="CH28" s="211">
        <f t="shared" si="24"/>
        <v>0</v>
      </c>
      <c r="CI28" s="211">
        <f t="shared" si="24"/>
        <v>0</v>
      </c>
      <c r="CJ28" s="211">
        <f t="shared" si="24"/>
        <v>0</v>
      </c>
      <c r="CK28" s="211">
        <f t="shared" si="24"/>
        <v>0</v>
      </c>
      <c r="CL28" s="211">
        <f t="shared" si="24"/>
        <v>0</v>
      </c>
      <c r="CM28" s="211">
        <f t="shared" si="24"/>
        <v>0</v>
      </c>
      <c r="CN28" s="211">
        <f t="shared" si="24"/>
        <v>0</v>
      </c>
      <c r="CO28" s="211">
        <f t="shared" si="24"/>
        <v>0</v>
      </c>
      <c r="CP28" s="211">
        <f t="shared" si="24"/>
        <v>0</v>
      </c>
      <c r="CQ28" s="211">
        <f t="shared" si="24"/>
        <v>0</v>
      </c>
      <c r="CR28" s="211">
        <f t="shared" si="25"/>
        <v>0</v>
      </c>
      <c r="CS28" s="211">
        <f t="shared" si="25"/>
        <v>0</v>
      </c>
      <c r="CT28" s="211">
        <f t="shared" si="25"/>
        <v>0</v>
      </c>
      <c r="CU28" s="211">
        <f t="shared" si="25"/>
        <v>0</v>
      </c>
      <c r="CV28" s="211">
        <f t="shared" si="25"/>
        <v>0</v>
      </c>
      <c r="CW28" s="211">
        <f t="shared" si="25"/>
        <v>0</v>
      </c>
      <c r="CX28" s="211">
        <f t="shared" si="25"/>
        <v>0</v>
      </c>
      <c r="CY28" s="211">
        <f t="shared" si="25"/>
        <v>0</v>
      </c>
      <c r="CZ28" s="211">
        <f t="shared" si="25"/>
        <v>0</v>
      </c>
      <c r="DA28" s="211">
        <f t="shared" si="25"/>
        <v>0</v>
      </c>
    </row>
    <row r="29" spans="1:105">
      <c r="A29" s="202" t="str">
        <f>Income!A76</f>
        <v>Animals sold</v>
      </c>
      <c r="B29" s="204">
        <f>Income!B76</f>
        <v>1285.7142857142858</v>
      </c>
      <c r="C29" s="204">
        <f>Income!C76</f>
        <v>9749.9999999999982</v>
      </c>
      <c r="D29" s="204">
        <f>Income!D76</f>
        <v>28457.142857142851</v>
      </c>
      <c r="E29" s="204">
        <f>Income!E76</f>
        <v>32750</v>
      </c>
      <c r="F29" s="211">
        <f t="shared" si="16"/>
        <v>1285.7142857142858</v>
      </c>
      <c r="G29" s="211">
        <f t="shared" si="16"/>
        <v>1285.7142857142858</v>
      </c>
      <c r="H29" s="211">
        <f t="shared" si="16"/>
        <v>1285.7142857142858</v>
      </c>
      <c r="I29" s="211">
        <f t="shared" si="16"/>
        <v>1285.7142857142858</v>
      </c>
      <c r="J29" s="211">
        <f t="shared" si="16"/>
        <v>1285.7142857142858</v>
      </c>
      <c r="K29" s="211">
        <f t="shared" si="16"/>
        <v>1285.7142857142858</v>
      </c>
      <c r="L29" s="211">
        <f t="shared" si="16"/>
        <v>1285.7142857142858</v>
      </c>
      <c r="M29" s="211">
        <f t="shared" si="16"/>
        <v>1285.7142857142858</v>
      </c>
      <c r="N29" s="211">
        <f t="shared" si="16"/>
        <v>1285.7142857142858</v>
      </c>
      <c r="O29" s="211">
        <f t="shared" si="16"/>
        <v>1285.7142857142858</v>
      </c>
      <c r="P29" s="211">
        <f t="shared" si="17"/>
        <v>1285.7142857142858</v>
      </c>
      <c r="Q29" s="211">
        <f t="shared" si="17"/>
        <v>1285.7142857142858</v>
      </c>
      <c r="R29" s="211">
        <f t="shared" si="17"/>
        <v>1285.7142857142858</v>
      </c>
      <c r="S29" s="211">
        <f t="shared" si="17"/>
        <v>1285.7142857142858</v>
      </c>
      <c r="T29" s="211">
        <f t="shared" si="17"/>
        <v>1285.7142857142858</v>
      </c>
      <c r="U29" s="211">
        <f t="shared" si="17"/>
        <v>1285.7142857142858</v>
      </c>
      <c r="V29" s="211">
        <f t="shared" si="17"/>
        <v>1285.7142857142858</v>
      </c>
      <c r="W29" s="211">
        <f t="shared" si="17"/>
        <v>1285.7142857142858</v>
      </c>
      <c r="X29" s="211">
        <f t="shared" si="17"/>
        <v>1285.7142857142858</v>
      </c>
      <c r="Y29" s="211">
        <f t="shared" si="17"/>
        <v>1285.7142857142858</v>
      </c>
      <c r="Z29" s="211">
        <f t="shared" si="18"/>
        <v>1285.7142857142858</v>
      </c>
      <c r="AA29" s="211">
        <f t="shared" si="18"/>
        <v>1285.7142857142858</v>
      </c>
      <c r="AB29" s="211">
        <f t="shared" si="18"/>
        <v>1285.7142857142858</v>
      </c>
      <c r="AC29" s="211">
        <f t="shared" si="18"/>
        <v>1285.7142857142858</v>
      </c>
      <c r="AD29" s="211">
        <f t="shared" si="18"/>
        <v>1285.7142857142858</v>
      </c>
      <c r="AE29" s="211">
        <f t="shared" si="18"/>
        <v>1285.7142857142858</v>
      </c>
      <c r="AF29" s="211">
        <f t="shared" si="18"/>
        <v>1511.4285714285716</v>
      </c>
      <c r="AG29" s="211">
        <f t="shared" si="18"/>
        <v>1737.1428571428571</v>
      </c>
      <c r="AH29" s="211">
        <f t="shared" si="18"/>
        <v>1962.8571428571427</v>
      </c>
      <c r="AI29" s="211">
        <f t="shared" si="18"/>
        <v>2188.5714285714284</v>
      </c>
      <c r="AJ29" s="211">
        <f t="shared" si="19"/>
        <v>2414.2857142857138</v>
      </c>
      <c r="AK29" s="211">
        <f t="shared" si="19"/>
        <v>2640</v>
      </c>
      <c r="AL29" s="211">
        <f t="shared" si="19"/>
        <v>2865.7142857142853</v>
      </c>
      <c r="AM29" s="211">
        <f t="shared" si="19"/>
        <v>3091.4285714285711</v>
      </c>
      <c r="AN29" s="211">
        <f t="shared" si="19"/>
        <v>3317.1428571428569</v>
      </c>
      <c r="AO29" s="211">
        <f t="shared" si="19"/>
        <v>3542.8571428571422</v>
      </c>
      <c r="AP29" s="211">
        <f t="shared" si="19"/>
        <v>3768.571428571428</v>
      </c>
      <c r="AQ29" s="211">
        <f t="shared" si="19"/>
        <v>3994.2857142857138</v>
      </c>
      <c r="AR29" s="211">
        <f t="shared" si="19"/>
        <v>4220</v>
      </c>
      <c r="AS29" s="211">
        <f t="shared" si="19"/>
        <v>4445.7142857142844</v>
      </c>
      <c r="AT29" s="211">
        <f t="shared" si="20"/>
        <v>4671.4285714285706</v>
      </c>
      <c r="AU29" s="211">
        <f t="shared" si="20"/>
        <v>4897.1428571428569</v>
      </c>
      <c r="AV29" s="211">
        <f t="shared" si="20"/>
        <v>5122.8571428571413</v>
      </c>
      <c r="AW29" s="211">
        <f t="shared" si="20"/>
        <v>5348.5714285714275</v>
      </c>
      <c r="AX29" s="211">
        <f t="shared" si="20"/>
        <v>5574.2857142857138</v>
      </c>
      <c r="AY29" s="211">
        <f t="shared" si="20"/>
        <v>5799.9999999999982</v>
      </c>
      <c r="AZ29" s="211">
        <f t="shared" si="20"/>
        <v>6025.7142857142844</v>
      </c>
      <c r="BA29" s="211">
        <f t="shared" si="20"/>
        <v>6251.4285714285706</v>
      </c>
      <c r="BB29" s="211">
        <f t="shared" si="20"/>
        <v>6477.1428571428551</v>
      </c>
      <c r="BC29" s="211">
        <f t="shared" si="20"/>
        <v>6702.8571428571413</v>
      </c>
      <c r="BD29" s="211">
        <f t="shared" si="21"/>
        <v>6928.5714285714275</v>
      </c>
      <c r="BE29" s="211">
        <f t="shared" si="21"/>
        <v>7154.2857142857138</v>
      </c>
      <c r="BF29" s="211">
        <f t="shared" si="21"/>
        <v>7379.9999999999982</v>
      </c>
      <c r="BG29" s="211">
        <f t="shared" si="21"/>
        <v>7605.7142857142844</v>
      </c>
      <c r="BH29" s="211">
        <f t="shared" si="21"/>
        <v>7831.4285714285706</v>
      </c>
      <c r="BI29" s="211">
        <f t="shared" si="21"/>
        <v>8057.1428571428551</v>
      </c>
      <c r="BJ29" s="211">
        <f t="shared" si="21"/>
        <v>8282.8571428571395</v>
      </c>
      <c r="BK29" s="211">
        <f t="shared" si="21"/>
        <v>8508.5714285714275</v>
      </c>
      <c r="BL29" s="211">
        <f t="shared" si="21"/>
        <v>8734.2857142857138</v>
      </c>
      <c r="BM29" s="211">
        <f t="shared" si="21"/>
        <v>8959.9999999999982</v>
      </c>
      <c r="BN29" s="211">
        <f t="shared" si="22"/>
        <v>9185.7142857142844</v>
      </c>
      <c r="BO29" s="211">
        <f t="shared" si="22"/>
        <v>9411.4285714285688</v>
      </c>
      <c r="BP29" s="211">
        <f t="shared" si="22"/>
        <v>9637.1428571428551</v>
      </c>
      <c r="BQ29" s="211">
        <f t="shared" si="22"/>
        <v>10217.678571428569</v>
      </c>
      <c r="BR29" s="211">
        <f t="shared" si="22"/>
        <v>11153.035714285712</v>
      </c>
      <c r="BS29" s="211">
        <f t="shared" si="22"/>
        <v>12088.392857142855</v>
      </c>
      <c r="BT29" s="211">
        <f t="shared" si="22"/>
        <v>13023.749999999998</v>
      </c>
      <c r="BU29" s="211">
        <f t="shared" si="22"/>
        <v>13959.107142857141</v>
      </c>
      <c r="BV29" s="211">
        <f t="shared" si="22"/>
        <v>14894.464285714283</v>
      </c>
      <c r="BW29" s="211">
        <f t="shared" si="22"/>
        <v>15829.821428571426</v>
      </c>
      <c r="BX29" s="211">
        <f t="shared" si="23"/>
        <v>16765.178571428569</v>
      </c>
      <c r="BY29" s="211">
        <f t="shared" si="23"/>
        <v>17700.53571428571</v>
      </c>
      <c r="BZ29" s="211">
        <f t="shared" si="23"/>
        <v>18635.892857142855</v>
      </c>
      <c r="CA29" s="211">
        <f t="shared" si="23"/>
        <v>19571.249999999996</v>
      </c>
      <c r="CB29" s="211">
        <f t="shared" si="23"/>
        <v>20506.607142857138</v>
      </c>
      <c r="CC29" s="211">
        <f t="shared" si="23"/>
        <v>21441.964285714283</v>
      </c>
      <c r="CD29" s="211">
        <f t="shared" si="23"/>
        <v>22377.321428571428</v>
      </c>
      <c r="CE29" s="211">
        <f t="shared" si="23"/>
        <v>23312.678571428569</v>
      </c>
      <c r="CF29" s="211">
        <f t="shared" si="23"/>
        <v>24248.03571428571</v>
      </c>
      <c r="CG29" s="211">
        <f t="shared" si="23"/>
        <v>25183.392857142855</v>
      </c>
      <c r="CH29" s="211">
        <f t="shared" si="24"/>
        <v>26118.749999999993</v>
      </c>
      <c r="CI29" s="211">
        <f t="shared" si="24"/>
        <v>27054.107142857138</v>
      </c>
      <c r="CJ29" s="211">
        <f t="shared" si="24"/>
        <v>27989.464285714283</v>
      </c>
      <c r="CK29" s="211">
        <f t="shared" si="24"/>
        <v>28628.857142857138</v>
      </c>
      <c r="CL29" s="211">
        <f t="shared" si="24"/>
        <v>28972.28571428571</v>
      </c>
      <c r="CM29" s="211">
        <f t="shared" si="24"/>
        <v>29315.714285714283</v>
      </c>
      <c r="CN29" s="211">
        <f t="shared" si="24"/>
        <v>29659.142857142851</v>
      </c>
      <c r="CO29" s="211">
        <f t="shared" si="24"/>
        <v>30002.571428571424</v>
      </c>
      <c r="CP29" s="211">
        <f t="shared" si="24"/>
        <v>30345.999999999996</v>
      </c>
      <c r="CQ29" s="211">
        <f t="shared" si="24"/>
        <v>30689.428571428569</v>
      </c>
      <c r="CR29" s="211">
        <f t="shared" si="25"/>
        <v>31032.857142857141</v>
      </c>
      <c r="CS29" s="211">
        <f t="shared" si="25"/>
        <v>31376.285714285714</v>
      </c>
      <c r="CT29" s="211">
        <f t="shared" si="25"/>
        <v>31719.714285714283</v>
      </c>
      <c r="CU29" s="211">
        <f t="shared" si="25"/>
        <v>32063.142857142855</v>
      </c>
      <c r="CV29" s="211">
        <f t="shared" si="25"/>
        <v>32406.571428571428</v>
      </c>
      <c r="CW29" s="211">
        <f t="shared" si="25"/>
        <v>32750</v>
      </c>
      <c r="CX29" s="211">
        <f t="shared" si="25"/>
        <v>32750</v>
      </c>
      <c r="CY29" s="211">
        <f t="shared" si="25"/>
        <v>32750</v>
      </c>
      <c r="CZ29" s="211">
        <f t="shared" si="25"/>
        <v>32750</v>
      </c>
      <c r="DA29" s="211">
        <f t="shared" si="25"/>
        <v>32750</v>
      </c>
    </row>
    <row r="30" spans="1:105">
      <c r="A30" s="202" t="str">
        <f>Income!A77</f>
        <v>Wild foods consumed and sold</v>
      </c>
      <c r="B30" s="204">
        <f>Income!B77</f>
        <v>0</v>
      </c>
      <c r="C30" s="204">
        <f>Income!C77</f>
        <v>0</v>
      </c>
      <c r="D30" s="204">
        <f>Income!D77</f>
        <v>0</v>
      </c>
      <c r="E30" s="204">
        <f>Income!E77</f>
        <v>0</v>
      </c>
      <c r="F30" s="211">
        <f t="shared" si="16"/>
        <v>0</v>
      </c>
      <c r="G30" s="211">
        <f t="shared" si="16"/>
        <v>0</v>
      </c>
      <c r="H30" s="211">
        <f t="shared" si="16"/>
        <v>0</v>
      </c>
      <c r="I30" s="211">
        <f t="shared" si="16"/>
        <v>0</v>
      </c>
      <c r="J30" s="211">
        <f t="shared" si="16"/>
        <v>0</v>
      </c>
      <c r="K30" s="211">
        <f t="shared" si="16"/>
        <v>0</v>
      </c>
      <c r="L30" s="211">
        <f t="shared" si="16"/>
        <v>0</v>
      </c>
      <c r="M30" s="211">
        <f t="shared" si="16"/>
        <v>0</v>
      </c>
      <c r="N30" s="211">
        <f t="shared" si="16"/>
        <v>0</v>
      </c>
      <c r="O30" s="211">
        <f t="shared" si="16"/>
        <v>0</v>
      </c>
      <c r="P30" s="211">
        <f t="shared" si="17"/>
        <v>0</v>
      </c>
      <c r="Q30" s="211">
        <f t="shared" si="17"/>
        <v>0</v>
      </c>
      <c r="R30" s="211">
        <f t="shared" si="17"/>
        <v>0</v>
      </c>
      <c r="S30" s="211">
        <f t="shared" si="17"/>
        <v>0</v>
      </c>
      <c r="T30" s="211">
        <f t="shared" si="17"/>
        <v>0</v>
      </c>
      <c r="U30" s="211">
        <f t="shared" si="17"/>
        <v>0</v>
      </c>
      <c r="V30" s="211">
        <f t="shared" si="17"/>
        <v>0</v>
      </c>
      <c r="W30" s="211">
        <f t="shared" si="17"/>
        <v>0</v>
      </c>
      <c r="X30" s="211">
        <f t="shared" si="17"/>
        <v>0</v>
      </c>
      <c r="Y30" s="211">
        <f t="shared" si="17"/>
        <v>0</v>
      </c>
      <c r="Z30" s="211">
        <f t="shared" si="18"/>
        <v>0</v>
      </c>
      <c r="AA30" s="211">
        <f t="shared" si="18"/>
        <v>0</v>
      </c>
      <c r="AB30" s="211">
        <f t="shared" si="18"/>
        <v>0</v>
      </c>
      <c r="AC30" s="211">
        <f t="shared" si="18"/>
        <v>0</v>
      </c>
      <c r="AD30" s="211">
        <f t="shared" si="18"/>
        <v>0</v>
      </c>
      <c r="AE30" s="211">
        <f t="shared" si="18"/>
        <v>0</v>
      </c>
      <c r="AF30" s="211">
        <f t="shared" si="18"/>
        <v>0</v>
      </c>
      <c r="AG30" s="211">
        <f t="shared" si="18"/>
        <v>0</v>
      </c>
      <c r="AH30" s="211">
        <f t="shared" si="18"/>
        <v>0</v>
      </c>
      <c r="AI30" s="211">
        <f t="shared" si="18"/>
        <v>0</v>
      </c>
      <c r="AJ30" s="211">
        <f t="shared" si="19"/>
        <v>0</v>
      </c>
      <c r="AK30" s="211">
        <f t="shared" si="19"/>
        <v>0</v>
      </c>
      <c r="AL30" s="211">
        <f t="shared" si="19"/>
        <v>0</v>
      </c>
      <c r="AM30" s="211">
        <f t="shared" si="19"/>
        <v>0</v>
      </c>
      <c r="AN30" s="211">
        <f t="shared" si="19"/>
        <v>0</v>
      </c>
      <c r="AO30" s="211">
        <f t="shared" si="19"/>
        <v>0</v>
      </c>
      <c r="AP30" s="211">
        <f t="shared" si="19"/>
        <v>0</v>
      </c>
      <c r="AQ30" s="211">
        <f t="shared" si="19"/>
        <v>0</v>
      </c>
      <c r="AR30" s="211">
        <f t="shared" si="19"/>
        <v>0</v>
      </c>
      <c r="AS30" s="211">
        <f t="shared" si="19"/>
        <v>0</v>
      </c>
      <c r="AT30" s="211">
        <f t="shared" si="20"/>
        <v>0</v>
      </c>
      <c r="AU30" s="211">
        <f t="shared" si="20"/>
        <v>0</v>
      </c>
      <c r="AV30" s="211">
        <f t="shared" si="20"/>
        <v>0</v>
      </c>
      <c r="AW30" s="211">
        <f t="shared" si="20"/>
        <v>0</v>
      </c>
      <c r="AX30" s="211">
        <f t="shared" si="20"/>
        <v>0</v>
      </c>
      <c r="AY30" s="211">
        <f t="shared" si="20"/>
        <v>0</v>
      </c>
      <c r="AZ30" s="211">
        <f t="shared" si="20"/>
        <v>0</v>
      </c>
      <c r="BA30" s="211">
        <f t="shared" si="20"/>
        <v>0</v>
      </c>
      <c r="BB30" s="211">
        <f t="shared" si="20"/>
        <v>0</v>
      </c>
      <c r="BC30" s="211">
        <f t="shared" si="20"/>
        <v>0</v>
      </c>
      <c r="BD30" s="211">
        <f t="shared" si="21"/>
        <v>0</v>
      </c>
      <c r="BE30" s="211">
        <f t="shared" si="21"/>
        <v>0</v>
      </c>
      <c r="BF30" s="211">
        <f t="shared" si="21"/>
        <v>0</v>
      </c>
      <c r="BG30" s="211">
        <f t="shared" si="21"/>
        <v>0</v>
      </c>
      <c r="BH30" s="211">
        <f t="shared" si="21"/>
        <v>0</v>
      </c>
      <c r="BI30" s="211">
        <f t="shared" si="21"/>
        <v>0</v>
      </c>
      <c r="BJ30" s="211">
        <f t="shared" si="21"/>
        <v>0</v>
      </c>
      <c r="BK30" s="211">
        <f t="shared" si="21"/>
        <v>0</v>
      </c>
      <c r="BL30" s="211">
        <f t="shared" si="21"/>
        <v>0</v>
      </c>
      <c r="BM30" s="211">
        <f t="shared" si="21"/>
        <v>0</v>
      </c>
      <c r="BN30" s="211">
        <f t="shared" si="22"/>
        <v>0</v>
      </c>
      <c r="BO30" s="211">
        <f t="shared" si="22"/>
        <v>0</v>
      </c>
      <c r="BP30" s="211">
        <f t="shared" si="22"/>
        <v>0</v>
      </c>
      <c r="BQ30" s="211">
        <f t="shared" si="22"/>
        <v>0</v>
      </c>
      <c r="BR30" s="211">
        <f t="shared" si="22"/>
        <v>0</v>
      </c>
      <c r="BS30" s="211">
        <f t="shared" si="22"/>
        <v>0</v>
      </c>
      <c r="BT30" s="211">
        <f t="shared" si="22"/>
        <v>0</v>
      </c>
      <c r="BU30" s="211">
        <f t="shared" si="22"/>
        <v>0</v>
      </c>
      <c r="BV30" s="211">
        <f t="shared" si="22"/>
        <v>0</v>
      </c>
      <c r="BW30" s="211">
        <f t="shared" si="22"/>
        <v>0</v>
      </c>
      <c r="BX30" s="211">
        <f t="shared" si="23"/>
        <v>0</v>
      </c>
      <c r="BY30" s="211">
        <f t="shared" si="23"/>
        <v>0</v>
      </c>
      <c r="BZ30" s="211">
        <f t="shared" si="23"/>
        <v>0</v>
      </c>
      <c r="CA30" s="211">
        <f t="shared" si="23"/>
        <v>0</v>
      </c>
      <c r="CB30" s="211">
        <f t="shared" si="23"/>
        <v>0</v>
      </c>
      <c r="CC30" s="211">
        <f t="shared" si="23"/>
        <v>0</v>
      </c>
      <c r="CD30" s="211">
        <f t="shared" si="23"/>
        <v>0</v>
      </c>
      <c r="CE30" s="211">
        <f t="shared" si="23"/>
        <v>0</v>
      </c>
      <c r="CF30" s="211">
        <f t="shared" si="23"/>
        <v>0</v>
      </c>
      <c r="CG30" s="211">
        <f t="shared" si="23"/>
        <v>0</v>
      </c>
      <c r="CH30" s="211">
        <f t="shared" si="24"/>
        <v>0</v>
      </c>
      <c r="CI30" s="211">
        <f t="shared" si="24"/>
        <v>0</v>
      </c>
      <c r="CJ30" s="211">
        <f t="shared" si="24"/>
        <v>0</v>
      </c>
      <c r="CK30" s="211">
        <f t="shared" si="24"/>
        <v>0</v>
      </c>
      <c r="CL30" s="211">
        <f t="shared" si="24"/>
        <v>0</v>
      </c>
      <c r="CM30" s="211">
        <f t="shared" si="24"/>
        <v>0</v>
      </c>
      <c r="CN30" s="211">
        <f t="shared" si="24"/>
        <v>0</v>
      </c>
      <c r="CO30" s="211">
        <f t="shared" si="24"/>
        <v>0</v>
      </c>
      <c r="CP30" s="211">
        <f t="shared" si="24"/>
        <v>0</v>
      </c>
      <c r="CQ30" s="211">
        <f t="shared" si="24"/>
        <v>0</v>
      </c>
      <c r="CR30" s="211">
        <f t="shared" si="25"/>
        <v>0</v>
      </c>
      <c r="CS30" s="211">
        <f t="shared" si="25"/>
        <v>0</v>
      </c>
      <c r="CT30" s="211">
        <f t="shared" si="25"/>
        <v>0</v>
      </c>
      <c r="CU30" s="211">
        <f t="shared" si="25"/>
        <v>0</v>
      </c>
      <c r="CV30" s="211">
        <f t="shared" si="25"/>
        <v>0</v>
      </c>
      <c r="CW30" s="211">
        <f t="shared" si="25"/>
        <v>0</v>
      </c>
      <c r="CX30" s="211">
        <f t="shared" si="25"/>
        <v>0</v>
      </c>
      <c r="CY30" s="211">
        <f t="shared" si="25"/>
        <v>0</v>
      </c>
      <c r="CZ30" s="211">
        <f t="shared" si="25"/>
        <v>0</v>
      </c>
      <c r="DA30" s="211">
        <f t="shared" si="25"/>
        <v>0</v>
      </c>
    </row>
    <row r="31" spans="1:105">
      <c r="A31" s="202" t="str">
        <f>Income!A78</f>
        <v>Labour - casual</v>
      </c>
      <c r="B31" s="204">
        <f>Income!B78</f>
        <v>7428.5714285714284</v>
      </c>
      <c r="C31" s="204">
        <f>Income!C78</f>
        <v>4959.9999999999991</v>
      </c>
      <c r="D31" s="204">
        <f>Income!D78</f>
        <v>0</v>
      </c>
      <c r="E31" s="204">
        <f>Income!E78</f>
        <v>0</v>
      </c>
      <c r="F31" s="211">
        <f t="shared" si="16"/>
        <v>7428.5714285714284</v>
      </c>
      <c r="G31" s="211">
        <f t="shared" si="16"/>
        <v>7428.5714285714284</v>
      </c>
      <c r="H31" s="211">
        <f t="shared" si="16"/>
        <v>7428.5714285714284</v>
      </c>
      <c r="I31" s="211">
        <f t="shared" si="16"/>
        <v>7428.5714285714284</v>
      </c>
      <c r="J31" s="211">
        <f t="shared" si="16"/>
        <v>7428.5714285714284</v>
      </c>
      <c r="K31" s="211">
        <f t="shared" si="16"/>
        <v>7428.5714285714284</v>
      </c>
      <c r="L31" s="211">
        <f t="shared" si="16"/>
        <v>7428.5714285714284</v>
      </c>
      <c r="M31" s="211">
        <f t="shared" si="16"/>
        <v>7428.5714285714284</v>
      </c>
      <c r="N31" s="211">
        <f t="shared" si="16"/>
        <v>7428.5714285714284</v>
      </c>
      <c r="O31" s="211">
        <f t="shared" si="16"/>
        <v>7428.5714285714284</v>
      </c>
      <c r="P31" s="211">
        <f t="shared" si="17"/>
        <v>7428.5714285714284</v>
      </c>
      <c r="Q31" s="211">
        <f t="shared" si="17"/>
        <v>7428.5714285714284</v>
      </c>
      <c r="R31" s="211">
        <f t="shared" si="17"/>
        <v>7428.5714285714284</v>
      </c>
      <c r="S31" s="211">
        <f t="shared" si="17"/>
        <v>7428.5714285714284</v>
      </c>
      <c r="T31" s="211">
        <f t="shared" si="17"/>
        <v>7428.5714285714284</v>
      </c>
      <c r="U31" s="211">
        <f t="shared" si="17"/>
        <v>7428.5714285714284</v>
      </c>
      <c r="V31" s="211">
        <f t="shared" si="17"/>
        <v>7428.5714285714284</v>
      </c>
      <c r="W31" s="211">
        <f t="shared" si="17"/>
        <v>7428.5714285714284</v>
      </c>
      <c r="X31" s="211">
        <f t="shared" si="17"/>
        <v>7428.5714285714284</v>
      </c>
      <c r="Y31" s="211">
        <f t="shared" si="17"/>
        <v>7428.5714285714284</v>
      </c>
      <c r="Z31" s="211">
        <f t="shared" si="18"/>
        <v>7428.5714285714284</v>
      </c>
      <c r="AA31" s="211">
        <f t="shared" si="18"/>
        <v>7428.5714285714284</v>
      </c>
      <c r="AB31" s="211">
        <f t="shared" si="18"/>
        <v>7428.5714285714284</v>
      </c>
      <c r="AC31" s="211">
        <f t="shared" si="18"/>
        <v>7428.5714285714284</v>
      </c>
      <c r="AD31" s="211">
        <f t="shared" si="18"/>
        <v>7428.5714285714284</v>
      </c>
      <c r="AE31" s="211">
        <f t="shared" si="18"/>
        <v>7428.5714285714284</v>
      </c>
      <c r="AF31" s="211">
        <f t="shared" si="18"/>
        <v>7362.7428571428572</v>
      </c>
      <c r="AG31" s="211">
        <f t="shared" si="18"/>
        <v>7296.9142857142851</v>
      </c>
      <c r="AH31" s="211">
        <f t="shared" si="18"/>
        <v>7231.0857142857139</v>
      </c>
      <c r="AI31" s="211">
        <f t="shared" si="18"/>
        <v>7165.2571428571428</v>
      </c>
      <c r="AJ31" s="211">
        <f t="shared" si="19"/>
        <v>7099.4285714285716</v>
      </c>
      <c r="AK31" s="211">
        <f t="shared" si="19"/>
        <v>7033.5999999999995</v>
      </c>
      <c r="AL31" s="211">
        <f t="shared" si="19"/>
        <v>6967.7714285714283</v>
      </c>
      <c r="AM31" s="211">
        <f t="shared" si="19"/>
        <v>6901.9428571428571</v>
      </c>
      <c r="AN31" s="211">
        <f t="shared" si="19"/>
        <v>6836.1142857142859</v>
      </c>
      <c r="AO31" s="211">
        <f t="shared" si="19"/>
        <v>6770.2857142857138</v>
      </c>
      <c r="AP31" s="211">
        <f t="shared" si="19"/>
        <v>6704.4571428571426</v>
      </c>
      <c r="AQ31" s="211">
        <f t="shared" si="19"/>
        <v>6638.6285714285714</v>
      </c>
      <c r="AR31" s="211">
        <f t="shared" si="19"/>
        <v>6572.7999999999993</v>
      </c>
      <c r="AS31" s="211">
        <f t="shared" si="19"/>
        <v>6506.9714285714281</v>
      </c>
      <c r="AT31" s="211">
        <f t="shared" si="20"/>
        <v>6441.1428571428569</v>
      </c>
      <c r="AU31" s="211">
        <f t="shared" si="20"/>
        <v>6375.3142857142848</v>
      </c>
      <c r="AV31" s="211">
        <f t="shared" si="20"/>
        <v>6309.4857142857136</v>
      </c>
      <c r="AW31" s="211">
        <f t="shared" si="20"/>
        <v>6243.6571428571424</v>
      </c>
      <c r="AX31" s="211">
        <f t="shared" si="20"/>
        <v>6177.8285714285712</v>
      </c>
      <c r="AY31" s="211">
        <f t="shared" si="20"/>
        <v>6112</v>
      </c>
      <c r="AZ31" s="211">
        <f t="shared" si="20"/>
        <v>6046.1714285714279</v>
      </c>
      <c r="BA31" s="211">
        <f t="shared" si="20"/>
        <v>5980.3428571428567</v>
      </c>
      <c r="BB31" s="211">
        <f t="shared" si="20"/>
        <v>5914.5142857142855</v>
      </c>
      <c r="BC31" s="211">
        <f t="shared" si="20"/>
        <v>5848.6857142857134</v>
      </c>
      <c r="BD31" s="211">
        <f t="shared" si="21"/>
        <v>5782.8571428571422</v>
      </c>
      <c r="BE31" s="211">
        <f t="shared" si="21"/>
        <v>5717.028571428571</v>
      </c>
      <c r="BF31" s="211">
        <f t="shared" si="21"/>
        <v>5651.1999999999989</v>
      </c>
      <c r="BG31" s="211">
        <f t="shared" si="21"/>
        <v>5585.3714285714277</v>
      </c>
      <c r="BH31" s="211">
        <f t="shared" si="21"/>
        <v>5519.5428571428565</v>
      </c>
      <c r="BI31" s="211">
        <f t="shared" si="21"/>
        <v>5453.7142857142844</v>
      </c>
      <c r="BJ31" s="211">
        <f t="shared" si="21"/>
        <v>5387.8857142857141</v>
      </c>
      <c r="BK31" s="211">
        <f t="shared" si="21"/>
        <v>5322.057142857142</v>
      </c>
      <c r="BL31" s="211">
        <f t="shared" si="21"/>
        <v>5256.2285714285699</v>
      </c>
      <c r="BM31" s="211">
        <f t="shared" si="21"/>
        <v>5190.3999999999996</v>
      </c>
      <c r="BN31" s="211">
        <f t="shared" si="22"/>
        <v>5124.5714285714275</v>
      </c>
      <c r="BO31" s="211">
        <f t="shared" si="22"/>
        <v>5058.7428571428563</v>
      </c>
      <c r="BP31" s="211">
        <f t="shared" si="22"/>
        <v>4992.9142857142851</v>
      </c>
      <c r="BQ31" s="211">
        <f t="shared" si="22"/>
        <v>4835.9999999999991</v>
      </c>
      <c r="BR31" s="211">
        <f t="shared" si="22"/>
        <v>4587.9999999999991</v>
      </c>
      <c r="BS31" s="211">
        <f t="shared" si="22"/>
        <v>4339.9999999999991</v>
      </c>
      <c r="BT31" s="211">
        <f t="shared" si="22"/>
        <v>4091.9999999999991</v>
      </c>
      <c r="BU31" s="211">
        <f t="shared" si="22"/>
        <v>3843.9999999999991</v>
      </c>
      <c r="BV31" s="211">
        <f t="shared" si="22"/>
        <v>3595.9999999999991</v>
      </c>
      <c r="BW31" s="211">
        <f t="shared" si="22"/>
        <v>3347.9999999999995</v>
      </c>
      <c r="BX31" s="211">
        <f t="shared" si="23"/>
        <v>3099.9999999999995</v>
      </c>
      <c r="BY31" s="211">
        <f t="shared" si="23"/>
        <v>2851.9999999999995</v>
      </c>
      <c r="BZ31" s="211">
        <f t="shared" si="23"/>
        <v>2603.9999999999995</v>
      </c>
      <c r="CA31" s="211">
        <f t="shared" si="23"/>
        <v>2355.9999999999995</v>
      </c>
      <c r="CB31" s="211">
        <f t="shared" si="23"/>
        <v>2107.9999999999995</v>
      </c>
      <c r="CC31" s="211">
        <f t="shared" si="23"/>
        <v>1860</v>
      </c>
      <c r="CD31" s="211">
        <f t="shared" si="23"/>
        <v>1612</v>
      </c>
      <c r="CE31" s="211">
        <f t="shared" si="23"/>
        <v>1364</v>
      </c>
      <c r="CF31" s="211">
        <f t="shared" si="23"/>
        <v>1116</v>
      </c>
      <c r="CG31" s="211">
        <f t="shared" si="23"/>
        <v>868</v>
      </c>
      <c r="CH31" s="211">
        <f t="shared" si="24"/>
        <v>620</v>
      </c>
      <c r="CI31" s="211">
        <f t="shared" si="24"/>
        <v>372</v>
      </c>
      <c r="CJ31" s="211">
        <f t="shared" si="24"/>
        <v>124</v>
      </c>
      <c r="CK31" s="211">
        <f t="shared" si="24"/>
        <v>0</v>
      </c>
      <c r="CL31" s="211">
        <f t="shared" si="24"/>
        <v>0</v>
      </c>
      <c r="CM31" s="211">
        <f t="shared" si="24"/>
        <v>0</v>
      </c>
      <c r="CN31" s="211">
        <f t="shared" si="24"/>
        <v>0</v>
      </c>
      <c r="CO31" s="211">
        <f t="shared" si="24"/>
        <v>0</v>
      </c>
      <c r="CP31" s="211">
        <f t="shared" si="24"/>
        <v>0</v>
      </c>
      <c r="CQ31" s="211">
        <f t="shared" si="24"/>
        <v>0</v>
      </c>
      <c r="CR31" s="211">
        <f t="shared" si="25"/>
        <v>0</v>
      </c>
      <c r="CS31" s="211">
        <f t="shared" si="25"/>
        <v>0</v>
      </c>
      <c r="CT31" s="211">
        <f t="shared" si="25"/>
        <v>0</v>
      </c>
      <c r="CU31" s="211">
        <f t="shared" si="25"/>
        <v>0</v>
      </c>
      <c r="CV31" s="211">
        <f t="shared" si="25"/>
        <v>0</v>
      </c>
      <c r="CW31" s="211">
        <f t="shared" si="25"/>
        <v>0</v>
      </c>
      <c r="CX31" s="211">
        <f t="shared" si="25"/>
        <v>0</v>
      </c>
      <c r="CY31" s="211">
        <f t="shared" si="25"/>
        <v>0</v>
      </c>
      <c r="CZ31" s="211">
        <f t="shared" si="25"/>
        <v>0</v>
      </c>
      <c r="DA31" s="211">
        <f t="shared" si="25"/>
        <v>0</v>
      </c>
    </row>
    <row r="32" spans="1:105">
      <c r="A32" s="202" t="str">
        <f>Income!A79</f>
        <v>Labour - formal emp</v>
      </c>
      <c r="B32" s="204">
        <f>Income!B79</f>
        <v>0</v>
      </c>
      <c r="C32" s="204">
        <f>Income!C79</f>
        <v>0</v>
      </c>
      <c r="D32" s="204">
        <f>Income!D79</f>
        <v>21942.857142857141</v>
      </c>
      <c r="E32" s="204">
        <f>Income!E79</f>
        <v>75600</v>
      </c>
      <c r="F32" s="211">
        <f t="shared" si="16"/>
        <v>0</v>
      </c>
      <c r="G32" s="211">
        <f t="shared" si="16"/>
        <v>0</v>
      </c>
      <c r="H32" s="211">
        <f t="shared" si="16"/>
        <v>0</v>
      </c>
      <c r="I32" s="211">
        <f t="shared" si="16"/>
        <v>0</v>
      </c>
      <c r="J32" s="211">
        <f t="shared" si="16"/>
        <v>0</v>
      </c>
      <c r="K32" s="211">
        <f t="shared" si="16"/>
        <v>0</v>
      </c>
      <c r="L32" s="211">
        <f t="shared" si="16"/>
        <v>0</v>
      </c>
      <c r="M32" s="211">
        <f t="shared" si="16"/>
        <v>0</v>
      </c>
      <c r="N32" s="211">
        <f t="shared" si="16"/>
        <v>0</v>
      </c>
      <c r="O32" s="211">
        <f t="shared" si="16"/>
        <v>0</v>
      </c>
      <c r="P32" s="211">
        <f t="shared" si="17"/>
        <v>0</v>
      </c>
      <c r="Q32" s="211">
        <f t="shared" si="17"/>
        <v>0</v>
      </c>
      <c r="R32" s="211">
        <f t="shared" si="17"/>
        <v>0</v>
      </c>
      <c r="S32" s="211">
        <f t="shared" si="17"/>
        <v>0</v>
      </c>
      <c r="T32" s="211">
        <f t="shared" si="17"/>
        <v>0</v>
      </c>
      <c r="U32" s="211">
        <f t="shared" si="17"/>
        <v>0</v>
      </c>
      <c r="V32" s="211">
        <f t="shared" si="17"/>
        <v>0</v>
      </c>
      <c r="W32" s="211">
        <f t="shared" si="17"/>
        <v>0</v>
      </c>
      <c r="X32" s="211">
        <f t="shared" si="17"/>
        <v>0</v>
      </c>
      <c r="Y32" s="211">
        <f t="shared" si="17"/>
        <v>0</v>
      </c>
      <c r="Z32" s="211">
        <f t="shared" si="18"/>
        <v>0</v>
      </c>
      <c r="AA32" s="211">
        <f t="shared" si="18"/>
        <v>0</v>
      </c>
      <c r="AB32" s="211">
        <f t="shared" si="18"/>
        <v>0</v>
      </c>
      <c r="AC32" s="211">
        <f t="shared" si="18"/>
        <v>0</v>
      </c>
      <c r="AD32" s="211">
        <f t="shared" si="18"/>
        <v>0</v>
      </c>
      <c r="AE32" s="211">
        <f t="shared" si="18"/>
        <v>0</v>
      </c>
      <c r="AF32" s="211">
        <f t="shared" si="18"/>
        <v>0</v>
      </c>
      <c r="AG32" s="211">
        <f t="shared" si="18"/>
        <v>0</v>
      </c>
      <c r="AH32" s="211">
        <f t="shared" si="18"/>
        <v>0</v>
      </c>
      <c r="AI32" s="211">
        <f t="shared" si="18"/>
        <v>0</v>
      </c>
      <c r="AJ32" s="211">
        <f t="shared" si="19"/>
        <v>0</v>
      </c>
      <c r="AK32" s="211">
        <f t="shared" si="19"/>
        <v>0</v>
      </c>
      <c r="AL32" s="211">
        <f t="shared" si="19"/>
        <v>0</v>
      </c>
      <c r="AM32" s="211">
        <f t="shared" si="19"/>
        <v>0</v>
      </c>
      <c r="AN32" s="211">
        <f t="shared" si="19"/>
        <v>0</v>
      </c>
      <c r="AO32" s="211">
        <f t="shared" si="19"/>
        <v>0</v>
      </c>
      <c r="AP32" s="211">
        <f t="shared" si="19"/>
        <v>0</v>
      </c>
      <c r="AQ32" s="211">
        <f t="shared" si="19"/>
        <v>0</v>
      </c>
      <c r="AR32" s="211">
        <f t="shared" si="19"/>
        <v>0</v>
      </c>
      <c r="AS32" s="211">
        <f t="shared" si="19"/>
        <v>0</v>
      </c>
      <c r="AT32" s="211">
        <f t="shared" si="20"/>
        <v>0</v>
      </c>
      <c r="AU32" s="211">
        <f t="shared" si="20"/>
        <v>0</v>
      </c>
      <c r="AV32" s="211">
        <f t="shared" si="20"/>
        <v>0</v>
      </c>
      <c r="AW32" s="211">
        <f t="shared" si="20"/>
        <v>0</v>
      </c>
      <c r="AX32" s="211">
        <f t="shared" si="20"/>
        <v>0</v>
      </c>
      <c r="AY32" s="211">
        <f t="shared" si="20"/>
        <v>0</v>
      </c>
      <c r="AZ32" s="211">
        <f t="shared" si="20"/>
        <v>0</v>
      </c>
      <c r="BA32" s="211">
        <f t="shared" si="20"/>
        <v>0</v>
      </c>
      <c r="BB32" s="211">
        <f t="shared" si="20"/>
        <v>0</v>
      </c>
      <c r="BC32" s="211">
        <f t="shared" si="20"/>
        <v>0</v>
      </c>
      <c r="BD32" s="211">
        <f t="shared" si="21"/>
        <v>0</v>
      </c>
      <c r="BE32" s="211">
        <f t="shared" si="21"/>
        <v>0</v>
      </c>
      <c r="BF32" s="211">
        <f t="shared" si="21"/>
        <v>0</v>
      </c>
      <c r="BG32" s="211">
        <f t="shared" si="21"/>
        <v>0</v>
      </c>
      <c r="BH32" s="211">
        <f t="shared" si="21"/>
        <v>0</v>
      </c>
      <c r="BI32" s="211">
        <f t="shared" si="21"/>
        <v>0</v>
      </c>
      <c r="BJ32" s="211">
        <f t="shared" si="21"/>
        <v>0</v>
      </c>
      <c r="BK32" s="211">
        <f t="shared" si="21"/>
        <v>0</v>
      </c>
      <c r="BL32" s="211">
        <f t="shared" si="21"/>
        <v>0</v>
      </c>
      <c r="BM32" s="211">
        <f t="shared" si="21"/>
        <v>0</v>
      </c>
      <c r="BN32" s="211">
        <f t="shared" si="22"/>
        <v>0</v>
      </c>
      <c r="BO32" s="211">
        <f t="shared" si="22"/>
        <v>0</v>
      </c>
      <c r="BP32" s="211">
        <f t="shared" si="22"/>
        <v>0</v>
      </c>
      <c r="BQ32" s="211">
        <f t="shared" si="22"/>
        <v>548.57142857142856</v>
      </c>
      <c r="BR32" s="211">
        <f t="shared" si="22"/>
        <v>1645.7142857142856</v>
      </c>
      <c r="BS32" s="211">
        <f t="shared" si="22"/>
        <v>2742.8571428571427</v>
      </c>
      <c r="BT32" s="211">
        <f t="shared" si="22"/>
        <v>3840</v>
      </c>
      <c r="BU32" s="211">
        <f t="shared" si="22"/>
        <v>4937.1428571428569</v>
      </c>
      <c r="BV32" s="211">
        <f t="shared" si="22"/>
        <v>6034.2857142857138</v>
      </c>
      <c r="BW32" s="211">
        <f t="shared" si="22"/>
        <v>7131.4285714285706</v>
      </c>
      <c r="BX32" s="211">
        <f t="shared" si="23"/>
        <v>8228.5714285714275</v>
      </c>
      <c r="BY32" s="211">
        <f t="shared" si="23"/>
        <v>9325.7142857142862</v>
      </c>
      <c r="BZ32" s="211">
        <f t="shared" si="23"/>
        <v>10422.857142857141</v>
      </c>
      <c r="CA32" s="211">
        <f t="shared" si="23"/>
        <v>11519.999999999998</v>
      </c>
      <c r="CB32" s="211">
        <f t="shared" si="23"/>
        <v>12617.142857142857</v>
      </c>
      <c r="CC32" s="211">
        <f t="shared" si="23"/>
        <v>13714.285714285714</v>
      </c>
      <c r="CD32" s="211">
        <f t="shared" si="23"/>
        <v>14811.428571428571</v>
      </c>
      <c r="CE32" s="211">
        <f t="shared" si="23"/>
        <v>15908.571428571426</v>
      </c>
      <c r="CF32" s="211">
        <f t="shared" si="23"/>
        <v>17005.714285714283</v>
      </c>
      <c r="CG32" s="211">
        <f t="shared" si="23"/>
        <v>18102.857142857141</v>
      </c>
      <c r="CH32" s="211">
        <f t="shared" si="24"/>
        <v>19200</v>
      </c>
      <c r="CI32" s="211">
        <f t="shared" si="24"/>
        <v>20297.142857142855</v>
      </c>
      <c r="CJ32" s="211">
        <f t="shared" si="24"/>
        <v>21394.285714285714</v>
      </c>
      <c r="CK32" s="211">
        <f t="shared" si="24"/>
        <v>24089.142857142855</v>
      </c>
      <c r="CL32" s="211">
        <f t="shared" si="24"/>
        <v>28381.714285714283</v>
      </c>
      <c r="CM32" s="211">
        <f t="shared" si="24"/>
        <v>32674.28571428571</v>
      </c>
      <c r="CN32" s="211">
        <f t="shared" si="24"/>
        <v>36966.857142857145</v>
      </c>
      <c r="CO32" s="211">
        <f t="shared" si="24"/>
        <v>41259.428571428565</v>
      </c>
      <c r="CP32" s="211">
        <f t="shared" si="24"/>
        <v>45552</v>
      </c>
      <c r="CQ32" s="211">
        <f t="shared" si="24"/>
        <v>49844.571428571428</v>
      </c>
      <c r="CR32" s="211">
        <f t="shared" si="25"/>
        <v>54137.142857142855</v>
      </c>
      <c r="CS32" s="211">
        <f t="shared" si="25"/>
        <v>58429.714285714275</v>
      </c>
      <c r="CT32" s="211">
        <f t="shared" si="25"/>
        <v>62722.28571428571</v>
      </c>
      <c r="CU32" s="211">
        <f t="shared" si="25"/>
        <v>67014.857142857145</v>
      </c>
      <c r="CV32" s="211">
        <f t="shared" si="25"/>
        <v>71307.428571428565</v>
      </c>
      <c r="CW32" s="211">
        <f t="shared" si="25"/>
        <v>75600</v>
      </c>
      <c r="CX32" s="211">
        <f t="shared" si="25"/>
        <v>75600</v>
      </c>
      <c r="CY32" s="211">
        <f t="shared" si="25"/>
        <v>75600</v>
      </c>
      <c r="CZ32" s="211">
        <f t="shared" si="25"/>
        <v>75600</v>
      </c>
      <c r="DA32" s="211">
        <f t="shared" si="25"/>
        <v>75600</v>
      </c>
    </row>
    <row r="33" spans="1:105">
      <c r="A33" s="202" t="str">
        <f>Income!A81</f>
        <v>Self - employment</v>
      </c>
      <c r="B33" s="204">
        <f>Income!B81</f>
        <v>0</v>
      </c>
      <c r="C33" s="204">
        <f>Income!C81</f>
        <v>0</v>
      </c>
      <c r="D33" s="204">
        <f>Income!D81</f>
        <v>0</v>
      </c>
      <c r="E33" s="204">
        <f>Income!E81</f>
        <v>0</v>
      </c>
      <c r="F33" s="211">
        <f t="shared" si="16"/>
        <v>0</v>
      </c>
      <c r="G33" s="211">
        <f t="shared" si="16"/>
        <v>0</v>
      </c>
      <c r="H33" s="211">
        <f t="shared" si="16"/>
        <v>0</v>
      </c>
      <c r="I33" s="211">
        <f t="shared" si="16"/>
        <v>0</v>
      </c>
      <c r="J33" s="211">
        <f t="shared" si="16"/>
        <v>0</v>
      </c>
      <c r="K33" s="211">
        <f t="shared" si="16"/>
        <v>0</v>
      </c>
      <c r="L33" s="211">
        <f t="shared" si="16"/>
        <v>0</v>
      </c>
      <c r="M33" s="211">
        <f t="shared" si="16"/>
        <v>0</v>
      </c>
      <c r="N33" s="211">
        <f t="shared" si="16"/>
        <v>0</v>
      </c>
      <c r="O33" s="211">
        <f t="shared" si="16"/>
        <v>0</v>
      </c>
      <c r="P33" s="211">
        <f t="shared" si="17"/>
        <v>0</v>
      </c>
      <c r="Q33" s="211">
        <f t="shared" si="17"/>
        <v>0</v>
      </c>
      <c r="R33" s="211">
        <f t="shared" si="17"/>
        <v>0</v>
      </c>
      <c r="S33" s="211">
        <f t="shared" si="17"/>
        <v>0</v>
      </c>
      <c r="T33" s="211">
        <f t="shared" si="17"/>
        <v>0</v>
      </c>
      <c r="U33" s="211">
        <f t="shared" si="17"/>
        <v>0</v>
      </c>
      <c r="V33" s="211">
        <f t="shared" si="17"/>
        <v>0</v>
      </c>
      <c r="W33" s="211">
        <f t="shared" si="17"/>
        <v>0</v>
      </c>
      <c r="X33" s="211">
        <f t="shared" si="17"/>
        <v>0</v>
      </c>
      <c r="Y33" s="211">
        <f t="shared" si="17"/>
        <v>0</v>
      </c>
      <c r="Z33" s="211">
        <f t="shared" si="18"/>
        <v>0</v>
      </c>
      <c r="AA33" s="211">
        <f t="shared" si="18"/>
        <v>0</v>
      </c>
      <c r="AB33" s="211">
        <f t="shared" si="18"/>
        <v>0</v>
      </c>
      <c r="AC33" s="211">
        <f t="shared" si="18"/>
        <v>0</v>
      </c>
      <c r="AD33" s="211">
        <f t="shared" si="18"/>
        <v>0</v>
      </c>
      <c r="AE33" s="211">
        <f t="shared" si="18"/>
        <v>0</v>
      </c>
      <c r="AF33" s="211">
        <f t="shared" si="18"/>
        <v>0</v>
      </c>
      <c r="AG33" s="211">
        <f t="shared" si="18"/>
        <v>0</v>
      </c>
      <c r="AH33" s="211">
        <f t="shared" si="18"/>
        <v>0</v>
      </c>
      <c r="AI33" s="211">
        <f t="shared" si="18"/>
        <v>0</v>
      </c>
      <c r="AJ33" s="211">
        <f t="shared" si="19"/>
        <v>0</v>
      </c>
      <c r="AK33" s="211">
        <f t="shared" si="19"/>
        <v>0</v>
      </c>
      <c r="AL33" s="211">
        <f t="shared" si="19"/>
        <v>0</v>
      </c>
      <c r="AM33" s="211">
        <f t="shared" si="19"/>
        <v>0</v>
      </c>
      <c r="AN33" s="211">
        <f t="shared" si="19"/>
        <v>0</v>
      </c>
      <c r="AO33" s="211">
        <f t="shared" si="19"/>
        <v>0</v>
      </c>
      <c r="AP33" s="211">
        <f t="shared" si="19"/>
        <v>0</v>
      </c>
      <c r="AQ33" s="211">
        <f t="shared" si="19"/>
        <v>0</v>
      </c>
      <c r="AR33" s="211">
        <f t="shared" si="19"/>
        <v>0</v>
      </c>
      <c r="AS33" s="211">
        <f t="shared" si="19"/>
        <v>0</v>
      </c>
      <c r="AT33" s="211">
        <f t="shared" si="20"/>
        <v>0</v>
      </c>
      <c r="AU33" s="211">
        <f t="shared" si="20"/>
        <v>0</v>
      </c>
      <c r="AV33" s="211">
        <f t="shared" si="20"/>
        <v>0</v>
      </c>
      <c r="AW33" s="211">
        <f t="shared" si="20"/>
        <v>0</v>
      </c>
      <c r="AX33" s="211">
        <f t="shared" si="20"/>
        <v>0</v>
      </c>
      <c r="AY33" s="211">
        <f t="shared" si="20"/>
        <v>0</v>
      </c>
      <c r="AZ33" s="211">
        <f t="shared" si="20"/>
        <v>0</v>
      </c>
      <c r="BA33" s="211">
        <f t="shared" si="20"/>
        <v>0</v>
      </c>
      <c r="BB33" s="211">
        <f t="shared" si="20"/>
        <v>0</v>
      </c>
      <c r="BC33" s="211">
        <f t="shared" si="20"/>
        <v>0</v>
      </c>
      <c r="BD33" s="211">
        <f t="shared" si="21"/>
        <v>0</v>
      </c>
      <c r="BE33" s="211">
        <f t="shared" si="21"/>
        <v>0</v>
      </c>
      <c r="BF33" s="211">
        <f t="shared" si="21"/>
        <v>0</v>
      </c>
      <c r="BG33" s="211">
        <f t="shared" si="21"/>
        <v>0</v>
      </c>
      <c r="BH33" s="211">
        <f t="shared" si="21"/>
        <v>0</v>
      </c>
      <c r="BI33" s="211">
        <f t="shared" si="21"/>
        <v>0</v>
      </c>
      <c r="BJ33" s="211">
        <f t="shared" si="21"/>
        <v>0</v>
      </c>
      <c r="BK33" s="211">
        <f t="shared" si="21"/>
        <v>0</v>
      </c>
      <c r="BL33" s="211">
        <f t="shared" si="21"/>
        <v>0</v>
      </c>
      <c r="BM33" s="211">
        <f t="shared" si="21"/>
        <v>0</v>
      </c>
      <c r="BN33" s="211">
        <f t="shared" si="22"/>
        <v>0</v>
      </c>
      <c r="BO33" s="211">
        <f t="shared" si="22"/>
        <v>0</v>
      </c>
      <c r="BP33" s="211">
        <f t="shared" si="22"/>
        <v>0</v>
      </c>
      <c r="BQ33" s="211">
        <f t="shared" si="22"/>
        <v>0</v>
      </c>
      <c r="BR33" s="211">
        <f t="shared" si="22"/>
        <v>0</v>
      </c>
      <c r="BS33" s="211">
        <f t="shared" si="22"/>
        <v>0</v>
      </c>
      <c r="BT33" s="211">
        <f t="shared" si="22"/>
        <v>0</v>
      </c>
      <c r="BU33" s="211">
        <f t="shared" si="22"/>
        <v>0</v>
      </c>
      <c r="BV33" s="211">
        <f t="shared" si="22"/>
        <v>0</v>
      </c>
      <c r="BW33" s="211">
        <f t="shared" si="22"/>
        <v>0</v>
      </c>
      <c r="BX33" s="211">
        <f t="shared" si="23"/>
        <v>0</v>
      </c>
      <c r="BY33" s="211">
        <f t="shared" si="23"/>
        <v>0</v>
      </c>
      <c r="BZ33" s="211">
        <f t="shared" si="23"/>
        <v>0</v>
      </c>
      <c r="CA33" s="211">
        <f t="shared" si="23"/>
        <v>0</v>
      </c>
      <c r="CB33" s="211">
        <f t="shared" si="23"/>
        <v>0</v>
      </c>
      <c r="CC33" s="211">
        <f t="shared" si="23"/>
        <v>0</v>
      </c>
      <c r="CD33" s="211">
        <f t="shared" si="23"/>
        <v>0</v>
      </c>
      <c r="CE33" s="211">
        <f t="shared" si="23"/>
        <v>0</v>
      </c>
      <c r="CF33" s="211">
        <f t="shared" si="23"/>
        <v>0</v>
      </c>
      <c r="CG33" s="211">
        <f t="shared" si="23"/>
        <v>0</v>
      </c>
      <c r="CH33" s="211">
        <f t="shared" si="24"/>
        <v>0</v>
      </c>
      <c r="CI33" s="211">
        <f t="shared" si="24"/>
        <v>0</v>
      </c>
      <c r="CJ33" s="211">
        <f t="shared" si="24"/>
        <v>0</v>
      </c>
      <c r="CK33" s="211">
        <f t="shared" si="24"/>
        <v>0</v>
      </c>
      <c r="CL33" s="211">
        <f t="shared" si="24"/>
        <v>0</v>
      </c>
      <c r="CM33" s="211">
        <f t="shared" si="24"/>
        <v>0</v>
      </c>
      <c r="CN33" s="211">
        <f t="shared" si="24"/>
        <v>0</v>
      </c>
      <c r="CO33" s="211">
        <f t="shared" si="24"/>
        <v>0</v>
      </c>
      <c r="CP33" s="211">
        <f t="shared" si="24"/>
        <v>0</v>
      </c>
      <c r="CQ33" s="211">
        <f t="shared" si="24"/>
        <v>0</v>
      </c>
      <c r="CR33" s="211">
        <f t="shared" si="25"/>
        <v>0</v>
      </c>
      <c r="CS33" s="211">
        <f t="shared" si="25"/>
        <v>0</v>
      </c>
      <c r="CT33" s="211">
        <f t="shared" si="25"/>
        <v>0</v>
      </c>
      <c r="CU33" s="211">
        <f t="shared" si="25"/>
        <v>0</v>
      </c>
      <c r="CV33" s="211">
        <f t="shared" si="25"/>
        <v>0</v>
      </c>
      <c r="CW33" s="211">
        <f t="shared" si="25"/>
        <v>0</v>
      </c>
      <c r="CX33" s="211">
        <f t="shared" si="25"/>
        <v>0</v>
      </c>
      <c r="CY33" s="211">
        <f t="shared" si="25"/>
        <v>0</v>
      </c>
      <c r="CZ33" s="211">
        <f t="shared" si="25"/>
        <v>0</v>
      </c>
      <c r="DA33" s="211">
        <f t="shared" si="25"/>
        <v>0</v>
      </c>
    </row>
    <row r="34" spans="1:105">
      <c r="A34" s="202" t="str">
        <f>Income!A82</f>
        <v>Small business/petty trading</v>
      </c>
      <c r="B34" s="204">
        <f>Income!B82</f>
        <v>0</v>
      </c>
      <c r="C34" s="204">
        <f>Income!C82</f>
        <v>0</v>
      </c>
      <c r="D34" s="204">
        <f>Income!D82</f>
        <v>0</v>
      </c>
      <c r="E34" s="204">
        <f>Income!E82</f>
        <v>62700</v>
      </c>
      <c r="F34" s="211">
        <f t="shared" si="16"/>
        <v>0</v>
      </c>
      <c r="G34" s="211">
        <f t="shared" si="16"/>
        <v>0</v>
      </c>
      <c r="H34" s="211">
        <f t="shared" si="16"/>
        <v>0</v>
      </c>
      <c r="I34" s="211">
        <f t="shared" si="16"/>
        <v>0</v>
      </c>
      <c r="J34" s="211">
        <f t="shared" si="16"/>
        <v>0</v>
      </c>
      <c r="K34" s="211">
        <f t="shared" si="16"/>
        <v>0</v>
      </c>
      <c r="L34" s="211">
        <f t="shared" si="16"/>
        <v>0</v>
      </c>
      <c r="M34" s="211">
        <f t="shared" si="16"/>
        <v>0</v>
      </c>
      <c r="N34" s="211">
        <f t="shared" si="16"/>
        <v>0</v>
      </c>
      <c r="O34" s="211">
        <f t="shared" si="16"/>
        <v>0</v>
      </c>
      <c r="P34" s="211">
        <f t="shared" si="17"/>
        <v>0</v>
      </c>
      <c r="Q34" s="211">
        <f t="shared" si="17"/>
        <v>0</v>
      </c>
      <c r="R34" s="211">
        <f t="shared" si="17"/>
        <v>0</v>
      </c>
      <c r="S34" s="211">
        <f t="shared" si="17"/>
        <v>0</v>
      </c>
      <c r="T34" s="211">
        <f t="shared" si="17"/>
        <v>0</v>
      </c>
      <c r="U34" s="211">
        <f t="shared" si="17"/>
        <v>0</v>
      </c>
      <c r="V34" s="211">
        <f t="shared" si="17"/>
        <v>0</v>
      </c>
      <c r="W34" s="211">
        <f t="shared" si="17"/>
        <v>0</v>
      </c>
      <c r="X34" s="211">
        <f t="shared" si="17"/>
        <v>0</v>
      </c>
      <c r="Y34" s="211">
        <f t="shared" si="17"/>
        <v>0</v>
      </c>
      <c r="Z34" s="211">
        <f t="shared" si="18"/>
        <v>0</v>
      </c>
      <c r="AA34" s="211">
        <f t="shared" si="18"/>
        <v>0</v>
      </c>
      <c r="AB34" s="211">
        <f t="shared" si="18"/>
        <v>0</v>
      </c>
      <c r="AC34" s="211">
        <f t="shared" si="18"/>
        <v>0</v>
      </c>
      <c r="AD34" s="211">
        <f t="shared" si="18"/>
        <v>0</v>
      </c>
      <c r="AE34" s="211">
        <f t="shared" si="18"/>
        <v>0</v>
      </c>
      <c r="AF34" s="211">
        <f t="shared" si="18"/>
        <v>0</v>
      </c>
      <c r="AG34" s="211">
        <f t="shared" si="18"/>
        <v>0</v>
      </c>
      <c r="AH34" s="211">
        <f t="shared" si="18"/>
        <v>0</v>
      </c>
      <c r="AI34" s="211">
        <f t="shared" si="18"/>
        <v>0</v>
      </c>
      <c r="AJ34" s="211">
        <f t="shared" si="19"/>
        <v>0</v>
      </c>
      <c r="AK34" s="211">
        <f t="shared" si="19"/>
        <v>0</v>
      </c>
      <c r="AL34" s="211">
        <f t="shared" si="19"/>
        <v>0</v>
      </c>
      <c r="AM34" s="211">
        <f t="shared" si="19"/>
        <v>0</v>
      </c>
      <c r="AN34" s="211">
        <f t="shared" si="19"/>
        <v>0</v>
      </c>
      <c r="AO34" s="211">
        <f t="shared" si="19"/>
        <v>0</v>
      </c>
      <c r="AP34" s="211">
        <f t="shared" si="19"/>
        <v>0</v>
      </c>
      <c r="AQ34" s="211">
        <f t="shared" si="19"/>
        <v>0</v>
      </c>
      <c r="AR34" s="211">
        <f t="shared" si="19"/>
        <v>0</v>
      </c>
      <c r="AS34" s="211">
        <f t="shared" si="19"/>
        <v>0</v>
      </c>
      <c r="AT34" s="211">
        <f t="shared" si="20"/>
        <v>0</v>
      </c>
      <c r="AU34" s="211">
        <f t="shared" si="20"/>
        <v>0</v>
      </c>
      <c r="AV34" s="211">
        <f t="shared" si="20"/>
        <v>0</v>
      </c>
      <c r="AW34" s="211">
        <f t="shared" si="20"/>
        <v>0</v>
      </c>
      <c r="AX34" s="211">
        <f t="shared" si="20"/>
        <v>0</v>
      </c>
      <c r="AY34" s="211">
        <f t="shared" si="20"/>
        <v>0</v>
      </c>
      <c r="AZ34" s="211">
        <f t="shared" si="20"/>
        <v>0</v>
      </c>
      <c r="BA34" s="211">
        <f t="shared" si="20"/>
        <v>0</v>
      </c>
      <c r="BB34" s="211">
        <f t="shared" si="20"/>
        <v>0</v>
      </c>
      <c r="BC34" s="211">
        <f t="shared" si="20"/>
        <v>0</v>
      </c>
      <c r="BD34" s="211">
        <f t="shared" si="21"/>
        <v>0</v>
      </c>
      <c r="BE34" s="211">
        <f t="shared" si="21"/>
        <v>0</v>
      </c>
      <c r="BF34" s="211">
        <f t="shared" si="21"/>
        <v>0</v>
      </c>
      <c r="BG34" s="211">
        <f t="shared" si="21"/>
        <v>0</v>
      </c>
      <c r="BH34" s="211">
        <f t="shared" si="21"/>
        <v>0</v>
      </c>
      <c r="BI34" s="211">
        <f t="shared" si="21"/>
        <v>0</v>
      </c>
      <c r="BJ34" s="211">
        <f t="shared" si="21"/>
        <v>0</v>
      </c>
      <c r="BK34" s="211">
        <f t="shared" si="21"/>
        <v>0</v>
      </c>
      <c r="BL34" s="211">
        <f t="shared" si="21"/>
        <v>0</v>
      </c>
      <c r="BM34" s="211">
        <f t="shared" si="21"/>
        <v>0</v>
      </c>
      <c r="BN34" s="211">
        <f t="shared" si="22"/>
        <v>0</v>
      </c>
      <c r="BO34" s="211">
        <f t="shared" si="22"/>
        <v>0</v>
      </c>
      <c r="BP34" s="211">
        <f t="shared" si="22"/>
        <v>0</v>
      </c>
      <c r="BQ34" s="211">
        <f t="shared" si="22"/>
        <v>0</v>
      </c>
      <c r="BR34" s="211">
        <f t="shared" si="22"/>
        <v>0</v>
      </c>
      <c r="BS34" s="211">
        <f t="shared" si="22"/>
        <v>0</v>
      </c>
      <c r="BT34" s="211">
        <f t="shared" si="22"/>
        <v>0</v>
      </c>
      <c r="BU34" s="211">
        <f t="shared" si="22"/>
        <v>0</v>
      </c>
      <c r="BV34" s="211">
        <f t="shared" si="22"/>
        <v>0</v>
      </c>
      <c r="BW34" s="211">
        <f t="shared" si="22"/>
        <v>0</v>
      </c>
      <c r="BX34" s="211">
        <f t="shared" si="23"/>
        <v>0</v>
      </c>
      <c r="BY34" s="211">
        <f t="shared" si="23"/>
        <v>0</v>
      </c>
      <c r="BZ34" s="211">
        <f t="shared" si="23"/>
        <v>0</v>
      </c>
      <c r="CA34" s="211">
        <f t="shared" si="23"/>
        <v>0</v>
      </c>
      <c r="CB34" s="211">
        <f t="shared" si="23"/>
        <v>0</v>
      </c>
      <c r="CC34" s="211">
        <f t="shared" si="23"/>
        <v>0</v>
      </c>
      <c r="CD34" s="211">
        <f t="shared" si="23"/>
        <v>0</v>
      </c>
      <c r="CE34" s="211">
        <f t="shared" si="23"/>
        <v>0</v>
      </c>
      <c r="CF34" s="211">
        <f t="shared" si="23"/>
        <v>0</v>
      </c>
      <c r="CG34" s="211">
        <f t="shared" si="23"/>
        <v>0</v>
      </c>
      <c r="CH34" s="211">
        <f t="shared" si="24"/>
        <v>0</v>
      </c>
      <c r="CI34" s="211">
        <f t="shared" si="24"/>
        <v>0</v>
      </c>
      <c r="CJ34" s="211">
        <f t="shared" si="24"/>
        <v>0</v>
      </c>
      <c r="CK34" s="211">
        <f t="shared" si="24"/>
        <v>2508</v>
      </c>
      <c r="CL34" s="211">
        <f t="shared" si="24"/>
        <v>7524</v>
      </c>
      <c r="CM34" s="211">
        <f t="shared" si="24"/>
        <v>12540</v>
      </c>
      <c r="CN34" s="211">
        <f t="shared" si="24"/>
        <v>17556</v>
      </c>
      <c r="CO34" s="211">
        <f t="shared" si="24"/>
        <v>22572</v>
      </c>
      <c r="CP34" s="211">
        <f t="shared" si="24"/>
        <v>27588</v>
      </c>
      <c r="CQ34" s="211">
        <f t="shared" si="24"/>
        <v>32604</v>
      </c>
      <c r="CR34" s="211">
        <f t="shared" si="25"/>
        <v>37620</v>
      </c>
      <c r="CS34" s="211">
        <f t="shared" si="25"/>
        <v>42636</v>
      </c>
      <c r="CT34" s="211">
        <f t="shared" si="25"/>
        <v>47652</v>
      </c>
      <c r="CU34" s="211">
        <f t="shared" si="25"/>
        <v>52668</v>
      </c>
      <c r="CV34" s="211">
        <f t="shared" si="25"/>
        <v>57684</v>
      </c>
      <c r="CW34" s="211">
        <f t="shared" si="25"/>
        <v>62700</v>
      </c>
      <c r="CX34" s="211">
        <f t="shared" si="25"/>
        <v>62700</v>
      </c>
      <c r="CY34" s="211">
        <f t="shared" si="25"/>
        <v>62700</v>
      </c>
      <c r="CZ34" s="211">
        <f t="shared" si="25"/>
        <v>62700</v>
      </c>
      <c r="DA34" s="211">
        <f t="shared" si="25"/>
        <v>62700</v>
      </c>
    </row>
    <row r="35" spans="1:105">
      <c r="A35" s="202" t="str">
        <f>Income!A83</f>
        <v>Food transfer - official</v>
      </c>
      <c r="B35" s="204">
        <f>Income!B83</f>
        <v>1009.1726124276728</v>
      </c>
      <c r="C35" s="204">
        <f>Income!C83</f>
        <v>1009.1726124276729</v>
      </c>
      <c r="D35" s="204">
        <f>Income!D83</f>
        <v>1009.1726124276728</v>
      </c>
      <c r="E35" s="204">
        <f>Income!E83</f>
        <v>0</v>
      </c>
      <c r="F35" s="211">
        <f t="shared" si="16"/>
        <v>1009.1726124276728</v>
      </c>
      <c r="G35" s="211">
        <f t="shared" si="16"/>
        <v>1009.1726124276728</v>
      </c>
      <c r="H35" s="211">
        <f t="shared" si="16"/>
        <v>1009.1726124276728</v>
      </c>
      <c r="I35" s="211">
        <f t="shared" si="16"/>
        <v>1009.1726124276728</v>
      </c>
      <c r="J35" s="211">
        <f t="shared" si="16"/>
        <v>1009.1726124276728</v>
      </c>
      <c r="K35" s="211">
        <f t="shared" si="16"/>
        <v>1009.1726124276728</v>
      </c>
      <c r="L35" s="211">
        <f t="shared" si="16"/>
        <v>1009.1726124276728</v>
      </c>
      <c r="M35" s="211">
        <f t="shared" si="16"/>
        <v>1009.1726124276728</v>
      </c>
      <c r="N35" s="211">
        <f t="shared" si="16"/>
        <v>1009.1726124276728</v>
      </c>
      <c r="O35" s="211">
        <f t="shared" si="16"/>
        <v>1009.1726124276728</v>
      </c>
      <c r="P35" s="211">
        <f t="shared" si="17"/>
        <v>1009.1726124276728</v>
      </c>
      <c r="Q35" s="211">
        <f t="shared" si="17"/>
        <v>1009.1726124276728</v>
      </c>
      <c r="R35" s="211">
        <f t="shared" si="17"/>
        <v>1009.1726124276728</v>
      </c>
      <c r="S35" s="211">
        <f t="shared" si="17"/>
        <v>1009.1726124276728</v>
      </c>
      <c r="T35" s="211">
        <f t="shared" si="17"/>
        <v>1009.1726124276728</v>
      </c>
      <c r="U35" s="211">
        <f t="shared" si="17"/>
        <v>1009.1726124276728</v>
      </c>
      <c r="V35" s="211">
        <f t="shared" si="17"/>
        <v>1009.1726124276728</v>
      </c>
      <c r="W35" s="211">
        <f t="shared" si="17"/>
        <v>1009.1726124276728</v>
      </c>
      <c r="X35" s="211">
        <f t="shared" si="17"/>
        <v>1009.1726124276728</v>
      </c>
      <c r="Y35" s="211">
        <f t="shared" si="17"/>
        <v>1009.1726124276728</v>
      </c>
      <c r="Z35" s="211">
        <f t="shared" si="18"/>
        <v>1009.1726124276728</v>
      </c>
      <c r="AA35" s="211">
        <f t="shared" si="18"/>
        <v>1009.1726124276728</v>
      </c>
      <c r="AB35" s="211">
        <f t="shared" si="18"/>
        <v>1009.1726124276728</v>
      </c>
      <c r="AC35" s="211">
        <f t="shared" si="18"/>
        <v>1009.1726124276728</v>
      </c>
      <c r="AD35" s="211">
        <f t="shared" si="18"/>
        <v>1009.1726124276728</v>
      </c>
      <c r="AE35" s="211">
        <f t="shared" si="18"/>
        <v>1009.1726124276728</v>
      </c>
      <c r="AF35" s="211">
        <f t="shared" si="18"/>
        <v>1009.1726124276728</v>
      </c>
      <c r="AG35" s="211">
        <f t="shared" si="18"/>
        <v>1009.1726124276728</v>
      </c>
      <c r="AH35" s="211">
        <f t="shared" si="18"/>
        <v>1009.1726124276728</v>
      </c>
      <c r="AI35" s="211">
        <f t="shared" si="18"/>
        <v>1009.1726124276728</v>
      </c>
      <c r="AJ35" s="211">
        <f t="shared" si="19"/>
        <v>1009.1726124276728</v>
      </c>
      <c r="AK35" s="211">
        <f t="shared" si="19"/>
        <v>1009.1726124276728</v>
      </c>
      <c r="AL35" s="211">
        <f t="shared" si="19"/>
        <v>1009.1726124276728</v>
      </c>
      <c r="AM35" s="211">
        <f t="shared" si="19"/>
        <v>1009.1726124276728</v>
      </c>
      <c r="AN35" s="211">
        <f t="shared" si="19"/>
        <v>1009.1726124276728</v>
      </c>
      <c r="AO35" s="211">
        <f t="shared" si="19"/>
        <v>1009.1726124276728</v>
      </c>
      <c r="AP35" s="211">
        <f t="shared" si="19"/>
        <v>1009.1726124276728</v>
      </c>
      <c r="AQ35" s="211">
        <f t="shared" si="19"/>
        <v>1009.1726124276728</v>
      </c>
      <c r="AR35" s="211">
        <f t="shared" si="19"/>
        <v>1009.1726124276728</v>
      </c>
      <c r="AS35" s="211">
        <f t="shared" si="19"/>
        <v>1009.1726124276728</v>
      </c>
      <c r="AT35" s="211">
        <f t="shared" si="20"/>
        <v>1009.1726124276728</v>
      </c>
      <c r="AU35" s="211">
        <f t="shared" si="20"/>
        <v>1009.1726124276728</v>
      </c>
      <c r="AV35" s="211">
        <f t="shared" si="20"/>
        <v>1009.1726124276728</v>
      </c>
      <c r="AW35" s="211">
        <f t="shared" si="20"/>
        <v>1009.1726124276728</v>
      </c>
      <c r="AX35" s="211">
        <f t="shared" si="20"/>
        <v>1009.1726124276729</v>
      </c>
      <c r="AY35" s="211">
        <f t="shared" si="20"/>
        <v>1009.1726124276729</v>
      </c>
      <c r="AZ35" s="211">
        <f t="shared" si="20"/>
        <v>1009.1726124276729</v>
      </c>
      <c r="BA35" s="211">
        <f t="shared" si="20"/>
        <v>1009.1726124276729</v>
      </c>
      <c r="BB35" s="211">
        <f t="shared" si="20"/>
        <v>1009.1726124276729</v>
      </c>
      <c r="BC35" s="211">
        <f t="shared" si="20"/>
        <v>1009.1726124276729</v>
      </c>
      <c r="BD35" s="211">
        <f t="shared" si="21"/>
        <v>1009.1726124276729</v>
      </c>
      <c r="BE35" s="211">
        <f t="shared" si="21"/>
        <v>1009.1726124276729</v>
      </c>
      <c r="BF35" s="211">
        <f t="shared" si="21"/>
        <v>1009.1726124276729</v>
      </c>
      <c r="BG35" s="211">
        <f t="shared" si="21"/>
        <v>1009.1726124276729</v>
      </c>
      <c r="BH35" s="211">
        <f t="shared" si="21"/>
        <v>1009.1726124276729</v>
      </c>
      <c r="BI35" s="211">
        <f t="shared" si="21"/>
        <v>1009.1726124276729</v>
      </c>
      <c r="BJ35" s="211">
        <f t="shared" si="21"/>
        <v>1009.1726124276729</v>
      </c>
      <c r="BK35" s="211">
        <f t="shared" si="21"/>
        <v>1009.1726124276729</v>
      </c>
      <c r="BL35" s="211">
        <f t="shared" si="21"/>
        <v>1009.1726124276729</v>
      </c>
      <c r="BM35" s="211">
        <f t="shared" si="21"/>
        <v>1009.1726124276729</v>
      </c>
      <c r="BN35" s="211">
        <f t="shared" si="22"/>
        <v>1009.1726124276729</v>
      </c>
      <c r="BO35" s="211">
        <f t="shared" si="22"/>
        <v>1009.1726124276729</v>
      </c>
      <c r="BP35" s="211">
        <f t="shared" si="22"/>
        <v>1009.1726124276729</v>
      </c>
      <c r="BQ35" s="211">
        <f t="shared" si="22"/>
        <v>1009.1726124276729</v>
      </c>
      <c r="BR35" s="211">
        <f t="shared" si="22"/>
        <v>1009.1726124276729</v>
      </c>
      <c r="BS35" s="211">
        <f t="shared" si="22"/>
        <v>1009.1726124276729</v>
      </c>
      <c r="BT35" s="211">
        <f t="shared" si="22"/>
        <v>1009.1726124276729</v>
      </c>
      <c r="BU35" s="211">
        <f t="shared" si="22"/>
        <v>1009.1726124276729</v>
      </c>
      <c r="BV35" s="211">
        <f t="shared" si="22"/>
        <v>1009.1726124276729</v>
      </c>
      <c r="BW35" s="211">
        <f t="shared" si="22"/>
        <v>1009.1726124276729</v>
      </c>
      <c r="BX35" s="211">
        <f t="shared" si="23"/>
        <v>1009.1726124276729</v>
      </c>
      <c r="BY35" s="211">
        <f t="shared" si="23"/>
        <v>1009.1726124276729</v>
      </c>
      <c r="BZ35" s="211">
        <f t="shared" si="23"/>
        <v>1009.1726124276729</v>
      </c>
      <c r="CA35" s="211">
        <f t="shared" si="23"/>
        <v>1009.1726124276728</v>
      </c>
      <c r="CB35" s="211">
        <f t="shared" si="23"/>
        <v>1009.1726124276728</v>
      </c>
      <c r="CC35" s="211">
        <f t="shared" si="23"/>
        <v>1009.1726124276728</v>
      </c>
      <c r="CD35" s="211">
        <f t="shared" si="23"/>
        <v>1009.1726124276728</v>
      </c>
      <c r="CE35" s="211">
        <f t="shared" si="23"/>
        <v>1009.1726124276728</v>
      </c>
      <c r="CF35" s="211">
        <f t="shared" si="23"/>
        <v>1009.1726124276728</v>
      </c>
      <c r="CG35" s="211">
        <f t="shared" si="23"/>
        <v>1009.1726124276728</v>
      </c>
      <c r="CH35" s="211">
        <f t="shared" si="24"/>
        <v>1009.1726124276728</v>
      </c>
      <c r="CI35" s="211">
        <f t="shared" si="24"/>
        <v>1009.1726124276728</v>
      </c>
      <c r="CJ35" s="211">
        <f t="shared" si="24"/>
        <v>1009.1726124276728</v>
      </c>
      <c r="CK35" s="211">
        <f t="shared" si="24"/>
        <v>968.80570793056586</v>
      </c>
      <c r="CL35" s="211">
        <f t="shared" si="24"/>
        <v>888.071898936352</v>
      </c>
      <c r="CM35" s="211">
        <f t="shared" si="24"/>
        <v>807.33808994213825</v>
      </c>
      <c r="CN35" s="211">
        <f t="shared" si="24"/>
        <v>726.60428094792439</v>
      </c>
      <c r="CO35" s="211">
        <f t="shared" si="24"/>
        <v>645.87047195371065</v>
      </c>
      <c r="CP35" s="211">
        <f t="shared" si="24"/>
        <v>565.13666295949679</v>
      </c>
      <c r="CQ35" s="211">
        <f t="shared" si="24"/>
        <v>484.40285396528293</v>
      </c>
      <c r="CR35" s="211">
        <f t="shared" si="25"/>
        <v>403.66904497106907</v>
      </c>
      <c r="CS35" s="211">
        <f t="shared" si="25"/>
        <v>322.93523597685521</v>
      </c>
      <c r="CT35" s="211">
        <f t="shared" si="25"/>
        <v>242.20142698264146</v>
      </c>
      <c r="CU35" s="211">
        <f t="shared" si="25"/>
        <v>161.46761798842761</v>
      </c>
      <c r="CV35" s="211">
        <f t="shared" si="25"/>
        <v>80.733808994213859</v>
      </c>
      <c r="CW35" s="211">
        <f t="shared" si="25"/>
        <v>1.1368683772161603E-13</v>
      </c>
      <c r="CX35" s="211">
        <f t="shared" si="25"/>
        <v>0</v>
      </c>
      <c r="CY35" s="211">
        <f t="shared" si="25"/>
        <v>0</v>
      </c>
      <c r="CZ35" s="211">
        <f t="shared" si="25"/>
        <v>0</v>
      </c>
      <c r="DA35" s="211">
        <f t="shared" si="25"/>
        <v>0</v>
      </c>
    </row>
    <row r="36" spans="1:105">
      <c r="A36" s="202" t="str">
        <f>Income!A85</f>
        <v>Cash transfer - official</v>
      </c>
      <c r="B36" s="204">
        <f>Income!B85</f>
        <v>23108.571428571428</v>
      </c>
      <c r="C36" s="204">
        <f>Income!C85</f>
        <v>22020</v>
      </c>
      <c r="D36" s="204">
        <f>Income!D85</f>
        <v>8708.5714285714294</v>
      </c>
      <c r="E36" s="204">
        <f>Income!E85</f>
        <v>7620</v>
      </c>
      <c r="F36" s="211">
        <f t="shared" si="16"/>
        <v>23108.571428571428</v>
      </c>
      <c r="G36" s="211">
        <f t="shared" si="16"/>
        <v>23108.571428571428</v>
      </c>
      <c r="H36" s="211">
        <f t="shared" si="16"/>
        <v>23108.571428571428</v>
      </c>
      <c r="I36" s="211">
        <f t="shared" si="16"/>
        <v>23108.571428571428</v>
      </c>
      <c r="J36" s="211">
        <f t="shared" si="16"/>
        <v>23108.571428571428</v>
      </c>
      <c r="K36" s="211">
        <f t="shared" si="16"/>
        <v>23108.571428571428</v>
      </c>
      <c r="L36" s="211">
        <f t="shared" si="16"/>
        <v>23108.571428571428</v>
      </c>
      <c r="M36" s="211">
        <f t="shared" si="16"/>
        <v>23108.571428571428</v>
      </c>
      <c r="N36" s="211">
        <f t="shared" si="16"/>
        <v>23108.571428571428</v>
      </c>
      <c r="O36" s="211">
        <f t="shared" si="16"/>
        <v>23108.571428571428</v>
      </c>
      <c r="P36" s="211">
        <f t="shared" si="16"/>
        <v>23108.571428571428</v>
      </c>
      <c r="Q36" s="211">
        <f t="shared" si="16"/>
        <v>23108.571428571428</v>
      </c>
      <c r="R36" s="211">
        <f t="shared" si="16"/>
        <v>23108.571428571428</v>
      </c>
      <c r="S36" s="211">
        <f t="shared" si="16"/>
        <v>23108.571428571428</v>
      </c>
      <c r="T36" s="211">
        <f t="shared" si="16"/>
        <v>23108.571428571428</v>
      </c>
      <c r="U36" s="211">
        <f t="shared" si="16"/>
        <v>23108.571428571428</v>
      </c>
      <c r="V36" s="211">
        <f t="shared" si="17"/>
        <v>23108.571428571428</v>
      </c>
      <c r="W36" s="211">
        <f t="shared" si="17"/>
        <v>23108.571428571428</v>
      </c>
      <c r="X36" s="211">
        <f t="shared" si="17"/>
        <v>23108.571428571428</v>
      </c>
      <c r="Y36" s="211">
        <f t="shared" si="17"/>
        <v>23108.571428571428</v>
      </c>
      <c r="Z36" s="211">
        <f t="shared" si="17"/>
        <v>23108.571428571428</v>
      </c>
      <c r="AA36" s="211">
        <f t="shared" si="17"/>
        <v>23108.571428571428</v>
      </c>
      <c r="AB36" s="211">
        <f t="shared" si="17"/>
        <v>23108.571428571428</v>
      </c>
      <c r="AC36" s="211">
        <f t="shared" si="17"/>
        <v>23108.571428571428</v>
      </c>
      <c r="AD36" s="211">
        <f t="shared" si="17"/>
        <v>23108.571428571428</v>
      </c>
      <c r="AE36" s="211">
        <f t="shared" si="17"/>
        <v>23108.571428571428</v>
      </c>
      <c r="AF36" s="211">
        <f t="shared" si="18"/>
        <v>23079.542857142857</v>
      </c>
      <c r="AG36" s="211">
        <f t="shared" si="18"/>
        <v>23050.514285714286</v>
      </c>
      <c r="AH36" s="211">
        <f t="shared" si="18"/>
        <v>23021.485714285714</v>
      </c>
      <c r="AI36" s="211">
        <f t="shared" si="18"/>
        <v>22992.457142857143</v>
      </c>
      <c r="AJ36" s="211">
        <f t="shared" si="18"/>
        <v>22963.428571428569</v>
      </c>
      <c r="AK36" s="211">
        <f t="shared" si="18"/>
        <v>22934.399999999998</v>
      </c>
      <c r="AL36" s="211">
        <f t="shared" si="18"/>
        <v>22905.371428571427</v>
      </c>
      <c r="AM36" s="211">
        <f t="shared" si="18"/>
        <v>22876.342857142856</v>
      </c>
      <c r="AN36" s="211">
        <f t="shared" si="18"/>
        <v>22847.314285714285</v>
      </c>
      <c r="AO36" s="211">
        <f t="shared" si="18"/>
        <v>22818.285714285714</v>
      </c>
      <c r="AP36" s="211">
        <f t="shared" si="19"/>
        <v>22789.257142857143</v>
      </c>
      <c r="AQ36" s="211">
        <f t="shared" si="19"/>
        <v>22760.228571428572</v>
      </c>
      <c r="AR36" s="211">
        <f t="shared" si="19"/>
        <v>22731.200000000001</v>
      </c>
      <c r="AS36" s="211">
        <f t="shared" si="19"/>
        <v>22702.171428571426</v>
      </c>
      <c r="AT36" s="211">
        <f t="shared" si="19"/>
        <v>22673.142857142855</v>
      </c>
      <c r="AU36" s="211">
        <f t="shared" si="19"/>
        <v>22644.114285714284</v>
      </c>
      <c r="AV36" s="211">
        <f t="shared" si="19"/>
        <v>22615.085714285713</v>
      </c>
      <c r="AW36" s="211">
        <f t="shared" si="19"/>
        <v>22586.057142857142</v>
      </c>
      <c r="AX36" s="211">
        <f t="shared" si="19"/>
        <v>22557.028571428571</v>
      </c>
      <c r="AY36" s="211">
        <f t="shared" si="19"/>
        <v>22528</v>
      </c>
      <c r="AZ36" s="211">
        <f t="shared" si="20"/>
        <v>22498.971428571429</v>
      </c>
      <c r="BA36" s="211">
        <f t="shared" si="20"/>
        <v>22469.942857142858</v>
      </c>
      <c r="BB36" s="211">
        <f t="shared" si="20"/>
        <v>22440.914285714287</v>
      </c>
      <c r="BC36" s="211">
        <f t="shared" si="20"/>
        <v>22411.885714285712</v>
      </c>
      <c r="BD36" s="211">
        <f t="shared" si="20"/>
        <v>22382.857142857141</v>
      </c>
      <c r="BE36" s="211">
        <f t="shared" si="20"/>
        <v>22353.82857142857</v>
      </c>
      <c r="BF36" s="211">
        <f t="shared" si="20"/>
        <v>22324.799999999999</v>
      </c>
      <c r="BG36" s="211">
        <f t="shared" si="20"/>
        <v>22295.771428571428</v>
      </c>
      <c r="BH36" s="211">
        <f t="shared" si="20"/>
        <v>22266.742857142857</v>
      </c>
      <c r="BI36" s="211">
        <f t="shared" si="20"/>
        <v>22237.714285714286</v>
      </c>
      <c r="BJ36" s="211">
        <f t="shared" si="21"/>
        <v>22208.685714285715</v>
      </c>
      <c r="BK36" s="211">
        <f t="shared" si="21"/>
        <v>22179.657142857144</v>
      </c>
      <c r="BL36" s="211">
        <f t="shared" si="21"/>
        <v>22150.62857142857</v>
      </c>
      <c r="BM36" s="211">
        <f t="shared" si="21"/>
        <v>22121.599999999999</v>
      </c>
      <c r="BN36" s="211">
        <f t="shared" si="21"/>
        <v>22092.571428571428</v>
      </c>
      <c r="BO36" s="211">
        <f t="shared" si="21"/>
        <v>22063.542857142857</v>
      </c>
      <c r="BP36" s="211">
        <f t="shared" si="21"/>
        <v>22034.514285714286</v>
      </c>
      <c r="BQ36" s="211">
        <f t="shared" si="21"/>
        <v>21687.214285714286</v>
      </c>
      <c r="BR36" s="211">
        <f t="shared" si="21"/>
        <v>21021.642857142859</v>
      </c>
      <c r="BS36" s="211">
        <f t="shared" si="21"/>
        <v>20356.071428571428</v>
      </c>
      <c r="BT36" s="211">
        <f t="shared" si="22"/>
        <v>19690.5</v>
      </c>
      <c r="BU36" s="211">
        <f t="shared" si="22"/>
        <v>19024.928571428572</v>
      </c>
      <c r="BV36" s="211">
        <f t="shared" si="22"/>
        <v>18359.357142857141</v>
      </c>
      <c r="BW36" s="211">
        <f t="shared" si="22"/>
        <v>17693.785714285714</v>
      </c>
      <c r="BX36" s="211">
        <f t="shared" si="22"/>
        <v>17028.214285714286</v>
      </c>
      <c r="BY36" s="211">
        <f t="shared" si="22"/>
        <v>16362.642857142857</v>
      </c>
      <c r="BZ36" s="211">
        <f t="shared" si="22"/>
        <v>15697.071428571429</v>
      </c>
      <c r="CA36" s="211">
        <f t="shared" si="22"/>
        <v>15031.5</v>
      </c>
      <c r="CB36" s="211">
        <f t="shared" si="22"/>
        <v>14365.928571428572</v>
      </c>
      <c r="CC36" s="211">
        <f t="shared" si="22"/>
        <v>13700.357142857143</v>
      </c>
      <c r="CD36" s="211">
        <f t="shared" si="23"/>
        <v>13034.785714285714</v>
      </c>
      <c r="CE36" s="211">
        <f t="shared" si="23"/>
        <v>12369.214285714286</v>
      </c>
      <c r="CF36" s="211">
        <f t="shared" si="23"/>
        <v>11703.642857142859</v>
      </c>
      <c r="CG36" s="211">
        <f t="shared" si="23"/>
        <v>11038.071428571429</v>
      </c>
      <c r="CH36" s="211">
        <f t="shared" si="23"/>
        <v>10372.5</v>
      </c>
      <c r="CI36" s="211">
        <f t="shared" si="23"/>
        <v>9706.9285714285725</v>
      </c>
      <c r="CJ36" s="211">
        <f t="shared" si="23"/>
        <v>9041.3571428571431</v>
      </c>
      <c r="CK36" s="211">
        <f t="shared" si="23"/>
        <v>8665.0285714285728</v>
      </c>
      <c r="CL36" s="211">
        <f t="shared" si="23"/>
        <v>8577.942857142858</v>
      </c>
      <c r="CM36" s="211">
        <f t="shared" si="23"/>
        <v>8490.8571428571431</v>
      </c>
      <c r="CN36" s="211">
        <f t="shared" si="24"/>
        <v>8403.7714285714283</v>
      </c>
      <c r="CO36" s="211">
        <f t="shared" si="24"/>
        <v>8316.6857142857152</v>
      </c>
      <c r="CP36" s="211">
        <f t="shared" si="24"/>
        <v>8229.6</v>
      </c>
      <c r="CQ36" s="211">
        <f t="shared" si="24"/>
        <v>8142.5142857142864</v>
      </c>
      <c r="CR36" s="211">
        <f t="shared" si="24"/>
        <v>8055.4285714285716</v>
      </c>
      <c r="CS36" s="211">
        <f t="shared" si="24"/>
        <v>7968.3428571428576</v>
      </c>
      <c r="CT36" s="211">
        <f t="shared" si="24"/>
        <v>7881.2571428571428</v>
      </c>
      <c r="CU36" s="211">
        <f t="shared" si="24"/>
        <v>7794.1714285714288</v>
      </c>
      <c r="CV36" s="211">
        <f t="shared" si="24"/>
        <v>7707.0857142857139</v>
      </c>
      <c r="CW36" s="211">
        <f t="shared" si="24"/>
        <v>7620</v>
      </c>
      <c r="CX36" s="211">
        <f t="shared" si="25"/>
        <v>7620</v>
      </c>
      <c r="CY36" s="211">
        <f t="shared" si="25"/>
        <v>7620</v>
      </c>
      <c r="CZ36" s="211">
        <f t="shared" si="25"/>
        <v>7620</v>
      </c>
      <c r="DA36" s="211">
        <f t="shared" si="25"/>
        <v>7620</v>
      </c>
    </row>
    <row r="37" spans="1:105">
      <c r="A37" s="202" t="str">
        <f>Income!A86</f>
        <v>Cash transfer - gifts</v>
      </c>
      <c r="B37" s="204">
        <f>Income!B86</f>
        <v>0</v>
      </c>
      <c r="C37" s="204">
        <f>Income!C86</f>
        <v>0</v>
      </c>
      <c r="D37" s="204">
        <f>Income!D86</f>
        <v>13714.285714285714</v>
      </c>
      <c r="E37" s="204">
        <f>Income!E86</f>
        <v>26040</v>
      </c>
      <c r="F37" s="211">
        <f t="shared" si="16"/>
        <v>0</v>
      </c>
      <c r="G37" s="211">
        <f t="shared" si="16"/>
        <v>0</v>
      </c>
      <c r="H37" s="211">
        <f t="shared" si="16"/>
        <v>0</v>
      </c>
      <c r="I37" s="211">
        <f t="shared" si="16"/>
        <v>0</v>
      </c>
      <c r="J37" s="211">
        <f t="shared" si="16"/>
        <v>0</v>
      </c>
      <c r="K37" s="211">
        <f t="shared" si="16"/>
        <v>0</v>
      </c>
      <c r="L37" s="211">
        <f t="shared" si="16"/>
        <v>0</v>
      </c>
      <c r="M37" s="211">
        <f t="shared" si="16"/>
        <v>0</v>
      </c>
      <c r="N37" s="211">
        <f t="shared" si="16"/>
        <v>0</v>
      </c>
      <c r="O37" s="211">
        <f t="shared" si="16"/>
        <v>0</v>
      </c>
      <c r="P37" s="211">
        <f t="shared" si="17"/>
        <v>0</v>
      </c>
      <c r="Q37" s="211">
        <f t="shared" si="17"/>
        <v>0</v>
      </c>
      <c r="R37" s="211">
        <f t="shared" si="17"/>
        <v>0</v>
      </c>
      <c r="S37" s="211">
        <f t="shared" si="17"/>
        <v>0</v>
      </c>
      <c r="T37" s="211">
        <f t="shared" si="17"/>
        <v>0</v>
      </c>
      <c r="U37" s="211">
        <f t="shared" si="17"/>
        <v>0</v>
      </c>
      <c r="V37" s="211">
        <f t="shared" si="17"/>
        <v>0</v>
      </c>
      <c r="W37" s="211">
        <f t="shared" si="17"/>
        <v>0</v>
      </c>
      <c r="X37" s="211">
        <f t="shared" si="17"/>
        <v>0</v>
      </c>
      <c r="Y37" s="211">
        <f t="shared" si="17"/>
        <v>0</v>
      </c>
      <c r="Z37" s="211">
        <f t="shared" si="18"/>
        <v>0</v>
      </c>
      <c r="AA37" s="211">
        <f t="shared" si="18"/>
        <v>0</v>
      </c>
      <c r="AB37" s="211">
        <f t="shared" si="18"/>
        <v>0</v>
      </c>
      <c r="AC37" s="211">
        <f t="shared" si="18"/>
        <v>0</v>
      </c>
      <c r="AD37" s="211">
        <f t="shared" si="18"/>
        <v>0</v>
      </c>
      <c r="AE37" s="211">
        <f t="shared" si="18"/>
        <v>0</v>
      </c>
      <c r="AF37" s="211">
        <f t="shared" si="18"/>
        <v>0</v>
      </c>
      <c r="AG37" s="211">
        <f t="shared" si="18"/>
        <v>0</v>
      </c>
      <c r="AH37" s="211">
        <f t="shared" si="18"/>
        <v>0</v>
      </c>
      <c r="AI37" s="211">
        <f t="shared" si="18"/>
        <v>0</v>
      </c>
      <c r="AJ37" s="211">
        <f t="shared" si="19"/>
        <v>0</v>
      </c>
      <c r="AK37" s="211">
        <f t="shared" si="19"/>
        <v>0</v>
      </c>
      <c r="AL37" s="211">
        <f t="shared" si="19"/>
        <v>0</v>
      </c>
      <c r="AM37" s="211">
        <f t="shared" si="19"/>
        <v>0</v>
      </c>
      <c r="AN37" s="211">
        <f t="shared" si="19"/>
        <v>0</v>
      </c>
      <c r="AO37" s="211">
        <f t="shared" si="19"/>
        <v>0</v>
      </c>
      <c r="AP37" s="211">
        <f t="shared" si="19"/>
        <v>0</v>
      </c>
      <c r="AQ37" s="211">
        <f t="shared" si="19"/>
        <v>0</v>
      </c>
      <c r="AR37" s="211">
        <f t="shared" si="19"/>
        <v>0</v>
      </c>
      <c r="AS37" s="211">
        <f t="shared" si="19"/>
        <v>0</v>
      </c>
      <c r="AT37" s="211">
        <f t="shared" si="20"/>
        <v>0</v>
      </c>
      <c r="AU37" s="211">
        <f t="shared" si="20"/>
        <v>0</v>
      </c>
      <c r="AV37" s="211">
        <f t="shared" si="20"/>
        <v>0</v>
      </c>
      <c r="AW37" s="211">
        <f t="shared" si="20"/>
        <v>0</v>
      </c>
      <c r="AX37" s="211">
        <f t="shared" si="20"/>
        <v>0</v>
      </c>
      <c r="AY37" s="211">
        <f t="shared" si="20"/>
        <v>0</v>
      </c>
      <c r="AZ37" s="211">
        <f t="shared" si="20"/>
        <v>0</v>
      </c>
      <c r="BA37" s="211">
        <f t="shared" si="20"/>
        <v>0</v>
      </c>
      <c r="BB37" s="211">
        <f t="shared" si="20"/>
        <v>0</v>
      </c>
      <c r="BC37" s="211">
        <f t="shared" si="20"/>
        <v>0</v>
      </c>
      <c r="BD37" s="211">
        <f t="shared" si="21"/>
        <v>0</v>
      </c>
      <c r="BE37" s="211">
        <f t="shared" si="21"/>
        <v>0</v>
      </c>
      <c r="BF37" s="211">
        <f t="shared" si="21"/>
        <v>0</v>
      </c>
      <c r="BG37" s="211">
        <f t="shared" si="21"/>
        <v>0</v>
      </c>
      <c r="BH37" s="211">
        <f t="shared" si="21"/>
        <v>0</v>
      </c>
      <c r="BI37" s="211">
        <f t="shared" si="21"/>
        <v>0</v>
      </c>
      <c r="BJ37" s="211">
        <f t="shared" si="21"/>
        <v>0</v>
      </c>
      <c r="BK37" s="211">
        <f t="shared" si="21"/>
        <v>0</v>
      </c>
      <c r="BL37" s="211">
        <f t="shared" si="21"/>
        <v>0</v>
      </c>
      <c r="BM37" s="211">
        <f t="shared" si="21"/>
        <v>0</v>
      </c>
      <c r="BN37" s="211">
        <f t="shared" si="22"/>
        <v>0</v>
      </c>
      <c r="BO37" s="211">
        <f t="shared" si="22"/>
        <v>0</v>
      </c>
      <c r="BP37" s="211">
        <f t="shared" si="22"/>
        <v>0</v>
      </c>
      <c r="BQ37" s="211">
        <f t="shared" si="22"/>
        <v>342.85714285714283</v>
      </c>
      <c r="BR37" s="211">
        <f t="shared" si="22"/>
        <v>1028.5714285714287</v>
      </c>
      <c r="BS37" s="211">
        <f t="shared" si="22"/>
        <v>1714.2857142857142</v>
      </c>
      <c r="BT37" s="211">
        <f t="shared" si="22"/>
        <v>2400</v>
      </c>
      <c r="BU37" s="211">
        <f t="shared" si="22"/>
        <v>3085.7142857142853</v>
      </c>
      <c r="BV37" s="211">
        <f t="shared" si="22"/>
        <v>3771.4285714285711</v>
      </c>
      <c r="BW37" s="211">
        <f t="shared" si="22"/>
        <v>4457.1428571428569</v>
      </c>
      <c r="BX37" s="211">
        <f t="shared" si="23"/>
        <v>5142.8571428571431</v>
      </c>
      <c r="BY37" s="211">
        <f t="shared" si="23"/>
        <v>5828.5714285714284</v>
      </c>
      <c r="BZ37" s="211">
        <f t="shared" si="23"/>
        <v>6514.2857142857138</v>
      </c>
      <c r="CA37" s="211">
        <f t="shared" si="23"/>
        <v>7200</v>
      </c>
      <c r="CB37" s="211">
        <f t="shared" si="23"/>
        <v>7885.7142857142853</v>
      </c>
      <c r="CC37" s="211">
        <f t="shared" si="23"/>
        <v>8571.4285714285706</v>
      </c>
      <c r="CD37" s="211">
        <f t="shared" si="23"/>
        <v>9257.1428571428569</v>
      </c>
      <c r="CE37" s="211">
        <f t="shared" si="23"/>
        <v>9942.8571428571413</v>
      </c>
      <c r="CF37" s="211">
        <f t="shared" si="23"/>
        <v>10628.571428571428</v>
      </c>
      <c r="CG37" s="211">
        <f t="shared" si="23"/>
        <v>11314.285714285714</v>
      </c>
      <c r="CH37" s="211">
        <f t="shared" si="24"/>
        <v>12000</v>
      </c>
      <c r="CI37" s="211">
        <f t="shared" si="24"/>
        <v>12685.714285714286</v>
      </c>
      <c r="CJ37" s="211">
        <f t="shared" si="24"/>
        <v>13371.428571428571</v>
      </c>
      <c r="CK37" s="211">
        <f t="shared" si="24"/>
        <v>14207.314285714285</v>
      </c>
      <c r="CL37" s="211">
        <f t="shared" si="24"/>
        <v>15193.371428571429</v>
      </c>
      <c r="CM37" s="211">
        <f t="shared" si="24"/>
        <v>16179.428571428571</v>
      </c>
      <c r="CN37" s="211">
        <f t="shared" si="24"/>
        <v>17165.485714285714</v>
      </c>
      <c r="CO37" s="211">
        <f t="shared" si="24"/>
        <v>18151.542857142857</v>
      </c>
      <c r="CP37" s="211">
        <f t="shared" si="24"/>
        <v>19137.599999999999</v>
      </c>
      <c r="CQ37" s="211">
        <f t="shared" si="24"/>
        <v>20123.657142857141</v>
      </c>
      <c r="CR37" s="211">
        <f t="shared" si="25"/>
        <v>21109.714285714286</v>
      </c>
      <c r="CS37" s="211">
        <f t="shared" si="25"/>
        <v>22095.771428571428</v>
      </c>
      <c r="CT37" s="211">
        <f t="shared" si="25"/>
        <v>23081.828571428574</v>
      </c>
      <c r="CU37" s="211">
        <f t="shared" si="25"/>
        <v>24067.885714285716</v>
      </c>
      <c r="CV37" s="211">
        <f t="shared" si="25"/>
        <v>25053.942857142858</v>
      </c>
      <c r="CW37" s="211">
        <f t="shared" si="25"/>
        <v>26040</v>
      </c>
      <c r="CX37" s="211">
        <f t="shared" si="25"/>
        <v>26040</v>
      </c>
      <c r="CY37" s="211">
        <f t="shared" si="25"/>
        <v>26040</v>
      </c>
      <c r="CZ37" s="211">
        <f t="shared" si="25"/>
        <v>26040</v>
      </c>
      <c r="DA37" s="211">
        <f t="shared" si="25"/>
        <v>26040</v>
      </c>
    </row>
    <row r="38" spans="1:105">
      <c r="A38" s="202" t="str">
        <f>Income!A88</f>
        <v>TOTAL</v>
      </c>
      <c r="B38" s="204">
        <f>Income!B88</f>
        <v>33626.686424582367</v>
      </c>
      <c r="C38" s="204">
        <f>Income!C88</f>
        <v>56673.493158928199</v>
      </c>
      <c r="D38" s="204">
        <f>Income!D88</f>
        <v>102134.43263926136</v>
      </c>
      <c r="E38" s="204">
        <f>Income!E88</f>
        <v>217462.86556961184</v>
      </c>
      <c r="F38" s="205">
        <f t="shared" ref="F38:AK38" si="26">SUM(F25:F37)</f>
        <v>33626.686424582367</v>
      </c>
      <c r="G38" s="205">
        <f t="shared" si="26"/>
        <v>33626.686424582367</v>
      </c>
      <c r="H38" s="205">
        <f t="shared" si="26"/>
        <v>33626.686424582367</v>
      </c>
      <c r="I38" s="205">
        <f t="shared" si="26"/>
        <v>33626.686424582367</v>
      </c>
      <c r="J38" s="205">
        <f t="shared" si="26"/>
        <v>33626.686424582367</v>
      </c>
      <c r="K38" s="205">
        <f t="shared" si="26"/>
        <v>33626.686424582367</v>
      </c>
      <c r="L38" s="205">
        <f t="shared" si="26"/>
        <v>33626.686424582367</v>
      </c>
      <c r="M38" s="205">
        <f t="shared" si="26"/>
        <v>33626.686424582367</v>
      </c>
      <c r="N38" s="205">
        <f t="shared" si="26"/>
        <v>33626.686424582367</v>
      </c>
      <c r="O38" s="205">
        <f t="shared" si="26"/>
        <v>33626.686424582367</v>
      </c>
      <c r="P38" s="205">
        <f t="shared" si="26"/>
        <v>33626.686424582367</v>
      </c>
      <c r="Q38" s="205">
        <f t="shared" si="26"/>
        <v>33626.686424582367</v>
      </c>
      <c r="R38" s="205">
        <f t="shared" si="26"/>
        <v>33626.686424582367</v>
      </c>
      <c r="S38" s="205">
        <f t="shared" si="26"/>
        <v>33626.686424582367</v>
      </c>
      <c r="T38" s="205">
        <f t="shared" si="26"/>
        <v>33626.686424582367</v>
      </c>
      <c r="U38" s="205">
        <f t="shared" si="26"/>
        <v>33626.686424582367</v>
      </c>
      <c r="V38" s="205">
        <f t="shared" si="26"/>
        <v>33626.686424582367</v>
      </c>
      <c r="W38" s="205">
        <f t="shared" si="26"/>
        <v>33626.686424582367</v>
      </c>
      <c r="X38" s="205">
        <f t="shared" si="26"/>
        <v>33626.686424582367</v>
      </c>
      <c r="Y38" s="205">
        <f t="shared" si="26"/>
        <v>33626.686424582367</v>
      </c>
      <c r="Z38" s="205">
        <f t="shared" si="26"/>
        <v>33626.686424582367</v>
      </c>
      <c r="AA38" s="205">
        <f t="shared" si="26"/>
        <v>33626.686424582367</v>
      </c>
      <c r="AB38" s="205">
        <f t="shared" si="26"/>
        <v>33626.686424582367</v>
      </c>
      <c r="AC38" s="205">
        <f t="shared" si="26"/>
        <v>33626.686424582367</v>
      </c>
      <c r="AD38" s="205">
        <f t="shared" si="26"/>
        <v>33626.686424582367</v>
      </c>
      <c r="AE38" s="205">
        <f t="shared" si="26"/>
        <v>33626.686424582367</v>
      </c>
      <c r="AF38" s="205">
        <f t="shared" si="26"/>
        <v>33843.50793749826</v>
      </c>
      <c r="AG38" s="205">
        <f t="shared" si="26"/>
        <v>34060.329450414145</v>
      </c>
      <c r="AH38" s="205">
        <f t="shared" si="26"/>
        <v>34277.15096333003</v>
      </c>
      <c r="AI38" s="205">
        <f t="shared" si="26"/>
        <v>34493.972476245923</v>
      </c>
      <c r="AJ38" s="205">
        <f t="shared" si="26"/>
        <v>34710.793989161808</v>
      </c>
      <c r="AK38" s="205">
        <f t="shared" si="26"/>
        <v>34927.615502077693</v>
      </c>
      <c r="AL38" s="205">
        <f t="shared" ref="AL38:BQ38" si="27">SUM(AL25:AL37)</f>
        <v>35144.437014993586</v>
      </c>
      <c r="AM38" s="205">
        <f t="shared" si="27"/>
        <v>35361.258527909478</v>
      </c>
      <c r="AN38" s="205">
        <f t="shared" si="27"/>
        <v>35578.080040825364</v>
      </c>
      <c r="AO38" s="205">
        <f t="shared" si="27"/>
        <v>35794.901553741256</v>
      </c>
      <c r="AP38" s="205">
        <f t="shared" si="27"/>
        <v>36011.723066657141</v>
      </c>
      <c r="AQ38" s="205">
        <f t="shared" si="27"/>
        <v>36228.544579573034</v>
      </c>
      <c r="AR38" s="205">
        <f t="shared" si="27"/>
        <v>36445.366092488926</v>
      </c>
      <c r="AS38" s="205">
        <f t="shared" si="27"/>
        <v>36662.187605404804</v>
      </c>
      <c r="AT38" s="205">
        <f t="shared" si="27"/>
        <v>36879.009118320697</v>
      </c>
      <c r="AU38" s="205">
        <f t="shared" si="27"/>
        <v>37095.830631236589</v>
      </c>
      <c r="AV38" s="205">
        <f t="shared" si="27"/>
        <v>37312.652144152475</v>
      </c>
      <c r="AW38" s="205">
        <f t="shared" si="27"/>
        <v>37529.47365706836</v>
      </c>
      <c r="AX38" s="205">
        <f t="shared" si="27"/>
        <v>37746.295169984252</v>
      </c>
      <c r="AY38" s="205">
        <f t="shared" si="27"/>
        <v>37963.116682900145</v>
      </c>
      <c r="AZ38" s="205">
        <f t="shared" si="27"/>
        <v>38179.938195816037</v>
      </c>
      <c r="BA38" s="205">
        <f t="shared" si="27"/>
        <v>38396.759708731915</v>
      </c>
      <c r="BB38" s="205">
        <f t="shared" si="27"/>
        <v>38613.581221647808</v>
      </c>
      <c r="BC38" s="205">
        <f t="shared" si="27"/>
        <v>38830.402734563701</v>
      </c>
      <c r="BD38" s="205">
        <f t="shared" si="27"/>
        <v>39047.224247479586</v>
      </c>
      <c r="BE38" s="205">
        <f t="shared" si="27"/>
        <v>39264.045760395471</v>
      </c>
      <c r="BF38" s="205">
        <f t="shared" si="27"/>
        <v>39480.867273311364</v>
      </c>
      <c r="BG38" s="205">
        <f t="shared" si="27"/>
        <v>39697.688786227256</v>
      </c>
      <c r="BH38" s="205">
        <f t="shared" si="27"/>
        <v>39914.510299143141</v>
      </c>
      <c r="BI38" s="205">
        <f t="shared" si="27"/>
        <v>40131.331812059027</v>
      </c>
      <c r="BJ38" s="205">
        <f t="shared" si="27"/>
        <v>40348.153324974919</v>
      </c>
      <c r="BK38" s="205">
        <f t="shared" si="27"/>
        <v>40564.974837890812</v>
      </c>
      <c r="BL38" s="205">
        <f t="shared" si="27"/>
        <v>40781.79635080669</v>
      </c>
      <c r="BM38" s="205">
        <f t="shared" si="27"/>
        <v>40998.617863722582</v>
      </c>
      <c r="BN38" s="205">
        <f t="shared" si="27"/>
        <v>41215.439376638475</v>
      </c>
      <c r="BO38" s="205">
        <f t="shared" si="27"/>
        <v>41432.26088955436</v>
      </c>
      <c r="BP38" s="205">
        <f t="shared" si="27"/>
        <v>41649.082402470245</v>
      </c>
      <c r="BQ38" s="205">
        <f t="shared" si="27"/>
        <v>43266.916645936522</v>
      </c>
      <c r="BR38" s="205">
        <f t="shared" ref="BR38:CW38" si="28">SUM(BR25:BR37)</f>
        <v>46285.763619953177</v>
      </c>
      <c r="BS38" s="205">
        <f t="shared" si="28"/>
        <v>49304.610593969839</v>
      </c>
      <c r="BT38" s="205">
        <f t="shared" si="28"/>
        <v>52323.457567986494</v>
      </c>
      <c r="BU38" s="205">
        <f t="shared" si="28"/>
        <v>55342.304542003156</v>
      </c>
      <c r="BV38" s="205">
        <f t="shared" si="28"/>
        <v>58361.151516019811</v>
      </c>
      <c r="BW38" s="205">
        <f t="shared" si="28"/>
        <v>61379.998490036465</v>
      </c>
      <c r="BX38" s="205">
        <f t="shared" si="28"/>
        <v>64398.845464053127</v>
      </c>
      <c r="BY38" s="205">
        <f t="shared" si="28"/>
        <v>67417.692438069789</v>
      </c>
      <c r="BZ38" s="205">
        <f t="shared" si="28"/>
        <v>70436.539412086451</v>
      </c>
      <c r="CA38" s="205">
        <f t="shared" si="28"/>
        <v>73455.386386103099</v>
      </c>
      <c r="CB38" s="205">
        <f t="shared" si="28"/>
        <v>76474.233360119775</v>
      </c>
      <c r="CC38" s="205">
        <f t="shared" si="28"/>
        <v>79493.080334136408</v>
      </c>
      <c r="CD38" s="205">
        <f t="shared" si="28"/>
        <v>82511.927308153085</v>
      </c>
      <c r="CE38" s="205">
        <f t="shared" si="28"/>
        <v>85530.774282169732</v>
      </c>
      <c r="CF38" s="205">
        <f t="shared" si="28"/>
        <v>88549.621256186394</v>
      </c>
      <c r="CG38" s="205">
        <f t="shared" si="28"/>
        <v>91568.468230203056</v>
      </c>
      <c r="CH38" s="205">
        <f t="shared" si="28"/>
        <v>94587.315204219703</v>
      </c>
      <c r="CI38" s="205">
        <f t="shared" si="28"/>
        <v>97606.16217823638</v>
      </c>
      <c r="CJ38" s="205">
        <f t="shared" si="28"/>
        <v>100625.00915225303</v>
      </c>
      <c r="CK38" s="205">
        <f t="shared" si="28"/>
        <v>106747.56995647536</v>
      </c>
      <c r="CL38" s="205">
        <f t="shared" si="28"/>
        <v>115973.84459090339</v>
      </c>
      <c r="CM38" s="205">
        <f t="shared" si="28"/>
        <v>125200.11922533142</v>
      </c>
      <c r="CN38" s="205">
        <f t="shared" si="28"/>
        <v>134426.3938597595</v>
      </c>
      <c r="CO38" s="205">
        <f t="shared" si="28"/>
        <v>143652.66849418753</v>
      </c>
      <c r="CP38" s="205">
        <f t="shared" si="28"/>
        <v>152878.94312861556</v>
      </c>
      <c r="CQ38" s="205">
        <f t="shared" si="28"/>
        <v>162105.21776304362</v>
      </c>
      <c r="CR38" s="205">
        <f t="shared" si="28"/>
        <v>171331.49239747165</v>
      </c>
      <c r="CS38" s="205">
        <f t="shared" si="28"/>
        <v>180557.76703189968</v>
      </c>
      <c r="CT38" s="205">
        <f t="shared" si="28"/>
        <v>189784.04166632774</v>
      </c>
      <c r="CU38" s="205">
        <f t="shared" si="28"/>
        <v>199010.31630075577</v>
      </c>
      <c r="CV38" s="205">
        <f t="shared" si="28"/>
        <v>208236.59093518381</v>
      </c>
      <c r="CW38" s="205">
        <f t="shared" si="28"/>
        <v>217462.86556961184</v>
      </c>
      <c r="CX38" s="205">
        <f>SUM(CX25:CX37)</f>
        <v>217462.86556961184</v>
      </c>
      <c r="CY38" s="205">
        <f>SUM(CY25:CY37)</f>
        <v>217462.86556961184</v>
      </c>
      <c r="CZ38" s="205">
        <f>SUM(CZ25:CZ37)</f>
        <v>217462.86556961184</v>
      </c>
      <c r="DA38" s="205">
        <f>SUM(DA25:DA37)</f>
        <v>217462.86556961184</v>
      </c>
    </row>
    <row r="39" spans="1:105">
      <c r="A39" s="202" t="str">
        <f>Income!A89</f>
        <v>Food Poverty line</v>
      </c>
      <c r="B39" s="204">
        <f>Income!B89</f>
        <v>19286.708587419434</v>
      </c>
      <c r="C39" s="204">
        <f>Income!C89</f>
        <v>19286.708587419431</v>
      </c>
      <c r="D39" s="204">
        <f>Income!D89</f>
        <v>19286.708587419424</v>
      </c>
      <c r="E39" s="204">
        <f>Income!E89</f>
        <v>19286.708587419434</v>
      </c>
      <c r="F39" s="205">
        <f t="shared" ref="F39:U39" si="29">IF(F$2&lt;=($B$2+$C$2+$D$2),IF(F$2&lt;=($B$2+$C$2),IF(F$2&lt;=$B$2,$B39,$C39),$D39),$E39)</f>
        <v>19286.708587419434</v>
      </c>
      <c r="G39" s="205">
        <f t="shared" si="29"/>
        <v>19286.708587419434</v>
      </c>
      <c r="H39" s="205">
        <f t="shared" si="29"/>
        <v>19286.708587419434</v>
      </c>
      <c r="I39" s="205">
        <f t="shared" si="29"/>
        <v>19286.708587419434</v>
      </c>
      <c r="J39" s="205">
        <f t="shared" si="29"/>
        <v>19286.708587419434</v>
      </c>
      <c r="K39" s="205">
        <f t="shared" si="29"/>
        <v>19286.708587419434</v>
      </c>
      <c r="L39" s="205">
        <f t="shared" si="29"/>
        <v>19286.708587419434</v>
      </c>
      <c r="M39" s="205">
        <f t="shared" si="29"/>
        <v>19286.708587419434</v>
      </c>
      <c r="N39" s="205">
        <f t="shared" si="29"/>
        <v>19286.708587419434</v>
      </c>
      <c r="O39" s="205">
        <f t="shared" si="29"/>
        <v>19286.708587419434</v>
      </c>
      <c r="P39" s="205">
        <f t="shared" si="29"/>
        <v>19286.708587419434</v>
      </c>
      <c r="Q39" s="205">
        <f t="shared" si="29"/>
        <v>19286.708587419434</v>
      </c>
      <c r="R39" s="205">
        <f t="shared" si="29"/>
        <v>19286.708587419434</v>
      </c>
      <c r="S39" s="205">
        <f t="shared" si="29"/>
        <v>19286.708587419434</v>
      </c>
      <c r="T39" s="205">
        <f t="shared" si="29"/>
        <v>19286.708587419434</v>
      </c>
      <c r="U39" s="205">
        <f t="shared" si="29"/>
        <v>19286.708587419434</v>
      </c>
      <c r="V39" s="205">
        <f t="shared" ref="V39:AK40" si="30">IF(V$2&lt;=($B$2+$C$2+$D$2),IF(V$2&lt;=($B$2+$C$2),IF(V$2&lt;=$B$2,$B39,$C39),$D39),$E39)</f>
        <v>19286.708587419434</v>
      </c>
      <c r="W39" s="205">
        <f t="shared" si="30"/>
        <v>19286.708587419434</v>
      </c>
      <c r="X39" s="205">
        <f t="shared" si="30"/>
        <v>19286.708587419434</v>
      </c>
      <c r="Y39" s="205">
        <f t="shared" si="30"/>
        <v>19286.708587419434</v>
      </c>
      <c r="Z39" s="205">
        <f t="shared" si="30"/>
        <v>19286.708587419434</v>
      </c>
      <c r="AA39" s="205">
        <f t="shared" si="30"/>
        <v>19286.708587419434</v>
      </c>
      <c r="AB39" s="205">
        <f t="shared" si="30"/>
        <v>19286.708587419434</v>
      </c>
      <c r="AC39" s="205">
        <f t="shared" si="30"/>
        <v>19286.708587419434</v>
      </c>
      <c r="AD39" s="205">
        <f t="shared" si="30"/>
        <v>19286.708587419434</v>
      </c>
      <c r="AE39" s="205">
        <f t="shared" si="30"/>
        <v>19286.708587419434</v>
      </c>
      <c r="AF39" s="205">
        <f t="shared" si="30"/>
        <v>19286.708587419434</v>
      </c>
      <c r="AG39" s="205">
        <f t="shared" si="30"/>
        <v>19286.708587419434</v>
      </c>
      <c r="AH39" s="205">
        <f t="shared" si="30"/>
        <v>19286.708587419434</v>
      </c>
      <c r="AI39" s="205">
        <f t="shared" si="30"/>
        <v>19286.708587419434</v>
      </c>
      <c r="AJ39" s="205">
        <f t="shared" si="30"/>
        <v>19286.708587419434</v>
      </c>
      <c r="AK39" s="205">
        <f t="shared" si="30"/>
        <v>19286.708587419434</v>
      </c>
      <c r="AL39" s="205">
        <f t="shared" ref="AL39:BA40" si="31">IF(AL$2&lt;=($B$2+$C$2+$D$2),IF(AL$2&lt;=($B$2+$C$2),IF(AL$2&lt;=$B$2,$B39,$C39),$D39),$E39)</f>
        <v>19286.708587419434</v>
      </c>
      <c r="AM39" s="205">
        <f t="shared" si="31"/>
        <v>19286.708587419434</v>
      </c>
      <c r="AN39" s="205">
        <f t="shared" si="31"/>
        <v>19286.708587419434</v>
      </c>
      <c r="AO39" s="205">
        <f t="shared" si="31"/>
        <v>19286.708587419434</v>
      </c>
      <c r="AP39" s="205">
        <f t="shared" si="31"/>
        <v>19286.708587419434</v>
      </c>
      <c r="AQ39" s="205">
        <f t="shared" si="31"/>
        <v>19286.708587419434</v>
      </c>
      <c r="AR39" s="205">
        <f t="shared" si="31"/>
        <v>19286.708587419434</v>
      </c>
      <c r="AS39" s="205">
        <f t="shared" si="31"/>
        <v>19286.708587419434</v>
      </c>
      <c r="AT39" s="205">
        <f t="shared" si="31"/>
        <v>19286.708587419434</v>
      </c>
      <c r="AU39" s="205">
        <f t="shared" si="31"/>
        <v>19286.708587419434</v>
      </c>
      <c r="AV39" s="205">
        <f t="shared" si="31"/>
        <v>19286.708587419434</v>
      </c>
      <c r="AW39" s="205">
        <f t="shared" si="31"/>
        <v>19286.708587419434</v>
      </c>
      <c r="AX39" s="205">
        <f t="shared" si="31"/>
        <v>19286.708587419434</v>
      </c>
      <c r="AY39" s="205">
        <f t="shared" si="31"/>
        <v>19286.708587419434</v>
      </c>
      <c r="AZ39" s="205">
        <f t="shared" si="31"/>
        <v>19286.708587419434</v>
      </c>
      <c r="BA39" s="205">
        <f t="shared" si="31"/>
        <v>19286.708587419434</v>
      </c>
      <c r="BB39" s="205">
        <f t="shared" ref="BB39:CD40" si="32">IF(BB$2&lt;=($B$2+$C$2+$D$2),IF(BB$2&lt;=($B$2+$C$2),IF(BB$2&lt;=$B$2,$B39,$C39),$D39),$E39)</f>
        <v>19286.708587419434</v>
      </c>
      <c r="BC39" s="205">
        <f t="shared" si="32"/>
        <v>19286.708587419434</v>
      </c>
      <c r="BD39" s="205">
        <f t="shared" si="32"/>
        <v>19286.708587419431</v>
      </c>
      <c r="BE39" s="205">
        <f t="shared" si="32"/>
        <v>19286.708587419431</v>
      </c>
      <c r="BF39" s="205">
        <f t="shared" si="32"/>
        <v>19286.708587419431</v>
      </c>
      <c r="BG39" s="205">
        <f t="shared" si="32"/>
        <v>19286.708587419431</v>
      </c>
      <c r="BH39" s="205">
        <f t="shared" si="32"/>
        <v>19286.708587419431</v>
      </c>
      <c r="BI39" s="205">
        <f t="shared" si="32"/>
        <v>19286.708587419431</v>
      </c>
      <c r="BJ39" s="205">
        <f t="shared" si="32"/>
        <v>19286.708587419431</v>
      </c>
      <c r="BK39" s="205">
        <f t="shared" si="32"/>
        <v>19286.708587419431</v>
      </c>
      <c r="BL39" s="205">
        <f t="shared" si="32"/>
        <v>19286.708587419431</v>
      </c>
      <c r="BM39" s="205">
        <f t="shared" si="32"/>
        <v>19286.708587419431</v>
      </c>
      <c r="BN39" s="205">
        <f t="shared" si="32"/>
        <v>19286.708587419431</v>
      </c>
      <c r="BO39" s="205">
        <f t="shared" si="32"/>
        <v>19286.708587419431</v>
      </c>
      <c r="BP39" s="205">
        <f t="shared" si="32"/>
        <v>19286.708587419431</v>
      </c>
      <c r="BQ39" s="205">
        <f t="shared" si="32"/>
        <v>19286.708587419431</v>
      </c>
      <c r="BR39" s="205">
        <f t="shared" si="32"/>
        <v>19286.708587419431</v>
      </c>
      <c r="BS39" s="205">
        <f t="shared" si="32"/>
        <v>19286.708587419431</v>
      </c>
      <c r="BT39" s="205">
        <f t="shared" si="32"/>
        <v>19286.708587419431</v>
      </c>
      <c r="BU39" s="205">
        <f t="shared" si="32"/>
        <v>19286.708587419431</v>
      </c>
      <c r="BV39" s="205">
        <f t="shared" si="32"/>
        <v>19286.708587419431</v>
      </c>
      <c r="BW39" s="205">
        <f t="shared" si="32"/>
        <v>19286.708587419431</v>
      </c>
      <c r="BX39" s="205">
        <f t="shared" si="32"/>
        <v>19286.708587419431</v>
      </c>
      <c r="BY39" s="205">
        <f t="shared" si="32"/>
        <v>19286.708587419431</v>
      </c>
      <c r="BZ39" s="205">
        <f t="shared" si="32"/>
        <v>19286.708587419431</v>
      </c>
      <c r="CA39" s="205">
        <f t="shared" si="32"/>
        <v>19286.708587419431</v>
      </c>
      <c r="CB39" s="205">
        <f t="shared" si="32"/>
        <v>19286.708587419431</v>
      </c>
      <c r="CC39" s="205">
        <f t="shared" si="32"/>
        <v>19286.708587419424</v>
      </c>
      <c r="CD39" s="205">
        <f t="shared" si="32"/>
        <v>19286.708587419424</v>
      </c>
      <c r="CE39" s="205">
        <f t="shared" ref="CE39:CR40" si="33">IF(CE$2&lt;=($B$2+$C$2+$D$2),IF(CE$2&lt;=($B$2+$C$2),IF(CE$2&lt;=$B$2,$B39,$C39),$D39),$E39)</f>
        <v>19286.708587419424</v>
      </c>
      <c r="CF39" s="205">
        <f t="shared" si="33"/>
        <v>19286.708587419424</v>
      </c>
      <c r="CG39" s="205">
        <f t="shared" si="33"/>
        <v>19286.708587419424</v>
      </c>
      <c r="CH39" s="205">
        <f t="shared" si="33"/>
        <v>19286.708587419424</v>
      </c>
      <c r="CI39" s="205">
        <f t="shared" si="33"/>
        <v>19286.708587419424</v>
      </c>
      <c r="CJ39" s="205">
        <f t="shared" si="33"/>
        <v>19286.708587419424</v>
      </c>
      <c r="CK39" s="205">
        <f t="shared" si="33"/>
        <v>19286.708587419424</v>
      </c>
      <c r="CL39" s="205">
        <f t="shared" si="33"/>
        <v>19286.708587419424</v>
      </c>
      <c r="CM39" s="205">
        <f t="shared" si="33"/>
        <v>19286.708587419424</v>
      </c>
      <c r="CN39" s="205">
        <f t="shared" si="33"/>
        <v>19286.708587419424</v>
      </c>
      <c r="CO39" s="205">
        <f t="shared" si="33"/>
        <v>19286.708587419424</v>
      </c>
      <c r="CP39" s="205">
        <f t="shared" si="33"/>
        <v>19286.708587419424</v>
      </c>
      <c r="CQ39" s="205">
        <f t="shared" si="33"/>
        <v>19286.708587419424</v>
      </c>
      <c r="CR39" s="205">
        <f t="shared" si="33"/>
        <v>19286.708587419434</v>
      </c>
      <c r="CS39" s="205">
        <f t="shared" ref="CS39:DA40" si="34">IF(CS$2&lt;=($B$2+$C$2+$D$2),IF(CS$2&lt;=($B$2+$C$2),IF(CS$2&lt;=$B$2,$B39,$C39),$D39),$E39)</f>
        <v>19286.708587419434</v>
      </c>
      <c r="CT39" s="205">
        <f t="shared" si="34"/>
        <v>19286.708587419434</v>
      </c>
      <c r="CU39" s="205">
        <f t="shared" si="34"/>
        <v>19286.708587419434</v>
      </c>
      <c r="CV39" s="205">
        <f t="shared" si="34"/>
        <v>19286.708587419434</v>
      </c>
      <c r="CW39" s="205">
        <f t="shared" si="34"/>
        <v>19286.708587419434</v>
      </c>
      <c r="CX39" s="205">
        <f t="shared" si="34"/>
        <v>19286.708587419434</v>
      </c>
      <c r="CY39" s="205">
        <f t="shared" si="34"/>
        <v>19286.708587419434</v>
      </c>
      <c r="CZ39" s="205">
        <f t="shared" si="34"/>
        <v>19286.708587419434</v>
      </c>
      <c r="DA39" s="205">
        <f t="shared" si="34"/>
        <v>19286.708587419434</v>
      </c>
    </row>
    <row r="40" spans="1:105">
      <c r="A40" s="202" t="str">
        <f>Income!A90</f>
        <v>Lower Bound Poverty line</v>
      </c>
      <c r="B40" s="204">
        <f>Income!B90</f>
        <v>34865.375254086095</v>
      </c>
      <c r="C40" s="204">
        <f>Income!C90</f>
        <v>34865.375254086095</v>
      </c>
      <c r="D40" s="204">
        <f>Income!D90</f>
        <v>34865.375254086095</v>
      </c>
      <c r="E40" s="204">
        <f>Income!E90</f>
        <v>34865.375254086102</v>
      </c>
      <c r="F40" s="205">
        <f t="shared" ref="F40:U40" si="35">IF(F$2&lt;=($B$2+$C$2+$D$2),IF(F$2&lt;=($B$2+$C$2),IF(F$2&lt;=$B$2,$B40,$C40),$D40),$E40)</f>
        <v>34865.375254086095</v>
      </c>
      <c r="G40" s="205">
        <f t="shared" si="35"/>
        <v>34865.375254086095</v>
      </c>
      <c r="H40" s="205">
        <f t="shared" si="35"/>
        <v>34865.375254086095</v>
      </c>
      <c r="I40" s="205">
        <f t="shared" si="35"/>
        <v>34865.375254086095</v>
      </c>
      <c r="J40" s="205">
        <f t="shared" si="35"/>
        <v>34865.375254086095</v>
      </c>
      <c r="K40" s="205">
        <f t="shared" si="35"/>
        <v>34865.375254086095</v>
      </c>
      <c r="L40" s="205">
        <f t="shared" si="35"/>
        <v>34865.375254086095</v>
      </c>
      <c r="M40" s="205">
        <f t="shared" si="35"/>
        <v>34865.375254086095</v>
      </c>
      <c r="N40" s="205">
        <f t="shared" si="35"/>
        <v>34865.375254086095</v>
      </c>
      <c r="O40" s="205">
        <f t="shared" si="35"/>
        <v>34865.375254086095</v>
      </c>
      <c r="P40" s="205">
        <f t="shared" si="35"/>
        <v>34865.375254086095</v>
      </c>
      <c r="Q40" s="205">
        <f t="shared" si="35"/>
        <v>34865.375254086095</v>
      </c>
      <c r="R40" s="205">
        <f t="shared" si="35"/>
        <v>34865.375254086095</v>
      </c>
      <c r="S40" s="205">
        <f t="shared" si="35"/>
        <v>34865.375254086095</v>
      </c>
      <c r="T40" s="205">
        <f t="shared" si="35"/>
        <v>34865.375254086095</v>
      </c>
      <c r="U40" s="205">
        <f t="shared" si="35"/>
        <v>34865.375254086095</v>
      </c>
      <c r="V40" s="205">
        <f t="shared" si="30"/>
        <v>34865.375254086095</v>
      </c>
      <c r="W40" s="205">
        <f t="shared" si="30"/>
        <v>34865.375254086095</v>
      </c>
      <c r="X40" s="205">
        <f t="shared" si="30"/>
        <v>34865.375254086095</v>
      </c>
      <c r="Y40" s="205">
        <f t="shared" si="30"/>
        <v>34865.375254086095</v>
      </c>
      <c r="Z40" s="205">
        <f t="shared" si="30"/>
        <v>34865.375254086095</v>
      </c>
      <c r="AA40" s="205">
        <f t="shared" si="30"/>
        <v>34865.375254086095</v>
      </c>
      <c r="AB40" s="205">
        <f t="shared" si="30"/>
        <v>34865.375254086095</v>
      </c>
      <c r="AC40" s="205">
        <f t="shared" si="30"/>
        <v>34865.375254086095</v>
      </c>
      <c r="AD40" s="205">
        <f t="shared" si="30"/>
        <v>34865.375254086095</v>
      </c>
      <c r="AE40" s="205">
        <f t="shared" si="30"/>
        <v>34865.375254086095</v>
      </c>
      <c r="AF40" s="205">
        <f t="shared" si="30"/>
        <v>34865.375254086095</v>
      </c>
      <c r="AG40" s="205">
        <f t="shared" si="30"/>
        <v>34865.375254086095</v>
      </c>
      <c r="AH40" s="205">
        <f t="shared" si="30"/>
        <v>34865.375254086095</v>
      </c>
      <c r="AI40" s="205">
        <f t="shared" si="30"/>
        <v>34865.375254086095</v>
      </c>
      <c r="AJ40" s="205">
        <f t="shared" si="30"/>
        <v>34865.375254086095</v>
      </c>
      <c r="AK40" s="205">
        <f t="shared" si="30"/>
        <v>34865.375254086095</v>
      </c>
      <c r="AL40" s="205">
        <f t="shared" si="31"/>
        <v>34865.375254086095</v>
      </c>
      <c r="AM40" s="205">
        <f t="shared" si="31"/>
        <v>34865.375254086095</v>
      </c>
      <c r="AN40" s="205">
        <f t="shared" si="31"/>
        <v>34865.375254086095</v>
      </c>
      <c r="AO40" s="205">
        <f t="shared" si="31"/>
        <v>34865.375254086095</v>
      </c>
      <c r="AP40" s="205">
        <f t="shared" si="31"/>
        <v>34865.375254086095</v>
      </c>
      <c r="AQ40" s="205">
        <f t="shared" si="31"/>
        <v>34865.375254086095</v>
      </c>
      <c r="AR40" s="205">
        <f t="shared" si="31"/>
        <v>34865.375254086095</v>
      </c>
      <c r="AS40" s="205">
        <f t="shared" si="31"/>
        <v>34865.375254086095</v>
      </c>
      <c r="AT40" s="205">
        <f t="shared" si="31"/>
        <v>34865.375254086095</v>
      </c>
      <c r="AU40" s="205">
        <f t="shared" si="31"/>
        <v>34865.375254086095</v>
      </c>
      <c r="AV40" s="205">
        <f t="shared" si="31"/>
        <v>34865.375254086095</v>
      </c>
      <c r="AW40" s="205">
        <f t="shared" si="31"/>
        <v>34865.375254086095</v>
      </c>
      <c r="AX40" s="205">
        <f t="shared" si="31"/>
        <v>34865.375254086095</v>
      </c>
      <c r="AY40" s="205">
        <f t="shared" si="31"/>
        <v>34865.375254086095</v>
      </c>
      <c r="AZ40" s="205">
        <f t="shared" si="31"/>
        <v>34865.375254086095</v>
      </c>
      <c r="BA40" s="205">
        <f t="shared" si="31"/>
        <v>34865.375254086095</v>
      </c>
      <c r="BB40" s="205">
        <f t="shared" si="32"/>
        <v>34865.375254086095</v>
      </c>
      <c r="BC40" s="205">
        <f t="shared" si="32"/>
        <v>34865.375254086095</v>
      </c>
      <c r="BD40" s="205">
        <f t="shared" si="32"/>
        <v>34865.375254086095</v>
      </c>
      <c r="BE40" s="205">
        <f t="shared" si="32"/>
        <v>34865.375254086095</v>
      </c>
      <c r="BF40" s="205">
        <f t="shared" si="32"/>
        <v>34865.375254086095</v>
      </c>
      <c r="BG40" s="205">
        <f t="shared" si="32"/>
        <v>34865.375254086095</v>
      </c>
      <c r="BH40" s="205">
        <f t="shared" si="32"/>
        <v>34865.375254086095</v>
      </c>
      <c r="BI40" s="205">
        <f t="shared" si="32"/>
        <v>34865.375254086095</v>
      </c>
      <c r="BJ40" s="205">
        <f t="shared" si="32"/>
        <v>34865.375254086095</v>
      </c>
      <c r="BK40" s="205">
        <f t="shared" si="32"/>
        <v>34865.375254086095</v>
      </c>
      <c r="BL40" s="205">
        <f t="shared" si="32"/>
        <v>34865.375254086095</v>
      </c>
      <c r="BM40" s="205">
        <f t="shared" si="32"/>
        <v>34865.375254086095</v>
      </c>
      <c r="BN40" s="205">
        <f t="shared" si="32"/>
        <v>34865.375254086095</v>
      </c>
      <c r="BO40" s="205">
        <f t="shared" si="32"/>
        <v>34865.375254086095</v>
      </c>
      <c r="BP40" s="205">
        <f t="shared" si="32"/>
        <v>34865.375254086095</v>
      </c>
      <c r="BQ40" s="205">
        <f t="shared" si="32"/>
        <v>34865.375254086095</v>
      </c>
      <c r="BR40" s="205">
        <f t="shared" si="32"/>
        <v>34865.375254086095</v>
      </c>
      <c r="BS40" s="205">
        <f t="shared" si="32"/>
        <v>34865.375254086095</v>
      </c>
      <c r="BT40" s="205">
        <f t="shared" si="32"/>
        <v>34865.375254086095</v>
      </c>
      <c r="BU40" s="205">
        <f t="shared" si="32"/>
        <v>34865.375254086095</v>
      </c>
      <c r="BV40" s="205">
        <f t="shared" si="32"/>
        <v>34865.375254086095</v>
      </c>
      <c r="BW40" s="205">
        <f t="shared" si="32"/>
        <v>34865.375254086095</v>
      </c>
      <c r="BX40" s="205">
        <f t="shared" si="32"/>
        <v>34865.375254086095</v>
      </c>
      <c r="BY40" s="205">
        <f t="shared" si="32"/>
        <v>34865.375254086095</v>
      </c>
      <c r="BZ40" s="205">
        <f t="shared" si="32"/>
        <v>34865.375254086095</v>
      </c>
      <c r="CA40" s="205">
        <f t="shared" si="32"/>
        <v>34865.375254086095</v>
      </c>
      <c r="CB40" s="205">
        <f t="shared" si="32"/>
        <v>34865.375254086095</v>
      </c>
      <c r="CC40" s="205">
        <f t="shared" si="32"/>
        <v>34865.375254086095</v>
      </c>
      <c r="CD40" s="205">
        <f t="shared" si="32"/>
        <v>34865.375254086095</v>
      </c>
      <c r="CE40" s="205">
        <f t="shared" si="33"/>
        <v>34865.375254086095</v>
      </c>
      <c r="CF40" s="205">
        <f t="shared" si="33"/>
        <v>34865.375254086095</v>
      </c>
      <c r="CG40" s="205">
        <f t="shared" si="33"/>
        <v>34865.375254086095</v>
      </c>
      <c r="CH40" s="205">
        <f t="shared" si="33"/>
        <v>34865.375254086095</v>
      </c>
      <c r="CI40" s="205">
        <f t="shared" si="33"/>
        <v>34865.375254086095</v>
      </c>
      <c r="CJ40" s="205">
        <f t="shared" si="33"/>
        <v>34865.375254086095</v>
      </c>
      <c r="CK40" s="205">
        <f t="shared" si="33"/>
        <v>34865.375254086095</v>
      </c>
      <c r="CL40" s="205">
        <f t="shared" si="33"/>
        <v>34865.375254086095</v>
      </c>
      <c r="CM40" s="205">
        <f t="shared" si="33"/>
        <v>34865.375254086095</v>
      </c>
      <c r="CN40" s="205">
        <f t="shared" si="33"/>
        <v>34865.375254086095</v>
      </c>
      <c r="CO40" s="205">
        <f t="shared" si="33"/>
        <v>34865.375254086095</v>
      </c>
      <c r="CP40" s="205">
        <f t="shared" si="33"/>
        <v>34865.375254086095</v>
      </c>
      <c r="CQ40" s="205">
        <f t="shared" si="33"/>
        <v>34865.375254086095</v>
      </c>
      <c r="CR40" s="205">
        <f t="shared" si="33"/>
        <v>34865.375254086102</v>
      </c>
      <c r="CS40" s="205">
        <f t="shared" si="34"/>
        <v>34865.375254086102</v>
      </c>
      <c r="CT40" s="205">
        <f t="shared" si="34"/>
        <v>34865.375254086102</v>
      </c>
      <c r="CU40" s="205">
        <f t="shared" si="34"/>
        <v>34865.375254086102</v>
      </c>
      <c r="CV40" s="205">
        <f t="shared" si="34"/>
        <v>34865.375254086102</v>
      </c>
      <c r="CW40" s="205">
        <f t="shared" si="34"/>
        <v>34865.375254086102</v>
      </c>
      <c r="CX40" s="205">
        <f t="shared" si="34"/>
        <v>34865.375254086102</v>
      </c>
      <c r="CY40" s="205">
        <f t="shared" si="34"/>
        <v>34865.375254086102</v>
      </c>
      <c r="CZ40" s="205">
        <f t="shared" si="34"/>
        <v>34865.375254086102</v>
      </c>
      <c r="DA40" s="205">
        <f t="shared" si="34"/>
        <v>34865.375254086102</v>
      </c>
    </row>
    <row r="42" spans="1:105">
      <c r="A42" s="202" t="str">
        <f>Income!A72</f>
        <v>Own crops Consumed</v>
      </c>
      <c r="F42" s="211">
        <f t="shared" ref="F42:AK42" si="36">IF(F$22&lt;=$E$24,IF(F$22&lt;=$D$24,IF(F$22&lt;=$C$24,IF(F$22&lt;=$B$24,$B108,($C25-$B25)/($C$24-$B$24)),($D25-$C25)/($D$24-$C$24)),($E25-$D25)/($E$24-$D$24)),$F108)</f>
        <v>0</v>
      </c>
      <c r="G42" s="211">
        <f t="shared" si="36"/>
        <v>0</v>
      </c>
      <c r="H42" s="211">
        <f t="shared" si="36"/>
        <v>0</v>
      </c>
      <c r="I42" s="211">
        <f t="shared" si="36"/>
        <v>0</v>
      </c>
      <c r="J42" s="211">
        <f t="shared" si="36"/>
        <v>0</v>
      </c>
      <c r="K42" s="211">
        <f t="shared" si="36"/>
        <v>0</v>
      </c>
      <c r="L42" s="211">
        <f t="shared" si="36"/>
        <v>0</v>
      </c>
      <c r="M42" s="211">
        <f t="shared" si="36"/>
        <v>0</v>
      </c>
      <c r="N42" s="211">
        <f t="shared" si="36"/>
        <v>0</v>
      </c>
      <c r="O42" s="211">
        <f t="shared" si="36"/>
        <v>0</v>
      </c>
      <c r="P42" s="211">
        <f t="shared" si="36"/>
        <v>0</v>
      </c>
      <c r="Q42" s="211">
        <f t="shared" si="36"/>
        <v>0</v>
      </c>
      <c r="R42" s="211">
        <f t="shared" si="36"/>
        <v>0</v>
      </c>
      <c r="S42" s="211">
        <f t="shared" si="36"/>
        <v>0</v>
      </c>
      <c r="T42" s="211">
        <f t="shared" si="36"/>
        <v>0</v>
      </c>
      <c r="U42" s="211">
        <f t="shared" si="36"/>
        <v>0</v>
      </c>
      <c r="V42" s="211">
        <f t="shared" si="36"/>
        <v>0</v>
      </c>
      <c r="W42" s="211">
        <f t="shared" si="36"/>
        <v>0</v>
      </c>
      <c r="X42" s="211">
        <f t="shared" si="36"/>
        <v>0</v>
      </c>
      <c r="Y42" s="211">
        <f t="shared" si="36"/>
        <v>0</v>
      </c>
      <c r="Z42" s="211">
        <f t="shared" si="36"/>
        <v>0</v>
      </c>
      <c r="AA42" s="211">
        <f t="shared" si="36"/>
        <v>0</v>
      </c>
      <c r="AB42" s="211">
        <f t="shared" si="36"/>
        <v>0</v>
      </c>
      <c r="AC42" s="211">
        <f t="shared" si="36"/>
        <v>0</v>
      </c>
      <c r="AD42" s="211">
        <f t="shared" si="36"/>
        <v>0</v>
      </c>
      <c r="AE42" s="211">
        <f t="shared" si="36"/>
        <v>0</v>
      </c>
      <c r="AF42" s="211">
        <f t="shared" si="36"/>
        <v>33.031728492501976</v>
      </c>
      <c r="AG42" s="211">
        <f t="shared" si="36"/>
        <v>33.031728492501976</v>
      </c>
      <c r="AH42" s="211">
        <f t="shared" si="36"/>
        <v>33.031728492501976</v>
      </c>
      <c r="AI42" s="211">
        <f t="shared" si="36"/>
        <v>33.031728492501976</v>
      </c>
      <c r="AJ42" s="211">
        <f t="shared" si="36"/>
        <v>33.031728492501976</v>
      </c>
      <c r="AK42" s="211">
        <f t="shared" si="36"/>
        <v>33.031728492501976</v>
      </c>
      <c r="AL42" s="211">
        <f t="shared" ref="AL42:BQ42" si="37">IF(AL$22&lt;=$E$24,IF(AL$22&lt;=$D$24,IF(AL$22&lt;=$C$24,IF(AL$22&lt;=$B$24,$B108,($C25-$B25)/($C$24-$B$24)),($D25-$C25)/($D$24-$C$24)),($E25-$D25)/($E$24-$D$24)),$F108)</f>
        <v>33.031728492501976</v>
      </c>
      <c r="AM42" s="211">
        <f t="shared" si="37"/>
        <v>33.031728492501976</v>
      </c>
      <c r="AN42" s="211">
        <f t="shared" si="37"/>
        <v>33.031728492501976</v>
      </c>
      <c r="AO42" s="211">
        <f t="shared" si="37"/>
        <v>33.031728492501976</v>
      </c>
      <c r="AP42" s="211">
        <f t="shared" si="37"/>
        <v>33.031728492501976</v>
      </c>
      <c r="AQ42" s="211">
        <f t="shared" si="37"/>
        <v>33.031728492501976</v>
      </c>
      <c r="AR42" s="211">
        <f t="shared" si="37"/>
        <v>33.031728492501976</v>
      </c>
      <c r="AS42" s="211">
        <f t="shared" si="37"/>
        <v>33.031728492501976</v>
      </c>
      <c r="AT42" s="211">
        <f t="shared" si="37"/>
        <v>33.031728492501976</v>
      </c>
      <c r="AU42" s="211">
        <f t="shared" si="37"/>
        <v>33.031728492501976</v>
      </c>
      <c r="AV42" s="211">
        <f t="shared" si="37"/>
        <v>33.031728492501976</v>
      </c>
      <c r="AW42" s="211">
        <f t="shared" si="37"/>
        <v>33.031728492501976</v>
      </c>
      <c r="AX42" s="211">
        <f t="shared" si="37"/>
        <v>33.031728492501976</v>
      </c>
      <c r="AY42" s="211">
        <f t="shared" si="37"/>
        <v>33.031728492501976</v>
      </c>
      <c r="AZ42" s="211">
        <f t="shared" si="37"/>
        <v>33.031728492501976</v>
      </c>
      <c r="BA42" s="211">
        <f t="shared" si="37"/>
        <v>33.031728492501976</v>
      </c>
      <c r="BB42" s="211">
        <f t="shared" si="37"/>
        <v>33.031728492501976</v>
      </c>
      <c r="BC42" s="211">
        <f t="shared" si="37"/>
        <v>33.031728492501976</v>
      </c>
      <c r="BD42" s="211">
        <f t="shared" si="37"/>
        <v>33.031728492501976</v>
      </c>
      <c r="BE42" s="211">
        <f t="shared" si="37"/>
        <v>33.031728492501976</v>
      </c>
      <c r="BF42" s="211">
        <f t="shared" si="37"/>
        <v>33.031728492501976</v>
      </c>
      <c r="BG42" s="211">
        <f t="shared" si="37"/>
        <v>33.031728492501976</v>
      </c>
      <c r="BH42" s="211">
        <f t="shared" si="37"/>
        <v>33.031728492501976</v>
      </c>
      <c r="BI42" s="211">
        <f t="shared" si="37"/>
        <v>33.031728492501976</v>
      </c>
      <c r="BJ42" s="211">
        <f t="shared" si="37"/>
        <v>33.031728492501976</v>
      </c>
      <c r="BK42" s="211">
        <f t="shared" si="37"/>
        <v>33.031728492501976</v>
      </c>
      <c r="BL42" s="211">
        <f t="shared" si="37"/>
        <v>33.031728492501976</v>
      </c>
      <c r="BM42" s="211">
        <f t="shared" si="37"/>
        <v>33.031728492501976</v>
      </c>
      <c r="BN42" s="211">
        <f t="shared" si="37"/>
        <v>33.031728492501976</v>
      </c>
      <c r="BO42" s="211">
        <f t="shared" si="37"/>
        <v>33.031728492501976</v>
      </c>
      <c r="BP42" s="211">
        <f t="shared" si="37"/>
        <v>33.031728492501976</v>
      </c>
      <c r="BQ42" s="211">
        <f t="shared" si="37"/>
        <v>-7.6124704025256618</v>
      </c>
      <c r="BR42" s="211">
        <f t="shared" ref="BR42:DA42" si="38">IF(BR$22&lt;=$E$24,IF(BR$22&lt;=$D$24,IF(BR$22&lt;=$C$24,IF(BR$22&lt;=$B$24,$B108,($C25-$B25)/($C$24-$B$24)),($D25-$C25)/($D$24-$C$24)),($E25-$D25)/($E$24-$D$24)),$F108)</f>
        <v>-7.6124704025256618</v>
      </c>
      <c r="BS42" s="211">
        <f t="shared" si="38"/>
        <v>-7.6124704025256618</v>
      </c>
      <c r="BT42" s="211">
        <f t="shared" si="38"/>
        <v>-7.6124704025256618</v>
      </c>
      <c r="BU42" s="211">
        <f t="shared" si="38"/>
        <v>-7.6124704025256618</v>
      </c>
      <c r="BV42" s="211">
        <f t="shared" si="38"/>
        <v>-7.6124704025256618</v>
      </c>
      <c r="BW42" s="211">
        <f t="shared" si="38"/>
        <v>-7.6124704025256618</v>
      </c>
      <c r="BX42" s="211">
        <f t="shared" si="38"/>
        <v>-7.6124704025256618</v>
      </c>
      <c r="BY42" s="211">
        <f t="shared" si="38"/>
        <v>-7.6124704025256618</v>
      </c>
      <c r="BZ42" s="211">
        <f t="shared" si="38"/>
        <v>-7.6124704025256618</v>
      </c>
      <c r="CA42" s="211">
        <f t="shared" si="38"/>
        <v>-7.6124704025256618</v>
      </c>
      <c r="CB42" s="211">
        <f t="shared" si="38"/>
        <v>-7.6124704025256618</v>
      </c>
      <c r="CC42" s="211">
        <f t="shared" si="38"/>
        <v>-7.6124704025256618</v>
      </c>
      <c r="CD42" s="211">
        <f t="shared" si="38"/>
        <v>-7.6124704025256618</v>
      </c>
      <c r="CE42" s="211">
        <f t="shared" si="38"/>
        <v>-7.6124704025256618</v>
      </c>
      <c r="CF42" s="211">
        <f t="shared" si="38"/>
        <v>-7.6124704025256618</v>
      </c>
      <c r="CG42" s="211">
        <f t="shared" si="38"/>
        <v>-7.6124704025256618</v>
      </c>
      <c r="CH42" s="211">
        <f t="shared" si="38"/>
        <v>-7.6124704025256618</v>
      </c>
      <c r="CI42" s="211">
        <f t="shared" si="38"/>
        <v>-7.6124704025256618</v>
      </c>
      <c r="CJ42" s="211">
        <f t="shared" si="38"/>
        <v>-7.6124704025256618</v>
      </c>
      <c r="CK42" s="211">
        <f t="shared" si="38"/>
        <v>-43.033307024467234</v>
      </c>
      <c r="CL42" s="211">
        <f t="shared" si="38"/>
        <v>-43.033307024467234</v>
      </c>
      <c r="CM42" s="211">
        <f t="shared" si="38"/>
        <v>-43.033307024467234</v>
      </c>
      <c r="CN42" s="211">
        <f t="shared" si="38"/>
        <v>-43.033307024467234</v>
      </c>
      <c r="CO42" s="211">
        <f t="shared" si="38"/>
        <v>-43.033307024467234</v>
      </c>
      <c r="CP42" s="211">
        <f t="shared" si="38"/>
        <v>-43.033307024467234</v>
      </c>
      <c r="CQ42" s="211">
        <f t="shared" si="38"/>
        <v>-43.033307024467234</v>
      </c>
      <c r="CR42" s="211">
        <f t="shared" si="38"/>
        <v>-43.033307024467234</v>
      </c>
      <c r="CS42" s="211">
        <f t="shared" si="38"/>
        <v>-43.033307024467234</v>
      </c>
      <c r="CT42" s="211">
        <f t="shared" si="38"/>
        <v>-43.033307024467234</v>
      </c>
      <c r="CU42" s="211">
        <f t="shared" si="38"/>
        <v>-43.033307024467234</v>
      </c>
      <c r="CV42" s="211">
        <f t="shared" si="38"/>
        <v>-43.033307024467234</v>
      </c>
      <c r="CW42" s="211">
        <f t="shared" si="38"/>
        <v>-43.033307024467234</v>
      </c>
      <c r="CX42" s="211">
        <f t="shared" si="38"/>
        <v>106.36000000000007</v>
      </c>
      <c r="CY42" s="211">
        <f t="shared" si="38"/>
        <v>106.36000000000007</v>
      </c>
      <c r="CZ42" s="211">
        <f t="shared" si="38"/>
        <v>106.36000000000007</v>
      </c>
      <c r="DA42" s="211">
        <f t="shared" si="38"/>
        <v>106.36000000000007</v>
      </c>
    </row>
    <row r="43" spans="1:105">
      <c r="A43" s="202" t="str">
        <f>Income!A73</f>
        <v>Own crops sold</v>
      </c>
      <c r="F43" s="211">
        <f t="shared" ref="F43:AK43" si="39">IF(F$22&lt;=$E$24,IF(F$22&lt;=$D$24,IF(F$22&lt;=$C$24,IF(F$22&lt;=$B$24,$B109,($C26-$B26)/($C$24-$B$24)),($D26-$C26)/($D$24-$C$24)),($E26-$D26)/($E$24-$D$24)),$F109)</f>
        <v>340.26</v>
      </c>
      <c r="G43" s="211">
        <f t="shared" si="39"/>
        <v>340.26</v>
      </c>
      <c r="H43" s="211">
        <f t="shared" si="39"/>
        <v>340.26</v>
      </c>
      <c r="I43" s="211">
        <f t="shared" si="39"/>
        <v>340.26</v>
      </c>
      <c r="J43" s="211">
        <f t="shared" si="39"/>
        <v>340.26</v>
      </c>
      <c r="K43" s="211">
        <f t="shared" si="39"/>
        <v>340.26</v>
      </c>
      <c r="L43" s="211">
        <f>IF(L$22&lt;=$E$24,IF(L$22&lt;=$D$24,IF(L$22&lt;=$C$24,IF(L$22&lt;=$B$24,$B109,($C26-$B26)/($C$24-$B$24)),($D26-$C26)/($D$24-$C$24)),($E26-$D26)/($E$24-$D$24)),$F109)</f>
        <v>340.26</v>
      </c>
      <c r="M43" s="211">
        <f t="shared" si="39"/>
        <v>340.26</v>
      </c>
      <c r="N43" s="211">
        <f t="shared" si="39"/>
        <v>340.26</v>
      </c>
      <c r="O43" s="211">
        <f t="shared" si="39"/>
        <v>340.26</v>
      </c>
      <c r="P43" s="211">
        <f t="shared" si="39"/>
        <v>340.26</v>
      </c>
      <c r="Q43" s="211">
        <f t="shared" si="39"/>
        <v>340.26</v>
      </c>
      <c r="R43" s="211">
        <f t="shared" si="39"/>
        <v>340.26</v>
      </c>
      <c r="S43" s="211">
        <f t="shared" si="39"/>
        <v>340.26</v>
      </c>
      <c r="T43" s="211">
        <f t="shared" si="39"/>
        <v>340.26</v>
      </c>
      <c r="U43" s="211">
        <f t="shared" si="39"/>
        <v>340.26</v>
      </c>
      <c r="V43" s="211">
        <f t="shared" si="39"/>
        <v>340.26</v>
      </c>
      <c r="W43" s="211">
        <f t="shared" si="39"/>
        <v>340.26</v>
      </c>
      <c r="X43" s="211">
        <f t="shared" si="39"/>
        <v>340.26</v>
      </c>
      <c r="Y43" s="211">
        <f t="shared" si="39"/>
        <v>340.26</v>
      </c>
      <c r="Z43" s="211">
        <f t="shared" si="39"/>
        <v>340.26</v>
      </c>
      <c r="AA43" s="211">
        <f t="shared" si="39"/>
        <v>340.26</v>
      </c>
      <c r="AB43" s="211">
        <f t="shared" si="39"/>
        <v>340.26</v>
      </c>
      <c r="AC43" s="211">
        <f t="shared" si="39"/>
        <v>340.26</v>
      </c>
      <c r="AD43" s="211">
        <f t="shared" si="39"/>
        <v>340.26</v>
      </c>
      <c r="AE43" s="211">
        <f t="shared" si="39"/>
        <v>340.26</v>
      </c>
      <c r="AF43" s="211">
        <f t="shared" si="39"/>
        <v>44.266666666666673</v>
      </c>
      <c r="AG43" s="211">
        <f t="shared" si="39"/>
        <v>44.266666666666673</v>
      </c>
      <c r="AH43" s="211">
        <f t="shared" si="39"/>
        <v>44.266666666666673</v>
      </c>
      <c r="AI43" s="211">
        <f t="shared" si="39"/>
        <v>44.266666666666673</v>
      </c>
      <c r="AJ43" s="211">
        <f t="shared" si="39"/>
        <v>44.266666666666673</v>
      </c>
      <c r="AK43" s="211">
        <f t="shared" si="39"/>
        <v>44.266666666666673</v>
      </c>
      <c r="AL43" s="211">
        <f t="shared" ref="AL43:BQ43" si="40">IF(AL$22&lt;=$E$24,IF(AL$22&lt;=$D$24,IF(AL$22&lt;=$C$24,IF(AL$22&lt;=$B$24,$B109,($C26-$B26)/($C$24-$B$24)),($D26-$C26)/($D$24-$C$24)),($E26-$D26)/($E$24-$D$24)),$F109)</f>
        <v>44.266666666666673</v>
      </c>
      <c r="AM43" s="211">
        <f t="shared" si="40"/>
        <v>44.266666666666673</v>
      </c>
      <c r="AN43" s="211">
        <f t="shared" si="40"/>
        <v>44.266666666666673</v>
      </c>
      <c r="AO43" s="211">
        <f t="shared" si="40"/>
        <v>44.266666666666673</v>
      </c>
      <c r="AP43" s="211">
        <f t="shared" si="40"/>
        <v>44.266666666666673</v>
      </c>
      <c r="AQ43" s="211">
        <f t="shared" si="40"/>
        <v>44.266666666666673</v>
      </c>
      <c r="AR43" s="211">
        <f t="shared" si="40"/>
        <v>44.266666666666673</v>
      </c>
      <c r="AS43" s="211">
        <f t="shared" si="40"/>
        <v>44.266666666666673</v>
      </c>
      <c r="AT43" s="211">
        <f t="shared" si="40"/>
        <v>44.266666666666673</v>
      </c>
      <c r="AU43" s="211">
        <f t="shared" si="40"/>
        <v>44.266666666666673</v>
      </c>
      <c r="AV43" s="211">
        <f t="shared" si="40"/>
        <v>44.266666666666673</v>
      </c>
      <c r="AW43" s="211">
        <f t="shared" si="40"/>
        <v>44.266666666666673</v>
      </c>
      <c r="AX43" s="211">
        <f t="shared" si="40"/>
        <v>44.266666666666673</v>
      </c>
      <c r="AY43" s="211">
        <f t="shared" si="40"/>
        <v>44.266666666666673</v>
      </c>
      <c r="AZ43" s="211">
        <f t="shared" si="40"/>
        <v>44.266666666666673</v>
      </c>
      <c r="BA43" s="211">
        <f t="shared" si="40"/>
        <v>44.266666666666673</v>
      </c>
      <c r="BB43" s="211">
        <f t="shared" si="40"/>
        <v>44.266666666666673</v>
      </c>
      <c r="BC43" s="211">
        <f t="shared" si="40"/>
        <v>44.266666666666673</v>
      </c>
      <c r="BD43" s="211">
        <f t="shared" si="40"/>
        <v>44.266666666666673</v>
      </c>
      <c r="BE43" s="211">
        <f t="shared" si="40"/>
        <v>44.266666666666673</v>
      </c>
      <c r="BF43" s="211">
        <f t="shared" si="40"/>
        <v>44.266666666666673</v>
      </c>
      <c r="BG43" s="211">
        <f t="shared" si="40"/>
        <v>44.266666666666673</v>
      </c>
      <c r="BH43" s="211">
        <f t="shared" si="40"/>
        <v>44.266666666666673</v>
      </c>
      <c r="BI43" s="211">
        <f t="shared" si="40"/>
        <v>44.266666666666673</v>
      </c>
      <c r="BJ43" s="211">
        <f t="shared" si="40"/>
        <v>44.266666666666673</v>
      </c>
      <c r="BK43" s="211">
        <f t="shared" si="40"/>
        <v>44.266666666666673</v>
      </c>
      <c r="BL43" s="211">
        <f t="shared" si="40"/>
        <v>44.266666666666673</v>
      </c>
      <c r="BM43" s="211">
        <f t="shared" si="40"/>
        <v>44.266666666666673</v>
      </c>
      <c r="BN43" s="211">
        <f t="shared" si="40"/>
        <v>44.266666666666673</v>
      </c>
      <c r="BO43" s="211">
        <f t="shared" si="40"/>
        <v>44.266666666666673</v>
      </c>
      <c r="BP43" s="211">
        <f t="shared" si="40"/>
        <v>44.266666666666673</v>
      </c>
      <c r="BQ43" s="211">
        <f t="shared" si="40"/>
        <v>1182.7142857142856</v>
      </c>
      <c r="BR43" s="211">
        <f t="shared" ref="BR43:DA43" si="41">IF(BR$22&lt;=$E$24,IF(BR$22&lt;=$D$24,IF(BR$22&lt;=$C$24,IF(BR$22&lt;=$B$24,$B109,($C26-$B26)/($C$24-$B$24)),($D26-$C26)/($D$24-$C$24)),($E26-$D26)/($E$24-$D$24)),$F109)</f>
        <v>1182.7142857142856</v>
      </c>
      <c r="BS43" s="211">
        <f t="shared" si="41"/>
        <v>1182.7142857142856</v>
      </c>
      <c r="BT43" s="211">
        <f t="shared" si="41"/>
        <v>1182.7142857142856</v>
      </c>
      <c r="BU43" s="211">
        <f t="shared" si="41"/>
        <v>1182.7142857142856</v>
      </c>
      <c r="BV43" s="211">
        <f t="shared" si="41"/>
        <v>1182.7142857142856</v>
      </c>
      <c r="BW43" s="211">
        <f t="shared" si="41"/>
        <v>1182.7142857142856</v>
      </c>
      <c r="BX43" s="211">
        <f t="shared" si="41"/>
        <v>1182.7142857142856</v>
      </c>
      <c r="BY43" s="211">
        <f t="shared" si="41"/>
        <v>1182.7142857142856</v>
      </c>
      <c r="BZ43" s="211">
        <f t="shared" si="41"/>
        <v>1182.7142857142856</v>
      </c>
      <c r="CA43" s="211">
        <f t="shared" si="41"/>
        <v>1182.7142857142856</v>
      </c>
      <c r="CB43" s="211">
        <f t="shared" si="41"/>
        <v>1182.7142857142856</v>
      </c>
      <c r="CC43" s="211">
        <f t="shared" si="41"/>
        <v>1182.7142857142856</v>
      </c>
      <c r="CD43" s="211">
        <f t="shared" si="41"/>
        <v>1182.7142857142856</v>
      </c>
      <c r="CE43" s="211">
        <f t="shared" si="41"/>
        <v>1182.7142857142856</v>
      </c>
      <c r="CF43" s="211">
        <f t="shared" si="41"/>
        <v>1182.7142857142856</v>
      </c>
      <c r="CG43" s="211">
        <f t="shared" si="41"/>
        <v>1182.7142857142856</v>
      </c>
      <c r="CH43" s="211">
        <f t="shared" si="41"/>
        <v>1182.7142857142856</v>
      </c>
      <c r="CI43" s="211">
        <f t="shared" si="41"/>
        <v>1182.7142857142856</v>
      </c>
      <c r="CJ43" s="211">
        <f t="shared" si="41"/>
        <v>1182.7142857142856</v>
      </c>
      <c r="CK43" s="211">
        <f t="shared" si="41"/>
        <v>-1222.5828571428567</v>
      </c>
      <c r="CL43" s="211">
        <f t="shared" si="41"/>
        <v>-1222.5828571428567</v>
      </c>
      <c r="CM43" s="211">
        <f t="shared" si="41"/>
        <v>-1222.5828571428567</v>
      </c>
      <c r="CN43" s="211">
        <f t="shared" si="41"/>
        <v>-1222.5828571428567</v>
      </c>
      <c r="CO43" s="211">
        <f t="shared" si="41"/>
        <v>-1222.5828571428567</v>
      </c>
      <c r="CP43" s="211">
        <f t="shared" si="41"/>
        <v>-1222.5828571428567</v>
      </c>
      <c r="CQ43" s="211">
        <f t="shared" si="41"/>
        <v>-1222.5828571428567</v>
      </c>
      <c r="CR43" s="211">
        <f t="shared" si="41"/>
        <v>-1222.5828571428567</v>
      </c>
      <c r="CS43" s="211">
        <f t="shared" si="41"/>
        <v>-1222.5828571428567</v>
      </c>
      <c r="CT43" s="211">
        <f t="shared" si="41"/>
        <v>-1222.5828571428567</v>
      </c>
      <c r="CU43" s="211">
        <f t="shared" si="41"/>
        <v>-1222.5828571428567</v>
      </c>
      <c r="CV43" s="211">
        <f t="shared" si="41"/>
        <v>-1222.5828571428567</v>
      </c>
      <c r="CW43" s="211">
        <f t="shared" si="41"/>
        <v>-1222.5828571428567</v>
      </c>
      <c r="CX43" s="211">
        <f t="shared" si="41"/>
        <v>724.86000000000013</v>
      </c>
      <c r="CY43" s="211">
        <f t="shared" si="41"/>
        <v>724.86000000000013</v>
      </c>
      <c r="CZ43" s="211">
        <f t="shared" si="41"/>
        <v>724.86000000000013</v>
      </c>
      <c r="DA43" s="211">
        <f t="shared" si="41"/>
        <v>724.86000000000013</v>
      </c>
    </row>
    <row r="44" spans="1:105">
      <c r="A44" s="202" t="str">
        <f>Income!A74</f>
        <v>Animal products consumed</v>
      </c>
      <c r="F44" s="211">
        <f t="shared" ref="F44:AK44" si="42">IF(F$22&lt;=$E$24,IF(F$22&lt;=$D$24,IF(F$22&lt;=$C$24,IF(F$22&lt;=$B$24,$B110,($C27-$B27)/($C$24-$B$24)),($D27-$C27)/($D$24-$C$24)),($E27-$D27)/($E$24-$D$24)),$F110)</f>
        <v>0</v>
      </c>
      <c r="G44" s="211">
        <f t="shared" si="42"/>
        <v>0</v>
      </c>
      <c r="H44" s="211">
        <f t="shared" si="42"/>
        <v>0</v>
      </c>
      <c r="I44" s="211">
        <f t="shared" si="42"/>
        <v>0</v>
      </c>
      <c r="J44" s="211">
        <f t="shared" si="42"/>
        <v>0</v>
      </c>
      <c r="K44" s="211">
        <f t="shared" si="42"/>
        <v>0</v>
      </c>
      <c r="L44" s="211">
        <f t="shared" si="42"/>
        <v>0</v>
      </c>
      <c r="M44" s="211">
        <f t="shared" si="42"/>
        <v>0</v>
      </c>
      <c r="N44" s="211">
        <f t="shared" si="42"/>
        <v>0</v>
      </c>
      <c r="O44" s="211">
        <f t="shared" si="42"/>
        <v>0</v>
      </c>
      <c r="P44" s="211">
        <f t="shared" si="42"/>
        <v>0</v>
      </c>
      <c r="Q44" s="211">
        <f t="shared" si="42"/>
        <v>0</v>
      </c>
      <c r="R44" s="211">
        <f t="shared" si="42"/>
        <v>0</v>
      </c>
      <c r="S44" s="211">
        <f t="shared" si="42"/>
        <v>0</v>
      </c>
      <c r="T44" s="211">
        <f t="shared" si="42"/>
        <v>0</v>
      </c>
      <c r="U44" s="211">
        <f t="shared" si="42"/>
        <v>0</v>
      </c>
      <c r="V44" s="211">
        <f t="shared" si="42"/>
        <v>0</v>
      </c>
      <c r="W44" s="211">
        <f t="shared" si="42"/>
        <v>0</v>
      </c>
      <c r="X44" s="211">
        <f t="shared" si="42"/>
        <v>0</v>
      </c>
      <c r="Y44" s="211">
        <f t="shared" si="42"/>
        <v>0</v>
      </c>
      <c r="Z44" s="211">
        <f t="shared" si="42"/>
        <v>0</v>
      </c>
      <c r="AA44" s="211">
        <f t="shared" si="42"/>
        <v>0</v>
      </c>
      <c r="AB44" s="211">
        <f t="shared" si="42"/>
        <v>0</v>
      </c>
      <c r="AC44" s="211">
        <f t="shared" si="42"/>
        <v>0</v>
      </c>
      <c r="AD44" s="211">
        <f t="shared" si="42"/>
        <v>0</v>
      </c>
      <c r="AE44" s="211">
        <f t="shared" si="42"/>
        <v>0</v>
      </c>
      <c r="AF44" s="211">
        <f t="shared" si="42"/>
        <v>8.6659748995772716</v>
      </c>
      <c r="AG44" s="211">
        <f t="shared" si="42"/>
        <v>8.6659748995772716</v>
      </c>
      <c r="AH44" s="211">
        <f t="shared" si="42"/>
        <v>8.6659748995772716</v>
      </c>
      <c r="AI44" s="211">
        <f t="shared" si="42"/>
        <v>8.6659748995772716</v>
      </c>
      <c r="AJ44" s="211">
        <f t="shared" si="42"/>
        <v>8.6659748995772716</v>
      </c>
      <c r="AK44" s="211">
        <f t="shared" si="42"/>
        <v>8.6659748995772716</v>
      </c>
      <c r="AL44" s="211">
        <f t="shared" ref="AL44:BQ44" si="43">IF(AL$22&lt;=$E$24,IF(AL$22&lt;=$D$24,IF(AL$22&lt;=$C$24,IF(AL$22&lt;=$B$24,$B110,($C27-$B27)/($C$24-$B$24)),($D27-$C27)/($D$24-$C$24)),($E27-$D27)/($E$24-$D$24)),$F110)</f>
        <v>8.6659748995772716</v>
      </c>
      <c r="AM44" s="211">
        <f t="shared" si="43"/>
        <v>8.6659748995772716</v>
      </c>
      <c r="AN44" s="211">
        <f t="shared" si="43"/>
        <v>8.6659748995772716</v>
      </c>
      <c r="AO44" s="211">
        <f t="shared" si="43"/>
        <v>8.6659748995772716</v>
      </c>
      <c r="AP44" s="211">
        <f t="shared" si="43"/>
        <v>8.6659748995772716</v>
      </c>
      <c r="AQ44" s="211">
        <f t="shared" si="43"/>
        <v>8.6659748995772716</v>
      </c>
      <c r="AR44" s="211">
        <f t="shared" si="43"/>
        <v>8.6659748995772716</v>
      </c>
      <c r="AS44" s="211">
        <f t="shared" si="43"/>
        <v>8.6659748995772716</v>
      </c>
      <c r="AT44" s="211">
        <f t="shared" si="43"/>
        <v>8.6659748995772716</v>
      </c>
      <c r="AU44" s="211">
        <f t="shared" si="43"/>
        <v>8.6659748995772716</v>
      </c>
      <c r="AV44" s="211">
        <f t="shared" si="43"/>
        <v>8.6659748995772716</v>
      </c>
      <c r="AW44" s="211">
        <f t="shared" si="43"/>
        <v>8.6659748995772716</v>
      </c>
      <c r="AX44" s="211">
        <f t="shared" si="43"/>
        <v>8.6659748995772716</v>
      </c>
      <c r="AY44" s="211">
        <f t="shared" si="43"/>
        <v>8.6659748995772716</v>
      </c>
      <c r="AZ44" s="211">
        <f t="shared" si="43"/>
        <v>8.6659748995772716</v>
      </c>
      <c r="BA44" s="211">
        <f t="shared" si="43"/>
        <v>8.6659748995772716</v>
      </c>
      <c r="BB44" s="211">
        <f t="shared" si="43"/>
        <v>8.6659748995772716</v>
      </c>
      <c r="BC44" s="211">
        <f t="shared" si="43"/>
        <v>8.6659748995772716</v>
      </c>
      <c r="BD44" s="211">
        <f t="shared" si="43"/>
        <v>8.6659748995772716</v>
      </c>
      <c r="BE44" s="211">
        <f t="shared" si="43"/>
        <v>8.6659748995772716</v>
      </c>
      <c r="BF44" s="211">
        <f t="shared" si="43"/>
        <v>8.6659748995772716</v>
      </c>
      <c r="BG44" s="211">
        <f t="shared" si="43"/>
        <v>8.6659748995772716</v>
      </c>
      <c r="BH44" s="211">
        <f t="shared" si="43"/>
        <v>8.6659748995772716</v>
      </c>
      <c r="BI44" s="211">
        <f t="shared" si="43"/>
        <v>8.6659748995772716</v>
      </c>
      <c r="BJ44" s="211">
        <f t="shared" si="43"/>
        <v>8.6659748995772716</v>
      </c>
      <c r="BK44" s="211">
        <f t="shared" si="43"/>
        <v>8.6659748995772716</v>
      </c>
      <c r="BL44" s="211">
        <f t="shared" si="43"/>
        <v>8.6659748995772716</v>
      </c>
      <c r="BM44" s="211">
        <f t="shared" si="43"/>
        <v>8.6659748995772716</v>
      </c>
      <c r="BN44" s="211">
        <f t="shared" si="43"/>
        <v>8.6659748995772716</v>
      </c>
      <c r="BO44" s="211">
        <f t="shared" si="43"/>
        <v>8.6659748995772716</v>
      </c>
      <c r="BP44" s="211">
        <f t="shared" si="43"/>
        <v>8.6659748995772716</v>
      </c>
      <c r="BQ44" s="211">
        <f t="shared" si="43"/>
        <v>39.10230156204085</v>
      </c>
      <c r="BR44" s="211">
        <f t="shared" ref="BR44:DA44" si="44">IF(BR$22&lt;=$E$24,IF(BR$22&lt;=$D$24,IF(BR$22&lt;=$C$24,IF(BR$22&lt;=$B$24,$B110,($C27-$B27)/($C$24-$B$24)),($D27-$C27)/($D$24-$C$24)),($E27-$D27)/($E$24-$D$24)),$F110)</f>
        <v>39.10230156204085</v>
      </c>
      <c r="BS44" s="211">
        <f t="shared" si="44"/>
        <v>39.10230156204085</v>
      </c>
      <c r="BT44" s="211">
        <f t="shared" si="44"/>
        <v>39.10230156204085</v>
      </c>
      <c r="BU44" s="211">
        <f t="shared" si="44"/>
        <v>39.10230156204085</v>
      </c>
      <c r="BV44" s="211">
        <f t="shared" si="44"/>
        <v>39.10230156204085</v>
      </c>
      <c r="BW44" s="211">
        <f t="shared" si="44"/>
        <v>39.10230156204085</v>
      </c>
      <c r="BX44" s="211">
        <f t="shared" si="44"/>
        <v>39.10230156204085</v>
      </c>
      <c r="BY44" s="211">
        <f t="shared" si="44"/>
        <v>39.10230156204085</v>
      </c>
      <c r="BZ44" s="211">
        <f t="shared" si="44"/>
        <v>39.10230156204085</v>
      </c>
      <c r="CA44" s="211">
        <f t="shared" si="44"/>
        <v>39.10230156204085</v>
      </c>
      <c r="CB44" s="211">
        <f t="shared" si="44"/>
        <v>39.10230156204085</v>
      </c>
      <c r="CC44" s="211">
        <f t="shared" si="44"/>
        <v>39.10230156204085</v>
      </c>
      <c r="CD44" s="211">
        <f t="shared" si="44"/>
        <v>39.10230156204085</v>
      </c>
      <c r="CE44" s="211">
        <f t="shared" si="44"/>
        <v>39.10230156204085</v>
      </c>
      <c r="CF44" s="211">
        <f t="shared" si="44"/>
        <v>39.10230156204085</v>
      </c>
      <c r="CG44" s="211">
        <f t="shared" si="44"/>
        <v>39.10230156204085</v>
      </c>
      <c r="CH44" s="211">
        <f t="shared" si="44"/>
        <v>39.10230156204085</v>
      </c>
      <c r="CI44" s="211">
        <f t="shared" si="44"/>
        <v>39.10230156204085</v>
      </c>
      <c r="CJ44" s="211">
        <f t="shared" si="44"/>
        <v>39.10230156204085</v>
      </c>
      <c r="CK44" s="211">
        <f t="shared" si="44"/>
        <v>21.653179018147693</v>
      </c>
      <c r="CL44" s="211">
        <f t="shared" si="44"/>
        <v>21.653179018147693</v>
      </c>
      <c r="CM44" s="211">
        <f t="shared" si="44"/>
        <v>21.653179018147693</v>
      </c>
      <c r="CN44" s="211">
        <f t="shared" si="44"/>
        <v>21.653179018147693</v>
      </c>
      <c r="CO44" s="211">
        <f t="shared" si="44"/>
        <v>21.653179018147693</v>
      </c>
      <c r="CP44" s="211">
        <f t="shared" si="44"/>
        <v>21.653179018147693</v>
      </c>
      <c r="CQ44" s="211">
        <f t="shared" si="44"/>
        <v>21.653179018147693</v>
      </c>
      <c r="CR44" s="211">
        <f t="shared" si="44"/>
        <v>21.653179018147693</v>
      </c>
      <c r="CS44" s="211">
        <f t="shared" si="44"/>
        <v>21.653179018147693</v>
      </c>
      <c r="CT44" s="211">
        <f t="shared" si="44"/>
        <v>21.653179018147693</v>
      </c>
      <c r="CU44" s="211">
        <f t="shared" si="44"/>
        <v>21.653179018147693</v>
      </c>
      <c r="CV44" s="211">
        <f t="shared" si="44"/>
        <v>21.653179018147693</v>
      </c>
      <c r="CW44" s="211">
        <f t="shared" si="44"/>
        <v>21.653179018147693</v>
      </c>
      <c r="CX44" s="211">
        <f t="shared" si="44"/>
        <v>8.4310000000000009</v>
      </c>
      <c r="CY44" s="211">
        <f t="shared" si="44"/>
        <v>8.4310000000000009</v>
      </c>
      <c r="CZ44" s="211">
        <f t="shared" si="44"/>
        <v>8.4310000000000009</v>
      </c>
      <c r="DA44" s="211">
        <f t="shared" si="44"/>
        <v>8.4310000000000009</v>
      </c>
    </row>
    <row r="45" spans="1:105">
      <c r="A45" s="202" t="str">
        <f>Income!A75</f>
        <v>Animal products sold</v>
      </c>
      <c r="F45" s="211">
        <f t="shared" ref="F45:AK45" si="45">IF(F$22&lt;=$E$24,IF(F$22&lt;=$D$24,IF(F$22&lt;=$C$24,IF(F$22&lt;=$B$24,$B111,($C28-$B28)/($C$24-$B$24)),($D28-$C28)/($D$24-$C$24)),($E28-$D28)/($E$24-$D$24)),$F111)</f>
        <v>0</v>
      </c>
      <c r="G45" s="211">
        <f t="shared" si="45"/>
        <v>0</v>
      </c>
      <c r="H45" s="211">
        <f t="shared" si="45"/>
        <v>0</v>
      </c>
      <c r="I45" s="211">
        <f t="shared" si="45"/>
        <v>0</v>
      </c>
      <c r="J45" s="211">
        <f t="shared" si="45"/>
        <v>0</v>
      </c>
      <c r="K45" s="211">
        <f t="shared" si="45"/>
        <v>0</v>
      </c>
      <c r="L45" s="211">
        <f t="shared" si="45"/>
        <v>0</v>
      </c>
      <c r="M45" s="211">
        <f t="shared" si="45"/>
        <v>0</v>
      </c>
      <c r="N45" s="211">
        <f t="shared" si="45"/>
        <v>0</v>
      </c>
      <c r="O45" s="211">
        <f t="shared" si="45"/>
        <v>0</v>
      </c>
      <c r="P45" s="211">
        <f t="shared" si="45"/>
        <v>0</v>
      </c>
      <c r="Q45" s="211">
        <f t="shared" si="45"/>
        <v>0</v>
      </c>
      <c r="R45" s="211">
        <f t="shared" si="45"/>
        <v>0</v>
      </c>
      <c r="S45" s="211">
        <f t="shared" si="45"/>
        <v>0</v>
      </c>
      <c r="T45" s="211">
        <f t="shared" si="45"/>
        <v>0</v>
      </c>
      <c r="U45" s="211">
        <f t="shared" si="45"/>
        <v>0</v>
      </c>
      <c r="V45" s="211">
        <f t="shared" si="45"/>
        <v>0</v>
      </c>
      <c r="W45" s="211">
        <f t="shared" si="45"/>
        <v>0</v>
      </c>
      <c r="X45" s="211">
        <f t="shared" si="45"/>
        <v>0</v>
      </c>
      <c r="Y45" s="211">
        <f t="shared" si="45"/>
        <v>0</v>
      </c>
      <c r="Z45" s="211">
        <f t="shared" si="45"/>
        <v>0</v>
      </c>
      <c r="AA45" s="211">
        <f t="shared" si="45"/>
        <v>0</v>
      </c>
      <c r="AB45" s="211">
        <f t="shared" si="45"/>
        <v>0</v>
      </c>
      <c r="AC45" s="211">
        <f t="shared" si="45"/>
        <v>0</v>
      </c>
      <c r="AD45" s="211">
        <f t="shared" si="45"/>
        <v>0</v>
      </c>
      <c r="AE45" s="211">
        <f t="shared" si="45"/>
        <v>0</v>
      </c>
      <c r="AF45" s="211">
        <f t="shared" si="45"/>
        <v>0</v>
      </c>
      <c r="AG45" s="211">
        <f t="shared" si="45"/>
        <v>0</v>
      </c>
      <c r="AH45" s="211">
        <f t="shared" si="45"/>
        <v>0</v>
      </c>
      <c r="AI45" s="211">
        <f t="shared" si="45"/>
        <v>0</v>
      </c>
      <c r="AJ45" s="211">
        <f t="shared" si="45"/>
        <v>0</v>
      </c>
      <c r="AK45" s="211">
        <f t="shared" si="45"/>
        <v>0</v>
      </c>
      <c r="AL45" s="211">
        <f t="shared" ref="AL45:BQ45" si="46">IF(AL$22&lt;=$E$24,IF(AL$22&lt;=$D$24,IF(AL$22&lt;=$C$24,IF(AL$22&lt;=$B$24,$B111,($C28-$B28)/($C$24-$B$24)),($D28-$C28)/($D$24-$C$24)),($E28-$D28)/($E$24-$D$24)),$F111)</f>
        <v>0</v>
      </c>
      <c r="AM45" s="211">
        <f t="shared" si="46"/>
        <v>0</v>
      </c>
      <c r="AN45" s="211">
        <f t="shared" si="46"/>
        <v>0</v>
      </c>
      <c r="AO45" s="211">
        <f t="shared" si="46"/>
        <v>0</v>
      </c>
      <c r="AP45" s="211">
        <f t="shared" si="46"/>
        <v>0</v>
      </c>
      <c r="AQ45" s="211">
        <f t="shared" si="46"/>
        <v>0</v>
      </c>
      <c r="AR45" s="211">
        <f t="shared" si="46"/>
        <v>0</v>
      </c>
      <c r="AS45" s="211">
        <f t="shared" si="46"/>
        <v>0</v>
      </c>
      <c r="AT45" s="211">
        <f t="shared" si="46"/>
        <v>0</v>
      </c>
      <c r="AU45" s="211">
        <f t="shared" si="46"/>
        <v>0</v>
      </c>
      <c r="AV45" s="211">
        <f t="shared" si="46"/>
        <v>0</v>
      </c>
      <c r="AW45" s="211">
        <f t="shared" si="46"/>
        <v>0</v>
      </c>
      <c r="AX45" s="211">
        <f t="shared" si="46"/>
        <v>0</v>
      </c>
      <c r="AY45" s="211">
        <f t="shared" si="46"/>
        <v>0</v>
      </c>
      <c r="AZ45" s="211">
        <f t="shared" si="46"/>
        <v>0</v>
      </c>
      <c r="BA45" s="211">
        <f t="shared" si="46"/>
        <v>0</v>
      </c>
      <c r="BB45" s="211">
        <f t="shared" si="46"/>
        <v>0</v>
      </c>
      <c r="BC45" s="211">
        <f t="shared" si="46"/>
        <v>0</v>
      </c>
      <c r="BD45" s="211">
        <f t="shared" si="46"/>
        <v>0</v>
      </c>
      <c r="BE45" s="211">
        <f t="shared" si="46"/>
        <v>0</v>
      </c>
      <c r="BF45" s="211">
        <f t="shared" si="46"/>
        <v>0</v>
      </c>
      <c r="BG45" s="211">
        <f t="shared" si="46"/>
        <v>0</v>
      </c>
      <c r="BH45" s="211">
        <f t="shared" si="46"/>
        <v>0</v>
      </c>
      <c r="BI45" s="211">
        <f t="shared" si="46"/>
        <v>0</v>
      </c>
      <c r="BJ45" s="211">
        <f t="shared" si="46"/>
        <v>0</v>
      </c>
      <c r="BK45" s="211">
        <f t="shared" si="46"/>
        <v>0</v>
      </c>
      <c r="BL45" s="211">
        <f t="shared" si="46"/>
        <v>0</v>
      </c>
      <c r="BM45" s="211">
        <f t="shared" si="46"/>
        <v>0</v>
      </c>
      <c r="BN45" s="211">
        <f t="shared" si="46"/>
        <v>0</v>
      </c>
      <c r="BO45" s="211">
        <f t="shared" si="46"/>
        <v>0</v>
      </c>
      <c r="BP45" s="211">
        <f t="shared" si="46"/>
        <v>0</v>
      </c>
      <c r="BQ45" s="211">
        <f t="shared" si="46"/>
        <v>0</v>
      </c>
      <c r="BR45" s="211">
        <f t="shared" ref="BR45:DA45" si="47">IF(BR$22&lt;=$E$24,IF(BR$22&lt;=$D$24,IF(BR$22&lt;=$C$24,IF(BR$22&lt;=$B$24,$B111,($C28-$B28)/($C$24-$B$24)),($D28-$C28)/($D$24-$C$24)),($E28-$D28)/($E$24-$D$24)),$F111)</f>
        <v>0</v>
      </c>
      <c r="BS45" s="211">
        <f t="shared" si="47"/>
        <v>0</v>
      </c>
      <c r="BT45" s="211">
        <f t="shared" si="47"/>
        <v>0</v>
      </c>
      <c r="BU45" s="211">
        <f t="shared" si="47"/>
        <v>0</v>
      </c>
      <c r="BV45" s="211">
        <f t="shared" si="47"/>
        <v>0</v>
      </c>
      <c r="BW45" s="211">
        <f t="shared" si="47"/>
        <v>0</v>
      </c>
      <c r="BX45" s="211">
        <f t="shared" si="47"/>
        <v>0</v>
      </c>
      <c r="BY45" s="211">
        <f t="shared" si="47"/>
        <v>0</v>
      </c>
      <c r="BZ45" s="211">
        <f t="shared" si="47"/>
        <v>0</v>
      </c>
      <c r="CA45" s="211">
        <f t="shared" si="47"/>
        <v>0</v>
      </c>
      <c r="CB45" s="211">
        <f t="shared" si="47"/>
        <v>0</v>
      </c>
      <c r="CC45" s="211">
        <f t="shared" si="47"/>
        <v>0</v>
      </c>
      <c r="CD45" s="211">
        <f t="shared" si="47"/>
        <v>0</v>
      </c>
      <c r="CE45" s="211">
        <f t="shared" si="47"/>
        <v>0</v>
      </c>
      <c r="CF45" s="211">
        <f t="shared" si="47"/>
        <v>0</v>
      </c>
      <c r="CG45" s="211">
        <f t="shared" si="47"/>
        <v>0</v>
      </c>
      <c r="CH45" s="211">
        <f t="shared" si="47"/>
        <v>0</v>
      </c>
      <c r="CI45" s="211">
        <f t="shared" si="47"/>
        <v>0</v>
      </c>
      <c r="CJ45" s="211">
        <f t="shared" si="47"/>
        <v>0</v>
      </c>
      <c r="CK45" s="211">
        <f t="shared" si="47"/>
        <v>0</v>
      </c>
      <c r="CL45" s="211">
        <f t="shared" si="47"/>
        <v>0</v>
      </c>
      <c r="CM45" s="211">
        <f t="shared" si="47"/>
        <v>0</v>
      </c>
      <c r="CN45" s="211">
        <f t="shared" si="47"/>
        <v>0</v>
      </c>
      <c r="CO45" s="211">
        <f t="shared" si="47"/>
        <v>0</v>
      </c>
      <c r="CP45" s="211">
        <f t="shared" si="47"/>
        <v>0</v>
      </c>
      <c r="CQ45" s="211">
        <f t="shared" si="47"/>
        <v>0</v>
      </c>
      <c r="CR45" s="211">
        <f t="shared" si="47"/>
        <v>0</v>
      </c>
      <c r="CS45" s="211">
        <f t="shared" si="47"/>
        <v>0</v>
      </c>
      <c r="CT45" s="211">
        <f t="shared" si="47"/>
        <v>0</v>
      </c>
      <c r="CU45" s="211">
        <f t="shared" si="47"/>
        <v>0</v>
      </c>
      <c r="CV45" s="211">
        <f t="shared" si="47"/>
        <v>0</v>
      </c>
      <c r="CW45" s="211">
        <f t="shared" si="47"/>
        <v>0</v>
      </c>
      <c r="CX45" s="211">
        <f t="shared" si="47"/>
        <v>0</v>
      </c>
      <c r="CY45" s="211">
        <f t="shared" si="47"/>
        <v>0</v>
      </c>
      <c r="CZ45" s="211">
        <f t="shared" si="47"/>
        <v>0</v>
      </c>
      <c r="DA45" s="211">
        <f t="shared" si="47"/>
        <v>0</v>
      </c>
    </row>
    <row r="46" spans="1:105">
      <c r="A46" s="202" t="str">
        <f>Income!A76</f>
        <v>Animals sold</v>
      </c>
      <c r="F46" s="211">
        <f t="shared" ref="F46:AK46" si="48">IF(F$22&lt;=$E$24,IF(F$22&lt;=$D$24,IF(F$22&lt;=$C$24,IF(F$22&lt;=$B$24,$B112,($C29-$B29)/($C$24-$B$24)),($D29-$C29)/($D$24-$C$24)),($E29-$D29)/($E$24-$D$24)),$F112)</f>
        <v>0</v>
      </c>
      <c r="G46" s="211">
        <f t="shared" si="48"/>
        <v>0</v>
      </c>
      <c r="H46" s="211">
        <f t="shared" si="48"/>
        <v>0</v>
      </c>
      <c r="I46" s="211">
        <f t="shared" si="48"/>
        <v>0</v>
      </c>
      <c r="J46" s="211">
        <f t="shared" si="48"/>
        <v>0</v>
      </c>
      <c r="K46" s="211">
        <f t="shared" si="48"/>
        <v>0</v>
      </c>
      <c r="L46" s="211">
        <f t="shared" si="48"/>
        <v>0</v>
      </c>
      <c r="M46" s="211">
        <f t="shared" si="48"/>
        <v>0</v>
      </c>
      <c r="N46" s="211">
        <f t="shared" si="48"/>
        <v>0</v>
      </c>
      <c r="O46" s="211">
        <f t="shared" si="48"/>
        <v>0</v>
      </c>
      <c r="P46" s="211">
        <f t="shared" si="48"/>
        <v>0</v>
      </c>
      <c r="Q46" s="211">
        <f t="shared" si="48"/>
        <v>0</v>
      </c>
      <c r="R46" s="211">
        <f t="shared" si="48"/>
        <v>0</v>
      </c>
      <c r="S46" s="211">
        <f t="shared" si="48"/>
        <v>0</v>
      </c>
      <c r="T46" s="211">
        <f t="shared" si="48"/>
        <v>0</v>
      </c>
      <c r="U46" s="211">
        <f t="shared" si="48"/>
        <v>0</v>
      </c>
      <c r="V46" s="211">
        <f t="shared" si="48"/>
        <v>0</v>
      </c>
      <c r="W46" s="211">
        <f t="shared" si="48"/>
        <v>0</v>
      </c>
      <c r="X46" s="211">
        <f t="shared" si="48"/>
        <v>0</v>
      </c>
      <c r="Y46" s="211">
        <f t="shared" si="48"/>
        <v>0</v>
      </c>
      <c r="Z46" s="211">
        <f t="shared" si="48"/>
        <v>0</v>
      </c>
      <c r="AA46" s="211">
        <f t="shared" si="48"/>
        <v>0</v>
      </c>
      <c r="AB46" s="211">
        <f t="shared" si="48"/>
        <v>0</v>
      </c>
      <c r="AC46" s="211">
        <f t="shared" si="48"/>
        <v>0</v>
      </c>
      <c r="AD46" s="211">
        <f t="shared" si="48"/>
        <v>0</v>
      </c>
      <c r="AE46" s="211">
        <f t="shared" si="48"/>
        <v>0</v>
      </c>
      <c r="AF46" s="211">
        <f t="shared" si="48"/>
        <v>225.71428571428567</v>
      </c>
      <c r="AG46" s="211">
        <f t="shared" si="48"/>
        <v>225.71428571428567</v>
      </c>
      <c r="AH46" s="211">
        <f t="shared" si="48"/>
        <v>225.71428571428567</v>
      </c>
      <c r="AI46" s="211">
        <f t="shared" si="48"/>
        <v>225.71428571428567</v>
      </c>
      <c r="AJ46" s="211">
        <f t="shared" si="48"/>
        <v>225.71428571428567</v>
      </c>
      <c r="AK46" s="211">
        <f t="shared" si="48"/>
        <v>225.71428571428567</v>
      </c>
      <c r="AL46" s="211">
        <f t="shared" ref="AL46:BQ46" si="49">IF(AL$22&lt;=$E$24,IF(AL$22&lt;=$D$24,IF(AL$22&lt;=$C$24,IF(AL$22&lt;=$B$24,$B112,($C29-$B29)/($C$24-$B$24)),($D29-$C29)/($D$24-$C$24)),($E29-$D29)/($E$24-$D$24)),$F112)</f>
        <v>225.71428571428567</v>
      </c>
      <c r="AM46" s="211">
        <f t="shared" si="49"/>
        <v>225.71428571428567</v>
      </c>
      <c r="AN46" s="211">
        <f t="shared" si="49"/>
        <v>225.71428571428567</v>
      </c>
      <c r="AO46" s="211">
        <f t="shared" si="49"/>
        <v>225.71428571428567</v>
      </c>
      <c r="AP46" s="211">
        <f t="shared" si="49"/>
        <v>225.71428571428567</v>
      </c>
      <c r="AQ46" s="211">
        <f t="shared" si="49"/>
        <v>225.71428571428567</v>
      </c>
      <c r="AR46" s="211">
        <f t="shared" si="49"/>
        <v>225.71428571428567</v>
      </c>
      <c r="AS46" s="211">
        <f t="shared" si="49"/>
        <v>225.71428571428567</v>
      </c>
      <c r="AT46" s="211">
        <f t="shared" si="49"/>
        <v>225.71428571428567</v>
      </c>
      <c r="AU46" s="211">
        <f t="shared" si="49"/>
        <v>225.71428571428567</v>
      </c>
      <c r="AV46" s="211">
        <f t="shared" si="49"/>
        <v>225.71428571428567</v>
      </c>
      <c r="AW46" s="211">
        <f t="shared" si="49"/>
        <v>225.71428571428567</v>
      </c>
      <c r="AX46" s="211">
        <f t="shared" si="49"/>
        <v>225.71428571428567</v>
      </c>
      <c r="AY46" s="211">
        <f t="shared" si="49"/>
        <v>225.71428571428567</v>
      </c>
      <c r="AZ46" s="211">
        <f t="shared" si="49"/>
        <v>225.71428571428567</v>
      </c>
      <c r="BA46" s="211">
        <f t="shared" si="49"/>
        <v>225.71428571428567</v>
      </c>
      <c r="BB46" s="211">
        <f t="shared" si="49"/>
        <v>225.71428571428567</v>
      </c>
      <c r="BC46" s="211">
        <f t="shared" si="49"/>
        <v>225.71428571428567</v>
      </c>
      <c r="BD46" s="211">
        <f t="shared" si="49"/>
        <v>225.71428571428567</v>
      </c>
      <c r="BE46" s="211">
        <f t="shared" si="49"/>
        <v>225.71428571428567</v>
      </c>
      <c r="BF46" s="211">
        <f t="shared" si="49"/>
        <v>225.71428571428567</v>
      </c>
      <c r="BG46" s="211">
        <f t="shared" si="49"/>
        <v>225.71428571428567</v>
      </c>
      <c r="BH46" s="211">
        <f t="shared" si="49"/>
        <v>225.71428571428567</v>
      </c>
      <c r="BI46" s="211">
        <f t="shared" si="49"/>
        <v>225.71428571428567</v>
      </c>
      <c r="BJ46" s="211">
        <f t="shared" si="49"/>
        <v>225.71428571428567</v>
      </c>
      <c r="BK46" s="211">
        <f t="shared" si="49"/>
        <v>225.71428571428567</v>
      </c>
      <c r="BL46" s="211">
        <f t="shared" si="49"/>
        <v>225.71428571428567</v>
      </c>
      <c r="BM46" s="211">
        <f t="shared" si="49"/>
        <v>225.71428571428567</v>
      </c>
      <c r="BN46" s="211">
        <f t="shared" si="49"/>
        <v>225.71428571428567</v>
      </c>
      <c r="BO46" s="211">
        <f t="shared" si="49"/>
        <v>225.71428571428567</v>
      </c>
      <c r="BP46" s="211">
        <f t="shared" si="49"/>
        <v>225.71428571428567</v>
      </c>
      <c r="BQ46" s="211">
        <f t="shared" si="49"/>
        <v>935.35714285714278</v>
      </c>
      <c r="BR46" s="211">
        <f t="shared" ref="BR46:DA46" si="50">IF(BR$22&lt;=$E$24,IF(BR$22&lt;=$D$24,IF(BR$22&lt;=$C$24,IF(BR$22&lt;=$B$24,$B112,($C29-$B29)/($C$24-$B$24)),($D29-$C29)/($D$24-$C$24)),($E29-$D29)/($E$24-$D$24)),$F112)</f>
        <v>935.35714285714278</v>
      </c>
      <c r="BS46" s="211">
        <f t="shared" si="50"/>
        <v>935.35714285714278</v>
      </c>
      <c r="BT46" s="211">
        <f t="shared" si="50"/>
        <v>935.35714285714278</v>
      </c>
      <c r="BU46" s="211">
        <f t="shared" si="50"/>
        <v>935.35714285714278</v>
      </c>
      <c r="BV46" s="211">
        <f t="shared" si="50"/>
        <v>935.35714285714278</v>
      </c>
      <c r="BW46" s="211">
        <f t="shared" si="50"/>
        <v>935.35714285714278</v>
      </c>
      <c r="BX46" s="211">
        <f t="shared" si="50"/>
        <v>935.35714285714278</v>
      </c>
      <c r="BY46" s="211">
        <f t="shared" si="50"/>
        <v>935.35714285714278</v>
      </c>
      <c r="BZ46" s="211">
        <f t="shared" si="50"/>
        <v>935.35714285714278</v>
      </c>
      <c r="CA46" s="211">
        <f t="shared" si="50"/>
        <v>935.35714285714278</v>
      </c>
      <c r="CB46" s="211">
        <f t="shared" si="50"/>
        <v>935.35714285714278</v>
      </c>
      <c r="CC46" s="211">
        <f t="shared" si="50"/>
        <v>935.35714285714278</v>
      </c>
      <c r="CD46" s="211">
        <f t="shared" si="50"/>
        <v>935.35714285714278</v>
      </c>
      <c r="CE46" s="211">
        <f t="shared" si="50"/>
        <v>935.35714285714278</v>
      </c>
      <c r="CF46" s="211">
        <f t="shared" si="50"/>
        <v>935.35714285714278</v>
      </c>
      <c r="CG46" s="211">
        <f t="shared" si="50"/>
        <v>935.35714285714278</v>
      </c>
      <c r="CH46" s="211">
        <f t="shared" si="50"/>
        <v>935.35714285714278</v>
      </c>
      <c r="CI46" s="211">
        <f t="shared" si="50"/>
        <v>935.35714285714278</v>
      </c>
      <c r="CJ46" s="211">
        <f t="shared" si="50"/>
        <v>935.35714285714278</v>
      </c>
      <c r="CK46" s="211">
        <f t="shared" si="50"/>
        <v>343.4285714285719</v>
      </c>
      <c r="CL46" s="211">
        <f t="shared" si="50"/>
        <v>343.4285714285719</v>
      </c>
      <c r="CM46" s="211">
        <f t="shared" si="50"/>
        <v>343.4285714285719</v>
      </c>
      <c r="CN46" s="211">
        <f t="shared" si="50"/>
        <v>343.4285714285719</v>
      </c>
      <c r="CO46" s="211">
        <f t="shared" si="50"/>
        <v>343.4285714285719</v>
      </c>
      <c r="CP46" s="211">
        <f t="shared" si="50"/>
        <v>343.4285714285719</v>
      </c>
      <c r="CQ46" s="211">
        <f t="shared" si="50"/>
        <v>343.4285714285719</v>
      </c>
      <c r="CR46" s="211">
        <f t="shared" si="50"/>
        <v>343.4285714285719</v>
      </c>
      <c r="CS46" s="211">
        <f t="shared" si="50"/>
        <v>343.4285714285719</v>
      </c>
      <c r="CT46" s="211">
        <f t="shared" si="50"/>
        <v>343.4285714285719</v>
      </c>
      <c r="CU46" s="211">
        <f t="shared" si="50"/>
        <v>343.4285714285719</v>
      </c>
      <c r="CV46" s="211">
        <f t="shared" si="50"/>
        <v>343.4285714285719</v>
      </c>
      <c r="CW46" s="211">
        <f t="shared" si="50"/>
        <v>343.4285714285719</v>
      </c>
      <c r="CX46" s="211">
        <f t="shared" si="50"/>
        <v>0</v>
      </c>
      <c r="CY46" s="211">
        <f t="shared" si="50"/>
        <v>0</v>
      </c>
      <c r="CZ46" s="211">
        <f t="shared" si="50"/>
        <v>0</v>
      </c>
      <c r="DA46" s="211">
        <f t="shared" si="50"/>
        <v>0</v>
      </c>
    </row>
    <row r="47" spans="1:105">
      <c r="A47" s="202" t="str">
        <f>Income!A77</f>
        <v>Wild foods consumed and sold</v>
      </c>
      <c r="F47" s="211">
        <f t="shared" ref="F47:AK47" si="51">IF(F$22&lt;=$E$24,IF(F$22&lt;=$D$24,IF(F$22&lt;=$C$24,IF(F$22&lt;=$B$24,$B113,($C30-$B30)/($C$24-$B$24)),($D30-$C30)/($D$24-$C$24)),($E30-$D30)/($E$24-$D$24)),$F113)</f>
        <v>0</v>
      </c>
      <c r="G47" s="211">
        <f t="shared" si="51"/>
        <v>0</v>
      </c>
      <c r="H47" s="211">
        <f t="shared" si="51"/>
        <v>0</v>
      </c>
      <c r="I47" s="211">
        <f t="shared" si="51"/>
        <v>0</v>
      </c>
      <c r="J47" s="211">
        <f t="shared" si="51"/>
        <v>0</v>
      </c>
      <c r="K47" s="211">
        <f t="shared" si="51"/>
        <v>0</v>
      </c>
      <c r="L47" s="211">
        <f t="shared" si="51"/>
        <v>0</v>
      </c>
      <c r="M47" s="211">
        <f t="shared" si="51"/>
        <v>0</v>
      </c>
      <c r="N47" s="211">
        <f t="shared" si="51"/>
        <v>0</v>
      </c>
      <c r="O47" s="211">
        <f t="shared" si="51"/>
        <v>0</v>
      </c>
      <c r="P47" s="211">
        <f t="shared" si="51"/>
        <v>0</v>
      </c>
      <c r="Q47" s="211">
        <f t="shared" si="51"/>
        <v>0</v>
      </c>
      <c r="R47" s="211">
        <f t="shared" si="51"/>
        <v>0</v>
      </c>
      <c r="S47" s="211">
        <f t="shared" si="51"/>
        <v>0</v>
      </c>
      <c r="T47" s="211">
        <f t="shared" si="51"/>
        <v>0</v>
      </c>
      <c r="U47" s="211">
        <f t="shared" si="51"/>
        <v>0</v>
      </c>
      <c r="V47" s="211">
        <f t="shared" si="51"/>
        <v>0</v>
      </c>
      <c r="W47" s="211">
        <f t="shared" si="51"/>
        <v>0</v>
      </c>
      <c r="X47" s="211">
        <f t="shared" si="51"/>
        <v>0</v>
      </c>
      <c r="Y47" s="211">
        <f t="shared" si="51"/>
        <v>0</v>
      </c>
      <c r="Z47" s="211">
        <f t="shared" si="51"/>
        <v>0</v>
      </c>
      <c r="AA47" s="211">
        <f t="shared" si="51"/>
        <v>0</v>
      </c>
      <c r="AB47" s="211">
        <f t="shared" si="51"/>
        <v>0</v>
      </c>
      <c r="AC47" s="211">
        <f t="shared" si="51"/>
        <v>0</v>
      </c>
      <c r="AD47" s="211">
        <f t="shared" si="51"/>
        <v>0</v>
      </c>
      <c r="AE47" s="211">
        <f t="shared" si="51"/>
        <v>0</v>
      </c>
      <c r="AF47" s="211">
        <f t="shared" si="51"/>
        <v>0</v>
      </c>
      <c r="AG47" s="211">
        <f t="shared" si="51"/>
        <v>0</v>
      </c>
      <c r="AH47" s="211">
        <f t="shared" si="51"/>
        <v>0</v>
      </c>
      <c r="AI47" s="211">
        <f t="shared" si="51"/>
        <v>0</v>
      </c>
      <c r="AJ47" s="211">
        <f t="shared" si="51"/>
        <v>0</v>
      </c>
      <c r="AK47" s="211">
        <f t="shared" si="51"/>
        <v>0</v>
      </c>
      <c r="AL47" s="211">
        <f t="shared" ref="AL47:BQ47" si="52">IF(AL$22&lt;=$E$24,IF(AL$22&lt;=$D$24,IF(AL$22&lt;=$C$24,IF(AL$22&lt;=$B$24,$B113,($C30-$B30)/($C$24-$B$24)),($D30-$C30)/($D$24-$C$24)),($E30-$D30)/($E$24-$D$24)),$F113)</f>
        <v>0</v>
      </c>
      <c r="AM47" s="211">
        <f t="shared" si="52"/>
        <v>0</v>
      </c>
      <c r="AN47" s="211">
        <f t="shared" si="52"/>
        <v>0</v>
      </c>
      <c r="AO47" s="211">
        <f t="shared" si="52"/>
        <v>0</v>
      </c>
      <c r="AP47" s="211">
        <f t="shared" si="52"/>
        <v>0</v>
      </c>
      <c r="AQ47" s="211">
        <f t="shared" si="52"/>
        <v>0</v>
      </c>
      <c r="AR47" s="211">
        <f t="shared" si="52"/>
        <v>0</v>
      </c>
      <c r="AS47" s="211">
        <f t="shared" si="52"/>
        <v>0</v>
      </c>
      <c r="AT47" s="211">
        <f t="shared" si="52"/>
        <v>0</v>
      </c>
      <c r="AU47" s="211">
        <f t="shared" si="52"/>
        <v>0</v>
      </c>
      <c r="AV47" s="211">
        <f t="shared" si="52"/>
        <v>0</v>
      </c>
      <c r="AW47" s="211">
        <f t="shared" si="52"/>
        <v>0</v>
      </c>
      <c r="AX47" s="211">
        <f t="shared" si="52"/>
        <v>0</v>
      </c>
      <c r="AY47" s="211">
        <f t="shared" si="52"/>
        <v>0</v>
      </c>
      <c r="AZ47" s="211">
        <f t="shared" si="52"/>
        <v>0</v>
      </c>
      <c r="BA47" s="211">
        <f t="shared" si="52"/>
        <v>0</v>
      </c>
      <c r="BB47" s="211">
        <f t="shared" si="52"/>
        <v>0</v>
      </c>
      <c r="BC47" s="211">
        <f t="shared" si="52"/>
        <v>0</v>
      </c>
      <c r="BD47" s="211">
        <f t="shared" si="52"/>
        <v>0</v>
      </c>
      <c r="BE47" s="211">
        <f t="shared" si="52"/>
        <v>0</v>
      </c>
      <c r="BF47" s="211">
        <f t="shared" si="52"/>
        <v>0</v>
      </c>
      <c r="BG47" s="211">
        <f t="shared" si="52"/>
        <v>0</v>
      </c>
      <c r="BH47" s="211">
        <f t="shared" si="52"/>
        <v>0</v>
      </c>
      <c r="BI47" s="211">
        <f t="shared" si="52"/>
        <v>0</v>
      </c>
      <c r="BJ47" s="211">
        <f t="shared" si="52"/>
        <v>0</v>
      </c>
      <c r="BK47" s="211">
        <f t="shared" si="52"/>
        <v>0</v>
      </c>
      <c r="BL47" s="211">
        <f t="shared" si="52"/>
        <v>0</v>
      </c>
      <c r="BM47" s="211">
        <f t="shared" si="52"/>
        <v>0</v>
      </c>
      <c r="BN47" s="211">
        <f t="shared" si="52"/>
        <v>0</v>
      </c>
      <c r="BO47" s="211">
        <f t="shared" si="52"/>
        <v>0</v>
      </c>
      <c r="BP47" s="211">
        <f t="shared" si="52"/>
        <v>0</v>
      </c>
      <c r="BQ47" s="211">
        <f t="shared" si="52"/>
        <v>0</v>
      </c>
      <c r="BR47" s="211">
        <f t="shared" ref="BR47:DA47" si="53">IF(BR$22&lt;=$E$24,IF(BR$22&lt;=$D$24,IF(BR$22&lt;=$C$24,IF(BR$22&lt;=$B$24,$B113,($C30-$B30)/($C$24-$B$24)),($D30-$C30)/($D$24-$C$24)),($E30-$D30)/($E$24-$D$24)),$F113)</f>
        <v>0</v>
      </c>
      <c r="BS47" s="211">
        <f t="shared" si="53"/>
        <v>0</v>
      </c>
      <c r="BT47" s="211">
        <f t="shared" si="53"/>
        <v>0</v>
      </c>
      <c r="BU47" s="211">
        <f t="shared" si="53"/>
        <v>0</v>
      </c>
      <c r="BV47" s="211">
        <f t="shared" si="53"/>
        <v>0</v>
      </c>
      <c r="BW47" s="211">
        <f t="shared" si="53"/>
        <v>0</v>
      </c>
      <c r="BX47" s="211">
        <f t="shared" si="53"/>
        <v>0</v>
      </c>
      <c r="BY47" s="211">
        <f t="shared" si="53"/>
        <v>0</v>
      </c>
      <c r="BZ47" s="211">
        <f t="shared" si="53"/>
        <v>0</v>
      </c>
      <c r="CA47" s="211">
        <f t="shared" si="53"/>
        <v>0</v>
      </c>
      <c r="CB47" s="211">
        <f t="shared" si="53"/>
        <v>0</v>
      </c>
      <c r="CC47" s="211">
        <f t="shared" si="53"/>
        <v>0</v>
      </c>
      <c r="CD47" s="211">
        <f t="shared" si="53"/>
        <v>0</v>
      </c>
      <c r="CE47" s="211">
        <f t="shared" si="53"/>
        <v>0</v>
      </c>
      <c r="CF47" s="211">
        <f t="shared" si="53"/>
        <v>0</v>
      </c>
      <c r="CG47" s="211">
        <f t="shared" si="53"/>
        <v>0</v>
      </c>
      <c r="CH47" s="211">
        <f t="shared" si="53"/>
        <v>0</v>
      </c>
      <c r="CI47" s="211">
        <f t="shared" si="53"/>
        <v>0</v>
      </c>
      <c r="CJ47" s="211">
        <f t="shared" si="53"/>
        <v>0</v>
      </c>
      <c r="CK47" s="211">
        <f t="shared" si="53"/>
        <v>0</v>
      </c>
      <c r="CL47" s="211">
        <f t="shared" si="53"/>
        <v>0</v>
      </c>
      <c r="CM47" s="211">
        <f t="shared" si="53"/>
        <v>0</v>
      </c>
      <c r="CN47" s="211">
        <f t="shared" si="53"/>
        <v>0</v>
      </c>
      <c r="CO47" s="211">
        <f t="shared" si="53"/>
        <v>0</v>
      </c>
      <c r="CP47" s="211">
        <f t="shared" si="53"/>
        <v>0</v>
      </c>
      <c r="CQ47" s="211">
        <f t="shared" si="53"/>
        <v>0</v>
      </c>
      <c r="CR47" s="211">
        <f t="shared" si="53"/>
        <v>0</v>
      </c>
      <c r="CS47" s="211">
        <f t="shared" si="53"/>
        <v>0</v>
      </c>
      <c r="CT47" s="211">
        <f t="shared" si="53"/>
        <v>0</v>
      </c>
      <c r="CU47" s="211">
        <f t="shared" si="53"/>
        <v>0</v>
      </c>
      <c r="CV47" s="211">
        <f t="shared" si="53"/>
        <v>0</v>
      </c>
      <c r="CW47" s="211">
        <f t="shared" si="53"/>
        <v>0</v>
      </c>
      <c r="CX47" s="211">
        <f t="shared" si="53"/>
        <v>52.189999999999884</v>
      </c>
      <c r="CY47" s="211">
        <f t="shared" si="53"/>
        <v>52.189999999999884</v>
      </c>
      <c r="CZ47" s="211">
        <f t="shared" si="53"/>
        <v>52.189999999999884</v>
      </c>
      <c r="DA47" s="211">
        <f t="shared" si="53"/>
        <v>52.189999999999884</v>
      </c>
    </row>
    <row r="48" spans="1:105">
      <c r="A48" s="202" t="str">
        <f>Income!A78</f>
        <v>Labour - casual</v>
      </c>
      <c r="F48" s="211">
        <f t="shared" ref="F48:AK48" si="54">IF(F$22&lt;=$E$24,IF(F$22&lt;=$D$24,IF(F$22&lt;=$C$24,IF(F$22&lt;=$B$24,$B114,($C31-$B31)/($C$24-$B$24)),($D31-$C31)/($D$24-$C$24)),($E31-$D31)/($E$24-$D$24)),$F114)</f>
        <v>0</v>
      </c>
      <c r="G48" s="211">
        <f t="shared" si="54"/>
        <v>0</v>
      </c>
      <c r="H48" s="211">
        <f t="shared" si="54"/>
        <v>0</v>
      </c>
      <c r="I48" s="211">
        <f t="shared" si="54"/>
        <v>0</v>
      </c>
      <c r="J48" s="211">
        <f t="shared" si="54"/>
        <v>0</v>
      </c>
      <c r="K48" s="211">
        <f t="shared" si="54"/>
        <v>0</v>
      </c>
      <c r="L48" s="211">
        <f t="shared" si="54"/>
        <v>0</v>
      </c>
      <c r="M48" s="211">
        <f t="shared" si="54"/>
        <v>0</v>
      </c>
      <c r="N48" s="211">
        <f t="shared" si="54"/>
        <v>0</v>
      </c>
      <c r="O48" s="211">
        <f t="shared" si="54"/>
        <v>0</v>
      </c>
      <c r="P48" s="211">
        <f t="shared" si="54"/>
        <v>0</v>
      </c>
      <c r="Q48" s="211">
        <f t="shared" si="54"/>
        <v>0</v>
      </c>
      <c r="R48" s="211">
        <f t="shared" si="54"/>
        <v>0</v>
      </c>
      <c r="S48" s="211">
        <f t="shared" si="54"/>
        <v>0</v>
      </c>
      <c r="T48" s="211">
        <f t="shared" si="54"/>
        <v>0</v>
      </c>
      <c r="U48" s="211">
        <f t="shared" si="54"/>
        <v>0</v>
      </c>
      <c r="V48" s="211">
        <f t="shared" si="54"/>
        <v>0</v>
      </c>
      <c r="W48" s="211">
        <f t="shared" si="54"/>
        <v>0</v>
      </c>
      <c r="X48" s="211">
        <f t="shared" si="54"/>
        <v>0</v>
      </c>
      <c r="Y48" s="211">
        <f t="shared" si="54"/>
        <v>0</v>
      </c>
      <c r="Z48" s="211">
        <f t="shared" si="54"/>
        <v>0</v>
      </c>
      <c r="AA48" s="211">
        <f t="shared" si="54"/>
        <v>0</v>
      </c>
      <c r="AB48" s="211">
        <f t="shared" si="54"/>
        <v>0</v>
      </c>
      <c r="AC48" s="211">
        <f t="shared" si="54"/>
        <v>0</v>
      </c>
      <c r="AD48" s="211">
        <f t="shared" si="54"/>
        <v>0</v>
      </c>
      <c r="AE48" s="211">
        <f t="shared" si="54"/>
        <v>0</v>
      </c>
      <c r="AF48" s="211">
        <f t="shared" si="54"/>
        <v>-65.82857142857145</v>
      </c>
      <c r="AG48" s="211">
        <f t="shared" si="54"/>
        <v>-65.82857142857145</v>
      </c>
      <c r="AH48" s="211">
        <f t="shared" si="54"/>
        <v>-65.82857142857145</v>
      </c>
      <c r="AI48" s="211">
        <f t="shared" si="54"/>
        <v>-65.82857142857145</v>
      </c>
      <c r="AJ48" s="211">
        <f t="shared" si="54"/>
        <v>-65.82857142857145</v>
      </c>
      <c r="AK48" s="211">
        <f t="shared" si="54"/>
        <v>-65.82857142857145</v>
      </c>
      <c r="AL48" s="211">
        <f t="shared" ref="AL48:BQ48" si="55">IF(AL$22&lt;=$E$24,IF(AL$22&lt;=$D$24,IF(AL$22&lt;=$C$24,IF(AL$22&lt;=$B$24,$B114,($C31-$B31)/($C$24-$B$24)),($D31-$C31)/($D$24-$C$24)),($E31-$D31)/($E$24-$D$24)),$F114)</f>
        <v>-65.82857142857145</v>
      </c>
      <c r="AM48" s="211">
        <f t="shared" si="55"/>
        <v>-65.82857142857145</v>
      </c>
      <c r="AN48" s="211">
        <f t="shared" si="55"/>
        <v>-65.82857142857145</v>
      </c>
      <c r="AO48" s="211">
        <f t="shared" si="55"/>
        <v>-65.82857142857145</v>
      </c>
      <c r="AP48" s="211">
        <f t="shared" si="55"/>
        <v>-65.82857142857145</v>
      </c>
      <c r="AQ48" s="211">
        <f t="shared" si="55"/>
        <v>-65.82857142857145</v>
      </c>
      <c r="AR48" s="211">
        <f t="shared" si="55"/>
        <v>-65.82857142857145</v>
      </c>
      <c r="AS48" s="211">
        <f t="shared" si="55"/>
        <v>-65.82857142857145</v>
      </c>
      <c r="AT48" s="211">
        <f t="shared" si="55"/>
        <v>-65.82857142857145</v>
      </c>
      <c r="AU48" s="211">
        <f t="shared" si="55"/>
        <v>-65.82857142857145</v>
      </c>
      <c r="AV48" s="211">
        <f t="shared" si="55"/>
        <v>-65.82857142857145</v>
      </c>
      <c r="AW48" s="211">
        <f t="shared" si="55"/>
        <v>-65.82857142857145</v>
      </c>
      <c r="AX48" s="211">
        <f t="shared" si="55"/>
        <v>-65.82857142857145</v>
      </c>
      <c r="AY48" s="211">
        <f t="shared" si="55"/>
        <v>-65.82857142857145</v>
      </c>
      <c r="AZ48" s="211">
        <f t="shared" si="55"/>
        <v>-65.82857142857145</v>
      </c>
      <c r="BA48" s="211">
        <f t="shared" si="55"/>
        <v>-65.82857142857145</v>
      </c>
      <c r="BB48" s="211">
        <f t="shared" si="55"/>
        <v>-65.82857142857145</v>
      </c>
      <c r="BC48" s="211">
        <f t="shared" si="55"/>
        <v>-65.82857142857145</v>
      </c>
      <c r="BD48" s="211">
        <f t="shared" si="55"/>
        <v>-65.82857142857145</v>
      </c>
      <c r="BE48" s="211">
        <f t="shared" si="55"/>
        <v>-65.82857142857145</v>
      </c>
      <c r="BF48" s="211">
        <f t="shared" si="55"/>
        <v>-65.82857142857145</v>
      </c>
      <c r="BG48" s="211">
        <f t="shared" si="55"/>
        <v>-65.82857142857145</v>
      </c>
      <c r="BH48" s="211">
        <f t="shared" si="55"/>
        <v>-65.82857142857145</v>
      </c>
      <c r="BI48" s="211">
        <f t="shared" si="55"/>
        <v>-65.82857142857145</v>
      </c>
      <c r="BJ48" s="211">
        <f t="shared" si="55"/>
        <v>-65.82857142857145</v>
      </c>
      <c r="BK48" s="211">
        <f t="shared" si="55"/>
        <v>-65.82857142857145</v>
      </c>
      <c r="BL48" s="211">
        <f t="shared" si="55"/>
        <v>-65.82857142857145</v>
      </c>
      <c r="BM48" s="211">
        <f t="shared" si="55"/>
        <v>-65.82857142857145</v>
      </c>
      <c r="BN48" s="211">
        <f t="shared" si="55"/>
        <v>-65.82857142857145</v>
      </c>
      <c r="BO48" s="211">
        <f t="shared" si="55"/>
        <v>-65.82857142857145</v>
      </c>
      <c r="BP48" s="211">
        <f t="shared" si="55"/>
        <v>-65.82857142857145</v>
      </c>
      <c r="BQ48" s="211">
        <f t="shared" si="55"/>
        <v>-247.99999999999994</v>
      </c>
      <c r="BR48" s="211">
        <f t="shared" ref="BR48:DA48" si="56">IF(BR$22&lt;=$E$24,IF(BR$22&lt;=$D$24,IF(BR$22&lt;=$C$24,IF(BR$22&lt;=$B$24,$B114,($C31-$B31)/($C$24-$B$24)),($D31-$C31)/($D$24-$C$24)),($E31-$D31)/($E$24-$D$24)),$F114)</f>
        <v>-247.99999999999994</v>
      </c>
      <c r="BS48" s="211">
        <f t="shared" si="56"/>
        <v>-247.99999999999994</v>
      </c>
      <c r="BT48" s="211">
        <f t="shared" si="56"/>
        <v>-247.99999999999994</v>
      </c>
      <c r="BU48" s="211">
        <f t="shared" si="56"/>
        <v>-247.99999999999994</v>
      </c>
      <c r="BV48" s="211">
        <f t="shared" si="56"/>
        <v>-247.99999999999994</v>
      </c>
      <c r="BW48" s="211">
        <f t="shared" si="56"/>
        <v>-247.99999999999994</v>
      </c>
      <c r="BX48" s="211">
        <f t="shared" si="56"/>
        <v>-247.99999999999994</v>
      </c>
      <c r="BY48" s="211">
        <f t="shared" si="56"/>
        <v>-247.99999999999994</v>
      </c>
      <c r="BZ48" s="211">
        <f t="shared" si="56"/>
        <v>-247.99999999999994</v>
      </c>
      <c r="CA48" s="211">
        <f t="shared" si="56"/>
        <v>-247.99999999999994</v>
      </c>
      <c r="CB48" s="211">
        <f t="shared" si="56"/>
        <v>-247.99999999999994</v>
      </c>
      <c r="CC48" s="211">
        <f t="shared" si="56"/>
        <v>-247.99999999999994</v>
      </c>
      <c r="CD48" s="211">
        <f t="shared" si="56"/>
        <v>-247.99999999999994</v>
      </c>
      <c r="CE48" s="211">
        <f t="shared" si="56"/>
        <v>-247.99999999999994</v>
      </c>
      <c r="CF48" s="211">
        <f t="shared" si="56"/>
        <v>-247.99999999999994</v>
      </c>
      <c r="CG48" s="211">
        <f t="shared" si="56"/>
        <v>-247.99999999999994</v>
      </c>
      <c r="CH48" s="211">
        <f t="shared" si="56"/>
        <v>-247.99999999999994</v>
      </c>
      <c r="CI48" s="211">
        <f t="shared" si="56"/>
        <v>-247.99999999999994</v>
      </c>
      <c r="CJ48" s="211">
        <f t="shared" si="56"/>
        <v>-247.99999999999994</v>
      </c>
      <c r="CK48" s="211">
        <f t="shared" si="56"/>
        <v>0</v>
      </c>
      <c r="CL48" s="211">
        <f t="shared" si="56"/>
        <v>0</v>
      </c>
      <c r="CM48" s="211">
        <f t="shared" si="56"/>
        <v>0</v>
      </c>
      <c r="CN48" s="211">
        <f t="shared" si="56"/>
        <v>0</v>
      </c>
      <c r="CO48" s="211">
        <f t="shared" si="56"/>
        <v>0</v>
      </c>
      <c r="CP48" s="211">
        <f t="shared" si="56"/>
        <v>0</v>
      </c>
      <c r="CQ48" s="211">
        <f t="shared" si="56"/>
        <v>0</v>
      </c>
      <c r="CR48" s="211">
        <f t="shared" si="56"/>
        <v>0</v>
      </c>
      <c r="CS48" s="211">
        <f t="shared" si="56"/>
        <v>0</v>
      </c>
      <c r="CT48" s="211">
        <f t="shared" si="56"/>
        <v>0</v>
      </c>
      <c r="CU48" s="211">
        <f t="shared" si="56"/>
        <v>0</v>
      </c>
      <c r="CV48" s="211">
        <f t="shared" si="56"/>
        <v>0</v>
      </c>
      <c r="CW48" s="211">
        <f t="shared" si="56"/>
        <v>0</v>
      </c>
      <c r="CX48" s="211">
        <f t="shared" si="56"/>
        <v>0</v>
      </c>
      <c r="CY48" s="211">
        <f t="shared" si="56"/>
        <v>0</v>
      </c>
      <c r="CZ48" s="211">
        <f t="shared" si="56"/>
        <v>0</v>
      </c>
      <c r="DA48" s="211">
        <f t="shared" si="56"/>
        <v>0</v>
      </c>
    </row>
    <row r="49" spans="1:105">
      <c r="A49" s="202" t="str">
        <f>Income!A79</f>
        <v>Labour - formal emp</v>
      </c>
      <c r="F49" s="211">
        <f t="shared" ref="F49:AK49" si="57">IF(F$22&lt;=$E$24,IF(F$22&lt;=$D$24,IF(F$22&lt;=$C$24,IF(F$22&lt;=$B$24,$B115,($C32-$B32)/($C$24-$B$24)),($D32-$C32)/($D$24-$C$24)),($E32-$D32)/($E$24-$D$24)),$F115)</f>
        <v>0</v>
      </c>
      <c r="G49" s="211">
        <f t="shared" si="57"/>
        <v>0</v>
      </c>
      <c r="H49" s="211">
        <f t="shared" si="57"/>
        <v>0</v>
      </c>
      <c r="I49" s="211">
        <f t="shared" si="57"/>
        <v>0</v>
      </c>
      <c r="J49" s="211">
        <f t="shared" si="57"/>
        <v>0</v>
      </c>
      <c r="K49" s="211">
        <f t="shared" si="57"/>
        <v>0</v>
      </c>
      <c r="L49" s="211">
        <f t="shared" si="57"/>
        <v>0</v>
      </c>
      <c r="M49" s="211">
        <f t="shared" si="57"/>
        <v>0</v>
      </c>
      <c r="N49" s="211">
        <f t="shared" si="57"/>
        <v>0</v>
      </c>
      <c r="O49" s="211">
        <f t="shared" si="57"/>
        <v>0</v>
      </c>
      <c r="P49" s="211">
        <f t="shared" si="57"/>
        <v>0</v>
      </c>
      <c r="Q49" s="211">
        <f t="shared" si="57"/>
        <v>0</v>
      </c>
      <c r="R49" s="211">
        <f t="shared" si="57"/>
        <v>0</v>
      </c>
      <c r="S49" s="211">
        <f t="shared" si="57"/>
        <v>0</v>
      </c>
      <c r="T49" s="211">
        <f t="shared" si="57"/>
        <v>0</v>
      </c>
      <c r="U49" s="211">
        <f t="shared" si="57"/>
        <v>0</v>
      </c>
      <c r="V49" s="211">
        <f t="shared" si="57"/>
        <v>0</v>
      </c>
      <c r="W49" s="211">
        <f t="shared" si="57"/>
        <v>0</v>
      </c>
      <c r="X49" s="211">
        <f t="shared" si="57"/>
        <v>0</v>
      </c>
      <c r="Y49" s="211">
        <f t="shared" si="57"/>
        <v>0</v>
      </c>
      <c r="Z49" s="211">
        <f t="shared" si="57"/>
        <v>0</v>
      </c>
      <c r="AA49" s="211">
        <f t="shared" si="57"/>
        <v>0</v>
      </c>
      <c r="AB49" s="211">
        <f t="shared" si="57"/>
        <v>0</v>
      </c>
      <c r="AC49" s="211">
        <f t="shared" si="57"/>
        <v>0</v>
      </c>
      <c r="AD49" s="211">
        <f t="shared" si="57"/>
        <v>0</v>
      </c>
      <c r="AE49" s="211">
        <f t="shared" si="57"/>
        <v>0</v>
      </c>
      <c r="AF49" s="211">
        <f t="shared" si="57"/>
        <v>0</v>
      </c>
      <c r="AG49" s="211">
        <f t="shared" si="57"/>
        <v>0</v>
      </c>
      <c r="AH49" s="211">
        <f t="shared" si="57"/>
        <v>0</v>
      </c>
      <c r="AI49" s="211">
        <f t="shared" si="57"/>
        <v>0</v>
      </c>
      <c r="AJ49" s="211">
        <f t="shared" si="57"/>
        <v>0</v>
      </c>
      <c r="AK49" s="211">
        <f t="shared" si="57"/>
        <v>0</v>
      </c>
      <c r="AL49" s="211">
        <f t="shared" ref="AL49:BQ49" si="58">IF(AL$22&lt;=$E$24,IF(AL$22&lt;=$D$24,IF(AL$22&lt;=$C$24,IF(AL$22&lt;=$B$24,$B115,($C32-$B32)/($C$24-$B$24)),($D32-$C32)/($D$24-$C$24)),($E32-$D32)/($E$24-$D$24)),$F115)</f>
        <v>0</v>
      </c>
      <c r="AM49" s="211">
        <f t="shared" si="58"/>
        <v>0</v>
      </c>
      <c r="AN49" s="211">
        <f t="shared" si="58"/>
        <v>0</v>
      </c>
      <c r="AO49" s="211">
        <f t="shared" si="58"/>
        <v>0</v>
      </c>
      <c r="AP49" s="211">
        <f t="shared" si="58"/>
        <v>0</v>
      </c>
      <c r="AQ49" s="211">
        <f t="shared" si="58"/>
        <v>0</v>
      </c>
      <c r="AR49" s="211">
        <f t="shared" si="58"/>
        <v>0</v>
      </c>
      <c r="AS49" s="211">
        <f t="shared" si="58"/>
        <v>0</v>
      </c>
      <c r="AT49" s="211">
        <f t="shared" si="58"/>
        <v>0</v>
      </c>
      <c r="AU49" s="211">
        <f t="shared" si="58"/>
        <v>0</v>
      </c>
      <c r="AV49" s="211">
        <f t="shared" si="58"/>
        <v>0</v>
      </c>
      <c r="AW49" s="211">
        <f t="shared" si="58"/>
        <v>0</v>
      </c>
      <c r="AX49" s="211">
        <f t="shared" si="58"/>
        <v>0</v>
      </c>
      <c r="AY49" s="211">
        <f t="shared" si="58"/>
        <v>0</v>
      </c>
      <c r="AZ49" s="211">
        <f t="shared" si="58"/>
        <v>0</v>
      </c>
      <c r="BA49" s="211">
        <f t="shared" si="58"/>
        <v>0</v>
      </c>
      <c r="BB49" s="211">
        <f t="shared" si="58"/>
        <v>0</v>
      </c>
      <c r="BC49" s="211">
        <f t="shared" si="58"/>
        <v>0</v>
      </c>
      <c r="BD49" s="211">
        <f t="shared" si="58"/>
        <v>0</v>
      </c>
      <c r="BE49" s="211">
        <f t="shared" si="58"/>
        <v>0</v>
      </c>
      <c r="BF49" s="211">
        <f t="shared" si="58"/>
        <v>0</v>
      </c>
      <c r="BG49" s="211">
        <f t="shared" si="58"/>
        <v>0</v>
      </c>
      <c r="BH49" s="211">
        <f t="shared" si="58"/>
        <v>0</v>
      </c>
      <c r="BI49" s="211">
        <f t="shared" si="58"/>
        <v>0</v>
      </c>
      <c r="BJ49" s="211">
        <f t="shared" si="58"/>
        <v>0</v>
      </c>
      <c r="BK49" s="211">
        <f t="shared" si="58"/>
        <v>0</v>
      </c>
      <c r="BL49" s="211">
        <f t="shared" si="58"/>
        <v>0</v>
      </c>
      <c r="BM49" s="211">
        <f t="shared" si="58"/>
        <v>0</v>
      </c>
      <c r="BN49" s="211">
        <f t="shared" si="58"/>
        <v>0</v>
      </c>
      <c r="BO49" s="211">
        <f t="shared" si="58"/>
        <v>0</v>
      </c>
      <c r="BP49" s="211">
        <f t="shared" si="58"/>
        <v>0</v>
      </c>
      <c r="BQ49" s="211">
        <f t="shared" si="58"/>
        <v>1097.1428571428571</v>
      </c>
      <c r="BR49" s="211">
        <f t="shared" ref="BR49:DA49" si="59">IF(BR$22&lt;=$E$24,IF(BR$22&lt;=$D$24,IF(BR$22&lt;=$C$24,IF(BR$22&lt;=$B$24,$B115,($C32-$B32)/($C$24-$B$24)),($D32-$C32)/($D$24-$C$24)),($E32-$D32)/($E$24-$D$24)),$F115)</f>
        <v>1097.1428571428571</v>
      </c>
      <c r="BS49" s="211">
        <f t="shared" si="59"/>
        <v>1097.1428571428571</v>
      </c>
      <c r="BT49" s="211">
        <f t="shared" si="59"/>
        <v>1097.1428571428571</v>
      </c>
      <c r="BU49" s="211">
        <f t="shared" si="59"/>
        <v>1097.1428571428571</v>
      </c>
      <c r="BV49" s="211">
        <f t="shared" si="59"/>
        <v>1097.1428571428571</v>
      </c>
      <c r="BW49" s="211">
        <f t="shared" si="59"/>
        <v>1097.1428571428571</v>
      </c>
      <c r="BX49" s="211">
        <f t="shared" si="59"/>
        <v>1097.1428571428571</v>
      </c>
      <c r="BY49" s="211">
        <f t="shared" si="59"/>
        <v>1097.1428571428571</v>
      </c>
      <c r="BZ49" s="211">
        <f t="shared" si="59"/>
        <v>1097.1428571428571</v>
      </c>
      <c r="CA49" s="211">
        <f t="shared" si="59"/>
        <v>1097.1428571428571</v>
      </c>
      <c r="CB49" s="211">
        <f t="shared" si="59"/>
        <v>1097.1428571428571</v>
      </c>
      <c r="CC49" s="211">
        <f t="shared" si="59"/>
        <v>1097.1428571428571</v>
      </c>
      <c r="CD49" s="211">
        <f t="shared" si="59"/>
        <v>1097.1428571428571</v>
      </c>
      <c r="CE49" s="211">
        <f t="shared" si="59"/>
        <v>1097.1428571428571</v>
      </c>
      <c r="CF49" s="211">
        <f t="shared" si="59"/>
        <v>1097.1428571428571</v>
      </c>
      <c r="CG49" s="211">
        <f t="shared" si="59"/>
        <v>1097.1428571428571</v>
      </c>
      <c r="CH49" s="211">
        <f t="shared" si="59"/>
        <v>1097.1428571428571</v>
      </c>
      <c r="CI49" s="211">
        <f t="shared" si="59"/>
        <v>1097.1428571428571</v>
      </c>
      <c r="CJ49" s="211">
        <f t="shared" si="59"/>
        <v>1097.1428571428571</v>
      </c>
      <c r="CK49" s="211">
        <f t="shared" si="59"/>
        <v>4292.5714285714284</v>
      </c>
      <c r="CL49" s="211">
        <f t="shared" si="59"/>
        <v>4292.5714285714284</v>
      </c>
      <c r="CM49" s="211">
        <f t="shared" si="59"/>
        <v>4292.5714285714284</v>
      </c>
      <c r="CN49" s="211">
        <f t="shared" si="59"/>
        <v>4292.5714285714284</v>
      </c>
      <c r="CO49" s="211">
        <f t="shared" si="59"/>
        <v>4292.5714285714284</v>
      </c>
      <c r="CP49" s="211">
        <f t="shared" si="59"/>
        <v>4292.5714285714284</v>
      </c>
      <c r="CQ49" s="211">
        <f t="shared" si="59"/>
        <v>4292.5714285714284</v>
      </c>
      <c r="CR49" s="211">
        <f t="shared" si="59"/>
        <v>4292.5714285714284</v>
      </c>
      <c r="CS49" s="211">
        <f t="shared" si="59"/>
        <v>4292.5714285714284</v>
      </c>
      <c r="CT49" s="211">
        <f t="shared" si="59"/>
        <v>4292.5714285714284</v>
      </c>
      <c r="CU49" s="211">
        <f t="shared" si="59"/>
        <v>4292.5714285714284</v>
      </c>
      <c r="CV49" s="211">
        <f t="shared" si="59"/>
        <v>4292.5714285714284</v>
      </c>
      <c r="CW49" s="211">
        <f t="shared" si="59"/>
        <v>4292.5714285714284</v>
      </c>
      <c r="CX49" s="211">
        <f t="shared" si="59"/>
        <v>2671.7</v>
      </c>
      <c r="CY49" s="211">
        <f t="shared" si="59"/>
        <v>2671.7</v>
      </c>
      <c r="CZ49" s="211">
        <f t="shared" si="59"/>
        <v>2671.7</v>
      </c>
      <c r="DA49" s="211">
        <f t="shared" si="59"/>
        <v>2671.7</v>
      </c>
    </row>
    <row r="50" spans="1:105">
      <c r="A50" s="202" t="str">
        <f>Income!A81</f>
        <v>Self - employment</v>
      </c>
      <c r="F50" s="211">
        <f t="shared" ref="F50:AK50" si="60">IF(F$22&lt;=$E$24,IF(F$22&lt;=$D$24,IF(F$22&lt;=$C$24,IF(F$22&lt;=$B$24,$B116,($C33-$B33)/($C$24-$B$24)),($D33-$C33)/($D$24-$C$24)),($E33-$D33)/($E$24-$D$24)),$F116)</f>
        <v>0</v>
      </c>
      <c r="G50" s="211">
        <f t="shared" si="60"/>
        <v>0</v>
      </c>
      <c r="H50" s="211">
        <f t="shared" si="60"/>
        <v>0</v>
      </c>
      <c r="I50" s="211">
        <f t="shared" si="60"/>
        <v>0</v>
      </c>
      <c r="J50" s="211">
        <f t="shared" si="60"/>
        <v>0</v>
      </c>
      <c r="K50" s="211">
        <f t="shared" si="60"/>
        <v>0</v>
      </c>
      <c r="L50" s="211">
        <f t="shared" si="60"/>
        <v>0</v>
      </c>
      <c r="M50" s="211">
        <f t="shared" si="60"/>
        <v>0</v>
      </c>
      <c r="N50" s="211">
        <f t="shared" si="60"/>
        <v>0</v>
      </c>
      <c r="O50" s="211">
        <f t="shared" si="60"/>
        <v>0</v>
      </c>
      <c r="P50" s="211">
        <f t="shared" si="60"/>
        <v>0</v>
      </c>
      <c r="Q50" s="211">
        <f t="shared" si="60"/>
        <v>0</v>
      </c>
      <c r="R50" s="211">
        <f t="shared" si="60"/>
        <v>0</v>
      </c>
      <c r="S50" s="211">
        <f t="shared" si="60"/>
        <v>0</v>
      </c>
      <c r="T50" s="211">
        <f t="shared" si="60"/>
        <v>0</v>
      </c>
      <c r="U50" s="211">
        <f t="shared" si="60"/>
        <v>0</v>
      </c>
      <c r="V50" s="211">
        <f t="shared" si="60"/>
        <v>0</v>
      </c>
      <c r="W50" s="211">
        <f t="shared" si="60"/>
        <v>0</v>
      </c>
      <c r="X50" s="211">
        <f t="shared" si="60"/>
        <v>0</v>
      </c>
      <c r="Y50" s="211">
        <f t="shared" si="60"/>
        <v>0</v>
      </c>
      <c r="Z50" s="211">
        <f t="shared" si="60"/>
        <v>0</v>
      </c>
      <c r="AA50" s="211">
        <f t="shared" si="60"/>
        <v>0</v>
      </c>
      <c r="AB50" s="211">
        <f t="shared" si="60"/>
        <v>0</v>
      </c>
      <c r="AC50" s="211">
        <f t="shared" si="60"/>
        <v>0</v>
      </c>
      <c r="AD50" s="211">
        <f t="shared" si="60"/>
        <v>0</v>
      </c>
      <c r="AE50" s="211">
        <f t="shared" si="60"/>
        <v>0</v>
      </c>
      <c r="AF50" s="211">
        <f t="shared" si="60"/>
        <v>0</v>
      </c>
      <c r="AG50" s="211">
        <f t="shared" si="60"/>
        <v>0</v>
      </c>
      <c r="AH50" s="211">
        <f t="shared" si="60"/>
        <v>0</v>
      </c>
      <c r="AI50" s="211">
        <f t="shared" si="60"/>
        <v>0</v>
      </c>
      <c r="AJ50" s="211">
        <f t="shared" si="60"/>
        <v>0</v>
      </c>
      <c r="AK50" s="211">
        <f t="shared" si="60"/>
        <v>0</v>
      </c>
      <c r="AL50" s="211">
        <f t="shared" ref="AL50:BQ50" si="61">IF(AL$22&lt;=$E$24,IF(AL$22&lt;=$D$24,IF(AL$22&lt;=$C$24,IF(AL$22&lt;=$B$24,$B116,($C33-$B33)/($C$24-$B$24)),($D33-$C33)/($D$24-$C$24)),($E33-$D33)/($E$24-$D$24)),$F116)</f>
        <v>0</v>
      </c>
      <c r="AM50" s="211">
        <f t="shared" si="61"/>
        <v>0</v>
      </c>
      <c r="AN50" s="211">
        <f t="shared" si="61"/>
        <v>0</v>
      </c>
      <c r="AO50" s="211">
        <f t="shared" si="61"/>
        <v>0</v>
      </c>
      <c r="AP50" s="211">
        <f t="shared" si="61"/>
        <v>0</v>
      </c>
      <c r="AQ50" s="211">
        <f t="shared" si="61"/>
        <v>0</v>
      </c>
      <c r="AR50" s="211">
        <f t="shared" si="61"/>
        <v>0</v>
      </c>
      <c r="AS50" s="211">
        <f t="shared" si="61"/>
        <v>0</v>
      </c>
      <c r="AT50" s="211">
        <f t="shared" si="61"/>
        <v>0</v>
      </c>
      <c r="AU50" s="211">
        <f t="shared" si="61"/>
        <v>0</v>
      </c>
      <c r="AV50" s="211">
        <f t="shared" si="61"/>
        <v>0</v>
      </c>
      <c r="AW50" s="211">
        <f t="shared" si="61"/>
        <v>0</v>
      </c>
      <c r="AX50" s="211">
        <f t="shared" si="61"/>
        <v>0</v>
      </c>
      <c r="AY50" s="211">
        <f t="shared" si="61"/>
        <v>0</v>
      </c>
      <c r="AZ50" s="211">
        <f t="shared" si="61"/>
        <v>0</v>
      </c>
      <c r="BA50" s="211">
        <f t="shared" si="61"/>
        <v>0</v>
      </c>
      <c r="BB50" s="211">
        <f t="shared" si="61"/>
        <v>0</v>
      </c>
      <c r="BC50" s="211">
        <f t="shared" si="61"/>
        <v>0</v>
      </c>
      <c r="BD50" s="211">
        <f t="shared" si="61"/>
        <v>0</v>
      </c>
      <c r="BE50" s="211">
        <f t="shared" si="61"/>
        <v>0</v>
      </c>
      <c r="BF50" s="211">
        <f t="shared" si="61"/>
        <v>0</v>
      </c>
      <c r="BG50" s="211">
        <f t="shared" si="61"/>
        <v>0</v>
      </c>
      <c r="BH50" s="211">
        <f t="shared" si="61"/>
        <v>0</v>
      </c>
      <c r="BI50" s="211">
        <f t="shared" si="61"/>
        <v>0</v>
      </c>
      <c r="BJ50" s="211">
        <f t="shared" si="61"/>
        <v>0</v>
      </c>
      <c r="BK50" s="211">
        <f t="shared" si="61"/>
        <v>0</v>
      </c>
      <c r="BL50" s="211">
        <f t="shared" si="61"/>
        <v>0</v>
      </c>
      <c r="BM50" s="211">
        <f t="shared" si="61"/>
        <v>0</v>
      </c>
      <c r="BN50" s="211">
        <f t="shared" si="61"/>
        <v>0</v>
      </c>
      <c r="BO50" s="211">
        <f t="shared" si="61"/>
        <v>0</v>
      </c>
      <c r="BP50" s="211">
        <f t="shared" si="61"/>
        <v>0</v>
      </c>
      <c r="BQ50" s="211">
        <f t="shared" si="61"/>
        <v>0</v>
      </c>
      <c r="BR50" s="211">
        <f t="shared" ref="BR50:DA50" si="62">IF(BR$22&lt;=$E$24,IF(BR$22&lt;=$D$24,IF(BR$22&lt;=$C$24,IF(BR$22&lt;=$B$24,$B116,($C33-$B33)/($C$24-$B$24)),($D33-$C33)/($D$24-$C$24)),($E33-$D33)/($E$24-$D$24)),$F116)</f>
        <v>0</v>
      </c>
      <c r="BS50" s="211">
        <f t="shared" si="62"/>
        <v>0</v>
      </c>
      <c r="BT50" s="211">
        <f t="shared" si="62"/>
        <v>0</v>
      </c>
      <c r="BU50" s="211">
        <f t="shared" si="62"/>
        <v>0</v>
      </c>
      <c r="BV50" s="211">
        <f t="shared" si="62"/>
        <v>0</v>
      </c>
      <c r="BW50" s="211">
        <f t="shared" si="62"/>
        <v>0</v>
      </c>
      <c r="BX50" s="211">
        <f t="shared" si="62"/>
        <v>0</v>
      </c>
      <c r="BY50" s="211">
        <f t="shared" si="62"/>
        <v>0</v>
      </c>
      <c r="BZ50" s="211">
        <f t="shared" si="62"/>
        <v>0</v>
      </c>
      <c r="CA50" s="211">
        <f t="shared" si="62"/>
        <v>0</v>
      </c>
      <c r="CB50" s="211">
        <f t="shared" si="62"/>
        <v>0</v>
      </c>
      <c r="CC50" s="211">
        <f t="shared" si="62"/>
        <v>0</v>
      </c>
      <c r="CD50" s="211">
        <f t="shared" si="62"/>
        <v>0</v>
      </c>
      <c r="CE50" s="211">
        <f t="shared" si="62"/>
        <v>0</v>
      </c>
      <c r="CF50" s="211">
        <f t="shared" si="62"/>
        <v>0</v>
      </c>
      <c r="CG50" s="211">
        <f t="shared" si="62"/>
        <v>0</v>
      </c>
      <c r="CH50" s="211">
        <f t="shared" si="62"/>
        <v>0</v>
      </c>
      <c r="CI50" s="211">
        <f t="shared" si="62"/>
        <v>0</v>
      </c>
      <c r="CJ50" s="211">
        <f t="shared" si="62"/>
        <v>0</v>
      </c>
      <c r="CK50" s="211">
        <f t="shared" si="62"/>
        <v>0</v>
      </c>
      <c r="CL50" s="211">
        <f t="shared" si="62"/>
        <v>0</v>
      </c>
      <c r="CM50" s="211">
        <f t="shared" si="62"/>
        <v>0</v>
      </c>
      <c r="CN50" s="211">
        <f t="shared" si="62"/>
        <v>0</v>
      </c>
      <c r="CO50" s="211">
        <f t="shared" si="62"/>
        <v>0</v>
      </c>
      <c r="CP50" s="211">
        <f t="shared" si="62"/>
        <v>0</v>
      </c>
      <c r="CQ50" s="211">
        <f t="shared" si="62"/>
        <v>0</v>
      </c>
      <c r="CR50" s="211">
        <f t="shared" si="62"/>
        <v>0</v>
      </c>
      <c r="CS50" s="211">
        <f t="shared" si="62"/>
        <v>0</v>
      </c>
      <c r="CT50" s="211">
        <f t="shared" si="62"/>
        <v>0</v>
      </c>
      <c r="CU50" s="211">
        <f t="shared" si="62"/>
        <v>0</v>
      </c>
      <c r="CV50" s="211">
        <f t="shared" si="62"/>
        <v>0</v>
      </c>
      <c r="CW50" s="211">
        <f t="shared" si="62"/>
        <v>0</v>
      </c>
      <c r="CX50" s="211">
        <f t="shared" si="62"/>
        <v>829.53</v>
      </c>
      <c r="CY50" s="211">
        <f t="shared" si="62"/>
        <v>829.53</v>
      </c>
      <c r="CZ50" s="211">
        <f t="shared" si="62"/>
        <v>829.53</v>
      </c>
      <c r="DA50" s="211">
        <f t="shared" si="62"/>
        <v>829.53</v>
      </c>
    </row>
    <row r="51" spans="1:105">
      <c r="A51" s="202" t="str">
        <f>Income!A82</f>
        <v>Small business/petty trading</v>
      </c>
      <c r="F51" s="211">
        <f t="shared" ref="F51:AK51" si="63">IF(F$22&lt;=$E$24,IF(F$22&lt;=$D$24,IF(F$22&lt;=$C$24,IF(F$22&lt;=$B$24,$B117,($C34-$B34)/($C$24-$B$24)),($D34-$C34)/($D$24-$C$24)),($E34-$D34)/($E$24-$D$24)),$F117)</f>
        <v>0</v>
      </c>
      <c r="G51" s="211">
        <f t="shared" si="63"/>
        <v>0</v>
      </c>
      <c r="H51" s="211">
        <f t="shared" si="63"/>
        <v>0</v>
      </c>
      <c r="I51" s="211">
        <f t="shared" si="63"/>
        <v>0</v>
      </c>
      <c r="J51" s="211">
        <f t="shared" si="63"/>
        <v>0</v>
      </c>
      <c r="K51" s="211">
        <f t="shared" si="63"/>
        <v>0</v>
      </c>
      <c r="L51" s="211">
        <f t="shared" si="63"/>
        <v>0</v>
      </c>
      <c r="M51" s="211">
        <f t="shared" si="63"/>
        <v>0</v>
      </c>
      <c r="N51" s="211">
        <f t="shared" si="63"/>
        <v>0</v>
      </c>
      <c r="O51" s="211">
        <f t="shared" si="63"/>
        <v>0</v>
      </c>
      <c r="P51" s="211">
        <f t="shared" si="63"/>
        <v>0</v>
      </c>
      <c r="Q51" s="211">
        <f t="shared" si="63"/>
        <v>0</v>
      </c>
      <c r="R51" s="211">
        <f t="shared" si="63"/>
        <v>0</v>
      </c>
      <c r="S51" s="211">
        <f t="shared" si="63"/>
        <v>0</v>
      </c>
      <c r="T51" s="211">
        <f t="shared" si="63"/>
        <v>0</v>
      </c>
      <c r="U51" s="211">
        <f t="shared" si="63"/>
        <v>0</v>
      </c>
      <c r="V51" s="211">
        <f t="shared" si="63"/>
        <v>0</v>
      </c>
      <c r="W51" s="211">
        <f t="shared" si="63"/>
        <v>0</v>
      </c>
      <c r="X51" s="211">
        <f t="shared" si="63"/>
        <v>0</v>
      </c>
      <c r="Y51" s="211">
        <f t="shared" si="63"/>
        <v>0</v>
      </c>
      <c r="Z51" s="211">
        <f t="shared" si="63"/>
        <v>0</v>
      </c>
      <c r="AA51" s="211">
        <f t="shared" si="63"/>
        <v>0</v>
      </c>
      <c r="AB51" s="211">
        <f t="shared" si="63"/>
        <v>0</v>
      </c>
      <c r="AC51" s="211">
        <f t="shared" si="63"/>
        <v>0</v>
      </c>
      <c r="AD51" s="211">
        <f t="shared" si="63"/>
        <v>0</v>
      </c>
      <c r="AE51" s="211">
        <f t="shared" si="63"/>
        <v>0</v>
      </c>
      <c r="AF51" s="211">
        <f t="shared" si="63"/>
        <v>0</v>
      </c>
      <c r="AG51" s="211">
        <f t="shared" si="63"/>
        <v>0</v>
      </c>
      <c r="AH51" s="211">
        <f t="shared" si="63"/>
        <v>0</v>
      </c>
      <c r="AI51" s="211">
        <f t="shared" si="63"/>
        <v>0</v>
      </c>
      <c r="AJ51" s="211">
        <f t="shared" si="63"/>
        <v>0</v>
      </c>
      <c r="AK51" s="211">
        <f t="shared" si="63"/>
        <v>0</v>
      </c>
      <c r="AL51" s="211">
        <f t="shared" ref="AL51:BQ51" si="64">IF(AL$22&lt;=$E$24,IF(AL$22&lt;=$D$24,IF(AL$22&lt;=$C$24,IF(AL$22&lt;=$B$24,$B117,($C34-$B34)/($C$24-$B$24)),($D34-$C34)/($D$24-$C$24)),($E34-$D34)/($E$24-$D$24)),$F117)</f>
        <v>0</v>
      </c>
      <c r="AM51" s="211">
        <f t="shared" si="64"/>
        <v>0</v>
      </c>
      <c r="AN51" s="211">
        <f t="shared" si="64"/>
        <v>0</v>
      </c>
      <c r="AO51" s="211">
        <f t="shared" si="64"/>
        <v>0</v>
      </c>
      <c r="AP51" s="211">
        <f t="shared" si="64"/>
        <v>0</v>
      </c>
      <c r="AQ51" s="211">
        <f t="shared" si="64"/>
        <v>0</v>
      </c>
      <c r="AR51" s="211">
        <f t="shared" si="64"/>
        <v>0</v>
      </c>
      <c r="AS51" s="211">
        <f t="shared" si="64"/>
        <v>0</v>
      </c>
      <c r="AT51" s="211">
        <f t="shared" si="64"/>
        <v>0</v>
      </c>
      <c r="AU51" s="211">
        <f t="shared" si="64"/>
        <v>0</v>
      </c>
      <c r="AV51" s="211">
        <f t="shared" si="64"/>
        <v>0</v>
      </c>
      <c r="AW51" s="211">
        <f t="shared" si="64"/>
        <v>0</v>
      </c>
      <c r="AX51" s="211">
        <f t="shared" si="64"/>
        <v>0</v>
      </c>
      <c r="AY51" s="211">
        <f t="shared" si="64"/>
        <v>0</v>
      </c>
      <c r="AZ51" s="211">
        <f t="shared" si="64"/>
        <v>0</v>
      </c>
      <c r="BA51" s="211">
        <f t="shared" si="64"/>
        <v>0</v>
      </c>
      <c r="BB51" s="211">
        <f t="shared" si="64"/>
        <v>0</v>
      </c>
      <c r="BC51" s="211">
        <f t="shared" si="64"/>
        <v>0</v>
      </c>
      <c r="BD51" s="211">
        <f t="shared" si="64"/>
        <v>0</v>
      </c>
      <c r="BE51" s="211">
        <f t="shared" si="64"/>
        <v>0</v>
      </c>
      <c r="BF51" s="211">
        <f t="shared" si="64"/>
        <v>0</v>
      </c>
      <c r="BG51" s="211">
        <f t="shared" si="64"/>
        <v>0</v>
      </c>
      <c r="BH51" s="211">
        <f t="shared" si="64"/>
        <v>0</v>
      </c>
      <c r="BI51" s="211">
        <f t="shared" si="64"/>
        <v>0</v>
      </c>
      <c r="BJ51" s="211">
        <f t="shared" si="64"/>
        <v>0</v>
      </c>
      <c r="BK51" s="211">
        <f t="shared" si="64"/>
        <v>0</v>
      </c>
      <c r="BL51" s="211">
        <f t="shared" si="64"/>
        <v>0</v>
      </c>
      <c r="BM51" s="211">
        <f t="shared" si="64"/>
        <v>0</v>
      </c>
      <c r="BN51" s="211">
        <f t="shared" si="64"/>
        <v>0</v>
      </c>
      <c r="BO51" s="211">
        <f t="shared" si="64"/>
        <v>0</v>
      </c>
      <c r="BP51" s="211">
        <f t="shared" si="64"/>
        <v>0</v>
      </c>
      <c r="BQ51" s="211">
        <f t="shared" si="64"/>
        <v>0</v>
      </c>
      <c r="BR51" s="211">
        <f t="shared" ref="BR51:DA51" si="65">IF(BR$22&lt;=$E$24,IF(BR$22&lt;=$D$24,IF(BR$22&lt;=$C$24,IF(BR$22&lt;=$B$24,$B117,($C34-$B34)/($C$24-$B$24)),($D34-$C34)/($D$24-$C$24)),($E34-$D34)/($E$24-$D$24)),$F117)</f>
        <v>0</v>
      </c>
      <c r="BS51" s="211">
        <f t="shared" si="65"/>
        <v>0</v>
      </c>
      <c r="BT51" s="211">
        <f t="shared" si="65"/>
        <v>0</v>
      </c>
      <c r="BU51" s="211">
        <f t="shared" si="65"/>
        <v>0</v>
      </c>
      <c r="BV51" s="211">
        <f t="shared" si="65"/>
        <v>0</v>
      </c>
      <c r="BW51" s="211">
        <f t="shared" si="65"/>
        <v>0</v>
      </c>
      <c r="BX51" s="211">
        <f t="shared" si="65"/>
        <v>0</v>
      </c>
      <c r="BY51" s="211">
        <f t="shared" si="65"/>
        <v>0</v>
      </c>
      <c r="BZ51" s="211">
        <f t="shared" si="65"/>
        <v>0</v>
      </c>
      <c r="CA51" s="211">
        <f t="shared" si="65"/>
        <v>0</v>
      </c>
      <c r="CB51" s="211">
        <f t="shared" si="65"/>
        <v>0</v>
      </c>
      <c r="CC51" s="211">
        <f t="shared" si="65"/>
        <v>0</v>
      </c>
      <c r="CD51" s="211">
        <f t="shared" si="65"/>
        <v>0</v>
      </c>
      <c r="CE51" s="211">
        <f t="shared" si="65"/>
        <v>0</v>
      </c>
      <c r="CF51" s="211">
        <f t="shared" si="65"/>
        <v>0</v>
      </c>
      <c r="CG51" s="211">
        <f t="shared" si="65"/>
        <v>0</v>
      </c>
      <c r="CH51" s="211">
        <f t="shared" si="65"/>
        <v>0</v>
      </c>
      <c r="CI51" s="211">
        <f t="shared" si="65"/>
        <v>0</v>
      </c>
      <c r="CJ51" s="211">
        <f t="shared" si="65"/>
        <v>0</v>
      </c>
      <c r="CK51" s="211">
        <f t="shared" si="65"/>
        <v>5016</v>
      </c>
      <c r="CL51" s="211">
        <f t="shared" si="65"/>
        <v>5016</v>
      </c>
      <c r="CM51" s="211">
        <f t="shared" si="65"/>
        <v>5016</v>
      </c>
      <c r="CN51" s="211">
        <f t="shared" si="65"/>
        <v>5016</v>
      </c>
      <c r="CO51" s="211">
        <f t="shared" si="65"/>
        <v>5016</v>
      </c>
      <c r="CP51" s="211">
        <f t="shared" si="65"/>
        <v>5016</v>
      </c>
      <c r="CQ51" s="211">
        <f t="shared" si="65"/>
        <v>5016</v>
      </c>
      <c r="CR51" s="211">
        <f t="shared" si="65"/>
        <v>5016</v>
      </c>
      <c r="CS51" s="211">
        <f t="shared" si="65"/>
        <v>5016</v>
      </c>
      <c r="CT51" s="211">
        <f t="shared" si="65"/>
        <v>5016</v>
      </c>
      <c r="CU51" s="211">
        <f t="shared" si="65"/>
        <v>5016</v>
      </c>
      <c r="CV51" s="211">
        <f t="shared" si="65"/>
        <v>5016</v>
      </c>
      <c r="CW51" s="211">
        <f t="shared" si="65"/>
        <v>5016</v>
      </c>
      <c r="CX51" s="211">
        <f t="shared" si="65"/>
        <v>6203.5</v>
      </c>
      <c r="CY51" s="211">
        <f t="shared" si="65"/>
        <v>6203.5</v>
      </c>
      <c r="CZ51" s="211">
        <f t="shared" si="65"/>
        <v>6203.5</v>
      </c>
      <c r="DA51" s="211">
        <f t="shared" si="65"/>
        <v>6203.5</v>
      </c>
    </row>
    <row r="52" spans="1:105">
      <c r="A52" s="202" t="str">
        <f>Income!A83</f>
        <v>Food transfer - official</v>
      </c>
      <c r="F52" s="211">
        <f t="shared" ref="F52:AK52" si="66">IF(F$22&lt;=$E$24,IF(F$22&lt;=$D$24,IF(F$22&lt;=$C$24,IF(F$22&lt;=$B$24,$B118,($C35-$B35)/($C$24-$B$24)),($D35-$C35)/($D$24-$C$24)),($E35-$D35)/($E$24-$D$24)),$F118)</f>
        <v>0</v>
      </c>
      <c r="G52" s="211">
        <f t="shared" si="66"/>
        <v>0</v>
      </c>
      <c r="H52" s="211">
        <f t="shared" si="66"/>
        <v>0</v>
      </c>
      <c r="I52" s="211">
        <f t="shared" si="66"/>
        <v>0</v>
      </c>
      <c r="J52" s="211">
        <f t="shared" si="66"/>
        <v>0</v>
      </c>
      <c r="K52" s="211">
        <f t="shared" si="66"/>
        <v>0</v>
      </c>
      <c r="L52" s="211">
        <f t="shared" si="66"/>
        <v>0</v>
      </c>
      <c r="M52" s="211">
        <f t="shared" si="66"/>
        <v>0</v>
      </c>
      <c r="N52" s="211">
        <f t="shared" si="66"/>
        <v>0</v>
      </c>
      <c r="O52" s="211">
        <f t="shared" si="66"/>
        <v>0</v>
      </c>
      <c r="P52" s="211">
        <f t="shared" si="66"/>
        <v>0</v>
      </c>
      <c r="Q52" s="211">
        <f t="shared" si="66"/>
        <v>0</v>
      </c>
      <c r="R52" s="211">
        <f t="shared" si="66"/>
        <v>0</v>
      </c>
      <c r="S52" s="211">
        <f t="shared" si="66"/>
        <v>0</v>
      </c>
      <c r="T52" s="211">
        <f t="shared" si="66"/>
        <v>0</v>
      </c>
      <c r="U52" s="211">
        <f t="shared" si="66"/>
        <v>0</v>
      </c>
      <c r="V52" s="211">
        <f t="shared" si="66"/>
        <v>0</v>
      </c>
      <c r="W52" s="211">
        <f t="shared" si="66"/>
        <v>0</v>
      </c>
      <c r="X52" s="211">
        <f t="shared" si="66"/>
        <v>0</v>
      </c>
      <c r="Y52" s="211">
        <f t="shared" si="66"/>
        <v>0</v>
      </c>
      <c r="Z52" s="211">
        <f t="shared" si="66"/>
        <v>0</v>
      </c>
      <c r="AA52" s="211">
        <f t="shared" si="66"/>
        <v>0</v>
      </c>
      <c r="AB52" s="211">
        <f t="shared" si="66"/>
        <v>0</v>
      </c>
      <c r="AC52" s="211">
        <f t="shared" si="66"/>
        <v>0</v>
      </c>
      <c r="AD52" s="211">
        <f t="shared" si="66"/>
        <v>0</v>
      </c>
      <c r="AE52" s="211">
        <f t="shared" si="66"/>
        <v>0</v>
      </c>
      <c r="AF52" s="211">
        <f t="shared" si="66"/>
        <v>3.031649005909761E-15</v>
      </c>
      <c r="AG52" s="211">
        <f t="shared" si="66"/>
        <v>3.031649005909761E-15</v>
      </c>
      <c r="AH52" s="211">
        <f t="shared" si="66"/>
        <v>3.031649005909761E-15</v>
      </c>
      <c r="AI52" s="211">
        <f t="shared" si="66"/>
        <v>3.031649005909761E-15</v>
      </c>
      <c r="AJ52" s="211">
        <f t="shared" si="66"/>
        <v>3.031649005909761E-15</v>
      </c>
      <c r="AK52" s="211">
        <f t="shared" si="66"/>
        <v>3.031649005909761E-15</v>
      </c>
      <c r="AL52" s="211">
        <f t="shared" ref="AL52:BQ52" si="67">IF(AL$22&lt;=$E$24,IF(AL$22&lt;=$D$24,IF(AL$22&lt;=$C$24,IF(AL$22&lt;=$B$24,$B118,($C35-$B35)/($C$24-$B$24)),($D35-$C35)/($D$24-$C$24)),($E35-$D35)/($E$24-$D$24)),$F118)</f>
        <v>3.031649005909761E-15</v>
      </c>
      <c r="AM52" s="211">
        <f t="shared" si="67"/>
        <v>3.031649005909761E-15</v>
      </c>
      <c r="AN52" s="211">
        <f t="shared" si="67"/>
        <v>3.031649005909761E-15</v>
      </c>
      <c r="AO52" s="211">
        <f t="shared" si="67"/>
        <v>3.031649005909761E-15</v>
      </c>
      <c r="AP52" s="211">
        <f t="shared" si="67"/>
        <v>3.031649005909761E-15</v>
      </c>
      <c r="AQ52" s="211">
        <f t="shared" si="67"/>
        <v>3.031649005909761E-15</v>
      </c>
      <c r="AR52" s="211">
        <f t="shared" si="67"/>
        <v>3.031649005909761E-15</v>
      </c>
      <c r="AS52" s="211">
        <f t="shared" si="67"/>
        <v>3.031649005909761E-15</v>
      </c>
      <c r="AT52" s="211">
        <f t="shared" si="67"/>
        <v>3.031649005909761E-15</v>
      </c>
      <c r="AU52" s="211">
        <f t="shared" si="67"/>
        <v>3.031649005909761E-15</v>
      </c>
      <c r="AV52" s="211">
        <f t="shared" si="67"/>
        <v>3.031649005909761E-15</v>
      </c>
      <c r="AW52" s="211">
        <f t="shared" si="67"/>
        <v>3.031649005909761E-15</v>
      </c>
      <c r="AX52" s="211">
        <f t="shared" si="67"/>
        <v>3.031649005909761E-15</v>
      </c>
      <c r="AY52" s="211">
        <f t="shared" si="67"/>
        <v>3.031649005909761E-15</v>
      </c>
      <c r="AZ52" s="211">
        <f t="shared" si="67"/>
        <v>3.031649005909761E-15</v>
      </c>
      <c r="BA52" s="211">
        <f t="shared" si="67"/>
        <v>3.031649005909761E-15</v>
      </c>
      <c r="BB52" s="211">
        <f t="shared" si="67"/>
        <v>3.031649005909761E-15</v>
      </c>
      <c r="BC52" s="211">
        <f t="shared" si="67"/>
        <v>3.031649005909761E-15</v>
      </c>
      <c r="BD52" s="211">
        <f t="shared" si="67"/>
        <v>3.031649005909761E-15</v>
      </c>
      <c r="BE52" s="211">
        <f t="shared" si="67"/>
        <v>3.031649005909761E-15</v>
      </c>
      <c r="BF52" s="211">
        <f t="shared" si="67"/>
        <v>3.031649005909761E-15</v>
      </c>
      <c r="BG52" s="211">
        <f t="shared" si="67"/>
        <v>3.031649005909761E-15</v>
      </c>
      <c r="BH52" s="211">
        <f t="shared" si="67"/>
        <v>3.031649005909761E-15</v>
      </c>
      <c r="BI52" s="211">
        <f t="shared" si="67"/>
        <v>3.031649005909761E-15</v>
      </c>
      <c r="BJ52" s="211">
        <f t="shared" si="67"/>
        <v>3.031649005909761E-15</v>
      </c>
      <c r="BK52" s="211">
        <f t="shared" si="67"/>
        <v>3.031649005909761E-15</v>
      </c>
      <c r="BL52" s="211">
        <f t="shared" si="67"/>
        <v>3.031649005909761E-15</v>
      </c>
      <c r="BM52" s="211">
        <f t="shared" si="67"/>
        <v>3.031649005909761E-15</v>
      </c>
      <c r="BN52" s="211">
        <f t="shared" si="67"/>
        <v>3.031649005909761E-15</v>
      </c>
      <c r="BO52" s="211">
        <f t="shared" si="67"/>
        <v>3.031649005909761E-15</v>
      </c>
      <c r="BP52" s="211">
        <f t="shared" si="67"/>
        <v>3.031649005909761E-15</v>
      </c>
      <c r="BQ52" s="211">
        <f t="shared" si="67"/>
        <v>-5.6843418860808018E-15</v>
      </c>
      <c r="BR52" s="211">
        <f t="shared" ref="BR52:DA52" si="68">IF(BR$22&lt;=$E$24,IF(BR$22&lt;=$D$24,IF(BR$22&lt;=$C$24,IF(BR$22&lt;=$B$24,$B118,($C35-$B35)/($C$24-$B$24)),($D35-$C35)/($D$24-$C$24)),($E35-$D35)/($E$24-$D$24)),$F118)</f>
        <v>-5.6843418860808018E-15</v>
      </c>
      <c r="BS52" s="211">
        <f t="shared" si="68"/>
        <v>-5.6843418860808018E-15</v>
      </c>
      <c r="BT52" s="211">
        <f t="shared" si="68"/>
        <v>-5.6843418860808018E-15</v>
      </c>
      <c r="BU52" s="211">
        <f t="shared" si="68"/>
        <v>-5.6843418860808018E-15</v>
      </c>
      <c r="BV52" s="211">
        <f t="shared" si="68"/>
        <v>-5.6843418860808018E-15</v>
      </c>
      <c r="BW52" s="211">
        <f t="shared" si="68"/>
        <v>-5.6843418860808018E-15</v>
      </c>
      <c r="BX52" s="211">
        <f t="shared" si="68"/>
        <v>-5.6843418860808018E-15</v>
      </c>
      <c r="BY52" s="211">
        <f t="shared" si="68"/>
        <v>-5.6843418860808018E-15</v>
      </c>
      <c r="BZ52" s="211">
        <f t="shared" si="68"/>
        <v>-5.6843418860808018E-15</v>
      </c>
      <c r="CA52" s="211">
        <f t="shared" si="68"/>
        <v>-5.6843418860808018E-15</v>
      </c>
      <c r="CB52" s="211">
        <f t="shared" si="68"/>
        <v>-5.6843418860808018E-15</v>
      </c>
      <c r="CC52" s="211">
        <f t="shared" si="68"/>
        <v>-5.6843418860808018E-15</v>
      </c>
      <c r="CD52" s="211">
        <f t="shared" si="68"/>
        <v>-5.6843418860808018E-15</v>
      </c>
      <c r="CE52" s="211">
        <f t="shared" si="68"/>
        <v>-5.6843418860808018E-15</v>
      </c>
      <c r="CF52" s="211">
        <f t="shared" si="68"/>
        <v>-5.6843418860808018E-15</v>
      </c>
      <c r="CG52" s="211">
        <f t="shared" si="68"/>
        <v>-5.6843418860808018E-15</v>
      </c>
      <c r="CH52" s="211">
        <f t="shared" si="68"/>
        <v>-5.6843418860808018E-15</v>
      </c>
      <c r="CI52" s="211">
        <f t="shared" si="68"/>
        <v>-5.6843418860808018E-15</v>
      </c>
      <c r="CJ52" s="211">
        <f t="shared" si="68"/>
        <v>-5.6843418860808018E-15</v>
      </c>
      <c r="CK52" s="211">
        <f t="shared" si="68"/>
        <v>-80.733808994213817</v>
      </c>
      <c r="CL52" s="211">
        <f t="shared" si="68"/>
        <v>-80.733808994213817</v>
      </c>
      <c r="CM52" s="211">
        <f t="shared" si="68"/>
        <v>-80.733808994213817</v>
      </c>
      <c r="CN52" s="211">
        <f t="shared" si="68"/>
        <v>-80.733808994213817</v>
      </c>
      <c r="CO52" s="211">
        <f t="shared" si="68"/>
        <v>-80.733808994213817</v>
      </c>
      <c r="CP52" s="211">
        <f t="shared" si="68"/>
        <v>-80.733808994213817</v>
      </c>
      <c r="CQ52" s="211">
        <f t="shared" si="68"/>
        <v>-80.733808994213817</v>
      </c>
      <c r="CR52" s="211">
        <f t="shared" si="68"/>
        <v>-80.733808994213817</v>
      </c>
      <c r="CS52" s="211">
        <f t="shared" si="68"/>
        <v>-80.733808994213817</v>
      </c>
      <c r="CT52" s="211">
        <f t="shared" si="68"/>
        <v>-80.733808994213817</v>
      </c>
      <c r="CU52" s="211">
        <f t="shared" si="68"/>
        <v>-80.733808994213817</v>
      </c>
      <c r="CV52" s="211">
        <f t="shared" si="68"/>
        <v>-80.733808994213817</v>
      </c>
      <c r="CW52" s="211">
        <f t="shared" si="68"/>
        <v>-80.733808994213817</v>
      </c>
      <c r="CX52" s="211">
        <f t="shared" si="68"/>
        <v>14.730000000000004</v>
      </c>
      <c r="CY52" s="211">
        <f t="shared" si="68"/>
        <v>14.730000000000004</v>
      </c>
      <c r="CZ52" s="211">
        <f t="shared" si="68"/>
        <v>14.730000000000004</v>
      </c>
      <c r="DA52" s="211">
        <f t="shared" si="68"/>
        <v>14.730000000000004</v>
      </c>
    </row>
    <row r="53" spans="1:105">
      <c r="A53" s="202" t="str">
        <f>Income!A85</f>
        <v>Cash transfer - official</v>
      </c>
      <c r="F53" s="211">
        <f t="shared" ref="F53:AK53" si="69">IF(F$22&lt;=$E$24,IF(F$22&lt;=$D$24,IF(F$22&lt;=$C$24,IF(F$22&lt;=$B$24,$B119,($C36-$B36)/($C$24-$B$24)),($D36-$C36)/($D$24-$C$24)),($E36-$D36)/($E$24-$D$24)),$F119)</f>
        <v>0</v>
      </c>
      <c r="G53" s="211">
        <f t="shared" si="69"/>
        <v>0</v>
      </c>
      <c r="H53" s="211">
        <f t="shared" si="69"/>
        <v>0</v>
      </c>
      <c r="I53" s="211">
        <f t="shared" si="69"/>
        <v>0</v>
      </c>
      <c r="J53" s="211">
        <f t="shared" si="69"/>
        <v>0</v>
      </c>
      <c r="K53" s="211">
        <f t="shared" si="69"/>
        <v>0</v>
      </c>
      <c r="L53" s="211">
        <f t="shared" si="69"/>
        <v>0</v>
      </c>
      <c r="M53" s="211">
        <f t="shared" si="69"/>
        <v>0</v>
      </c>
      <c r="N53" s="211">
        <f t="shared" si="69"/>
        <v>0</v>
      </c>
      <c r="O53" s="211">
        <f t="shared" si="69"/>
        <v>0</v>
      </c>
      <c r="P53" s="211">
        <f t="shared" si="69"/>
        <v>0</v>
      </c>
      <c r="Q53" s="211">
        <f t="shared" si="69"/>
        <v>0</v>
      </c>
      <c r="R53" s="211">
        <f t="shared" si="69"/>
        <v>0</v>
      </c>
      <c r="S53" s="211">
        <f t="shared" si="69"/>
        <v>0</v>
      </c>
      <c r="T53" s="211">
        <f t="shared" si="69"/>
        <v>0</v>
      </c>
      <c r="U53" s="211">
        <f t="shared" si="69"/>
        <v>0</v>
      </c>
      <c r="V53" s="211">
        <f t="shared" si="69"/>
        <v>0</v>
      </c>
      <c r="W53" s="211">
        <f t="shared" si="69"/>
        <v>0</v>
      </c>
      <c r="X53" s="211">
        <f t="shared" si="69"/>
        <v>0</v>
      </c>
      <c r="Y53" s="211">
        <f t="shared" si="69"/>
        <v>0</v>
      </c>
      <c r="Z53" s="211">
        <f t="shared" si="69"/>
        <v>0</v>
      </c>
      <c r="AA53" s="211">
        <f t="shared" si="69"/>
        <v>0</v>
      </c>
      <c r="AB53" s="211">
        <f t="shared" si="69"/>
        <v>0</v>
      </c>
      <c r="AC53" s="211">
        <f t="shared" si="69"/>
        <v>0</v>
      </c>
      <c r="AD53" s="211">
        <f t="shared" si="69"/>
        <v>0</v>
      </c>
      <c r="AE53" s="211">
        <f t="shared" si="69"/>
        <v>0</v>
      </c>
      <c r="AF53" s="211">
        <f t="shared" si="69"/>
        <v>-29.0285714285714</v>
      </c>
      <c r="AG53" s="211">
        <f t="shared" si="69"/>
        <v>-29.0285714285714</v>
      </c>
      <c r="AH53" s="211">
        <f t="shared" si="69"/>
        <v>-29.0285714285714</v>
      </c>
      <c r="AI53" s="211">
        <f t="shared" si="69"/>
        <v>-29.0285714285714</v>
      </c>
      <c r="AJ53" s="211">
        <f t="shared" si="69"/>
        <v>-29.0285714285714</v>
      </c>
      <c r="AK53" s="211">
        <f t="shared" si="69"/>
        <v>-29.0285714285714</v>
      </c>
      <c r="AL53" s="211">
        <f t="shared" ref="AL53:BQ53" si="70">IF(AL$22&lt;=$E$24,IF(AL$22&lt;=$D$24,IF(AL$22&lt;=$C$24,IF(AL$22&lt;=$B$24,$B119,($C36-$B36)/($C$24-$B$24)),($D36-$C36)/($D$24-$C$24)),($E36-$D36)/($E$24-$D$24)),$F119)</f>
        <v>-29.0285714285714</v>
      </c>
      <c r="AM53" s="211">
        <f t="shared" si="70"/>
        <v>-29.0285714285714</v>
      </c>
      <c r="AN53" s="211">
        <f t="shared" si="70"/>
        <v>-29.0285714285714</v>
      </c>
      <c r="AO53" s="211">
        <f t="shared" si="70"/>
        <v>-29.0285714285714</v>
      </c>
      <c r="AP53" s="211">
        <f t="shared" si="70"/>
        <v>-29.0285714285714</v>
      </c>
      <c r="AQ53" s="211">
        <f t="shared" si="70"/>
        <v>-29.0285714285714</v>
      </c>
      <c r="AR53" s="211">
        <f t="shared" si="70"/>
        <v>-29.0285714285714</v>
      </c>
      <c r="AS53" s="211">
        <f t="shared" si="70"/>
        <v>-29.0285714285714</v>
      </c>
      <c r="AT53" s="211">
        <f t="shared" si="70"/>
        <v>-29.0285714285714</v>
      </c>
      <c r="AU53" s="211">
        <f t="shared" si="70"/>
        <v>-29.0285714285714</v>
      </c>
      <c r="AV53" s="211">
        <f t="shared" si="70"/>
        <v>-29.0285714285714</v>
      </c>
      <c r="AW53" s="211">
        <f t="shared" si="70"/>
        <v>-29.0285714285714</v>
      </c>
      <c r="AX53" s="211">
        <f t="shared" si="70"/>
        <v>-29.0285714285714</v>
      </c>
      <c r="AY53" s="211">
        <f t="shared" si="70"/>
        <v>-29.0285714285714</v>
      </c>
      <c r="AZ53" s="211">
        <f t="shared" si="70"/>
        <v>-29.0285714285714</v>
      </c>
      <c r="BA53" s="211">
        <f t="shared" si="70"/>
        <v>-29.0285714285714</v>
      </c>
      <c r="BB53" s="211">
        <f t="shared" si="70"/>
        <v>-29.0285714285714</v>
      </c>
      <c r="BC53" s="211">
        <f t="shared" si="70"/>
        <v>-29.0285714285714</v>
      </c>
      <c r="BD53" s="211">
        <f t="shared" si="70"/>
        <v>-29.0285714285714</v>
      </c>
      <c r="BE53" s="211">
        <f t="shared" si="70"/>
        <v>-29.0285714285714</v>
      </c>
      <c r="BF53" s="211">
        <f t="shared" si="70"/>
        <v>-29.0285714285714</v>
      </c>
      <c r="BG53" s="211">
        <f t="shared" si="70"/>
        <v>-29.0285714285714</v>
      </c>
      <c r="BH53" s="211">
        <f t="shared" si="70"/>
        <v>-29.0285714285714</v>
      </c>
      <c r="BI53" s="211">
        <f t="shared" si="70"/>
        <v>-29.0285714285714</v>
      </c>
      <c r="BJ53" s="211">
        <f t="shared" si="70"/>
        <v>-29.0285714285714</v>
      </c>
      <c r="BK53" s="211">
        <f t="shared" si="70"/>
        <v>-29.0285714285714</v>
      </c>
      <c r="BL53" s="211">
        <f t="shared" si="70"/>
        <v>-29.0285714285714</v>
      </c>
      <c r="BM53" s="211">
        <f t="shared" si="70"/>
        <v>-29.0285714285714</v>
      </c>
      <c r="BN53" s="211">
        <f t="shared" si="70"/>
        <v>-29.0285714285714</v>
      </c>
      <c r="BO53" s="211">
        <f t="shared" si="70"/>
        <v>-29.0285714285714</v>
      </c>
      <c r="BP53" s="211">
        <f t="shared" si="70"/>
        <v>-29.0285714285714</v>
      </c>
      <c r="BQ53" s="211">
        <f t="shared" si="70"/>
        <v>-665.57142857142856</v>
      </c>
      <c r="BR53" s="211">
        <f t="shared" ref="BR53:DA53" si="71">IF(BR$22&lt;=$E$24,IF(BR$22&lt;=$D$24,IF(BR$22&lt;=$C$24,IF(BR$22&lt;=$B$24,$B119,($C36-$B36)/($C$24-$B$24)),($D36-$C36)/($D$24-$C$24)),($E36-$D36)/($E$24-$D$24)),$F119)</f>
        <v>-665.57142857142856</v>
      </c>
      <c r="BS53" s="211">
        <f t="shared" si="71"/>
        <v>-665.57142857142856</v>
      </c>
      <c r="BT53" s="211">
        <f t="shared" si="71"/>
        <v>-665.57142857142856</v>
      </c>
      <c r="BU53" s="211">
        <f t="shared" si="71"/>
        <v>-665.57142857142856</v>
      </c>
      <c r="BV53" s="211">
        <f t="shared" si="71"/>
        <v>-665.57142857142856</v>
      </c>
      <c r="BW53" s="211">
        <f t="shared" si="71"/>
        <v>-665.57142857142856</v>
      </c>
      <c r="BX53" s="211">
        <f t="shared" si="71"/>
        <v>-665.57142857142856</v>
      </c>
      <c r="BY53" s="211">
        <f t="shared" si="71"/>
        <v>-665.57142857142856</v>
      </c>
      <c r="BZ53" s="211">
        <f t="shared" si="71"/>
        <v>-665.57142857142856</v>
      </c>
      <c r="CA53" s="211">
        <f t="shared" si="71"/>
        <v>-665.57142857142856</v>
      </c>
      <c r="CB53" s="211">
        <f t="shared" si="71"/>
        <v>-665.57142857142856</v>
      </c>
      <c r="CC53" s="211">
        <f t="shared" si="71"/>
        <v>-665.57142857142856</v>
      </c>
      <c r="CD53" s="211">
        <f t="shared" si="71"/>
        <v>-665.57142857142856</v>
      </c>
      <c r="CE53" s="211">
        <f t="shared" si="71"/>
        <v>-665.57142857142856</v>
      </c>
      <c r="CF53" s="211">
        <f t="shared" si="71"/>
        <v>-665.57142857142856</v>
      </c>
      <c r="CG53" s="211">
        <f t="shared" si="71"/>
        <v>-665.57142857142856</v>
      </c>
      <c r="CH53" s="211">
        <f t="shared" si="71"/>
        <v>-665.57142857142856</v>
      </c>
      <c r="CI53" s="211">
        <f t="shared" si="71"/>
        <v>-665.57142857142856</v>
      </c>
      <c r="CJ53" s="211">
        <f t="shared" si="71"/>
        <v>-665.57142857142856</v>
      </c>
      <c r="CK53" s="211">
        <f t="shared" si="71"/>
        <v>-87.085714285714346</v>
      </c>
      <c r="CL53" s="211">
        <f t="shared" si="71"/>
        <v>-87.085714285714346</v>
      </c>
      <c r="CM53" s="211">
        <f t="shared" si="71"/>
        <v>-87.085714285714346</v>
      </c>
      <c r="CN53" s="211">
        <f t="shared" si="71"/>
        <v>-87.085714285714346</v>
      </c>
      <c r="CO53" s="211">
        <f t="shared" si="71"/>
        <v>-87.085714285714346</v>
      </c>
      <c r="CP53" s="211">
        <f t="shared" si="71"/>
        <v>-87.085714285714346</v>
      </c>
      <c r="CQ53" s="211">
        <f t="shared" si="71"/>
        <v>-87.085714285714346</v>
      </c>
      <c r="CR53" s="211">
        <f t="shared" si="71"/>
        <v>-87.085714285714346</v>
      </c>
      <c r="CS53" s="211">
        <f t="shared" si="71"/>
        <v>-87.085714285714346</v>
      </c>
      <c r="CT53" s="211">
        <f t="shared" si="71"/>
        <v>-87.085714285714346</v>
      </c>
      <c r="CU53" s="211">
        <f t="shared" si="71"/>
        <v>-87.085714285714346</v>
      </c>
      <c r="CV53" s="211">
        <f t="shared" si="71"/>
        <v>-87.085714285714346</v>
      </c>
      <c r="CW53" s="211">
        <f t="shared" si="71"/>
        <v>-87.085714285714346</v>
      </c>
      <c r="CX53" s="211">
        <f t="shared" si="71"/>
        <v>-1127.83</v>
      </c>
      <c r="CY53" s="211">
        <f t="shared" si="71"/>
        <v>-1127.83</v>
      </c>
      <c r="CZ53" s="211">
        <f t="shared" si="71"/>
        <v>-1127.83</v>
      </c>
      <c r="DA53" s="211">
        <f t="shared" si="71"/>
        <v>-1127.83</v>
      </c>
    </row>
    <row r="54" spans="1:105">
      <c r="A54" s="202" t="str">
        <f>Income!A86</f>
        <v>Cash transfer - gifts</v>
      </c>
      <c r="F54" s="211">
        <f t="shared" ref="F54:AK54" si="72">IF(F$22&lt;=$E$24,IF(F$22&lt;=$D$24,IF(F$22&lt;=$C$24,IF(F$22&lt;=$B$24,$B120,($C37-$B37)/($C$24-$B$24)),($D37-$C37)/($D$24-$C$24)),($E37-$D37)/($E$24-$D$24)),$F120)</f>
        <v>0</v>
      </c>
      <c r="G54" s="211">
        <f t="shared" si="72"/>
        <v>0</v>
      </c>
      <c r="H54" s="211">
        <f t="shared" si="72"/>
        <v>0</v>
      </c>
      <c r="I54" s="211">
        <f t="shared" si="72"/>
        <v>0</v>
      </c>
      <c r="J54" s="211">
        <f t="shared" si="72"/>
        <v>0</v>
      </c>
      <c r="K54" s="211">
        <f t="shared" si="72"/>
        <v>0</v>
      </c>
      <c r="L54" s="211">
        <f t="shared" si="72"/>
        <v>0</v>
      </c>
      <c r="M54" s="211">
        <f t="shared" si="72"/>
        <v>0</v>
      </c>
      <c r="N54" s="211">
        <f t="shared" si="72"/>
        <v>0</v>
      </c>
      <c r="O54" s="211">
        <f t="shared" si="72"/>
        <v>0</v>
      </c>
      <c r="P54" s="211">
        <f t="shared" si="72"/>
        <v>0</v>
      </c>
      <c r="Q54" s="211">
        <f t="shared" si="72"/>
        <v>0</v>
      </c>
      <c r="R54" s="211">
        <f t="shared" si="72"/>
        <v>0</v>
      </c>
      <c r="S54" s="211">
        <f t="shared" si="72"/>
        <v>0</v>
      </c>
      <c r="T54" s="211">
        <f t="shared" si="72"/>
        <v>0</v>
      </c>
      <c r="U54" s="211">
        <f t="shared" si="72"/>
        <v>0</v>
      </c>
      <c r="V54" s="211">
        <f t="shared" si="72"/>
        <v>0</v>
      </c>
      <c r="W54" s="211">
        <f t="shared" si="72"/>
        <v>0</v>
      </c>
      <c r="X54" s="211">
        <f t="shared" si="72"/>
        <v>0</v>
      </c>
      <c r="Y54" s="211">
        <f t="shared" si="72"/>
        <v>0</v>
      </c>
      <c r="Z54" s="211">
        <f t="shared" si="72"/>
        <v>0</v>
      </c>
      <c r="AA54" s="211">
        <f t="shared" si="72"/>
        <v>0</v>
      </c>
      <c r="AB54" s="211">
        <f t="shared" si="72"/>
        <v>0</v>
      </c>
      <c r="AC54" s="211">
        <f t="shared" si="72"/>
        <v>0</v>
      </c>
      <c r="AD54" s="211">
        <f t="shared" si="72"/>
        <v>0</v>
      </c>
      <c r="AE54" s="211">
        <f t="shared" si="72"/>
        <v>0</v>
      </c>
      <c r="AF54" s="211">
        <f t="shared" si="72"/>
        <v>0</v>
      </c>
      <c r="AG54" s="211">
        <f t="shared" si="72"/>
        <v>0</v>
      </c>
      <c r="AH54" s="211">
        <f t="shared" si="72"/>
        <v>0</v>
      </c>
      <c r="AI54" s="211">
        <f t="shared" si="72"/>
        <v>0</v>
      </c>
      <c r="AJ54" s="211">
        <f t="shared" si="72"/>
        <v>0</v>
      </c>
      <c r="AK54" s="211">
        <f t="shared" si="72"/>
        <v>0</v>
      </c>
      <c r="AL54" s="211">
        <f t="shared" ref="AL54:BQ54" si="73">IF(AL$22&lt;=$E$24,IF(AL$22&lt;=$D$24,IF(AL$22&lt;=$C$24,IF(AL$22&lt;=$B$24,$B120,($C37-$B37)/($C$24-$B$24)),($D37-$C37)/($D$24-$C$24)),($E37-$D37)/($E$24-$D$24)),$F120)</f>
        <v>0</v>
      </c>
      <c r="AM54" s="211">
        <f t="shared" si="73"/>
        <v>0</v>
      </c>
      <c r="AN54" s="211">
        <f t="shared" si="73"/>
        <v>0</v>
      </c>
      <c r="AO54" s="211">
        <f t="shared" si="73"/>
        <v>0</v>
      </c>
      <c r="AP54" s="211">
        <f t="shared" si="73"/>
        <v>0</v>
      </c>
      <c r="AQ54" s="211">
        <f t="shared" si="73"/>
        <v>0</v>
      </c>
      <c r="AR54" s="211">
        <f t="shared" si="73"/>
        <v>0</v>
      </c>
      <c r="AS54" s="211">
        <f t="shared" si="73"/>
        <v>0</v>
      </c>
      <c r="AT54" s="211">
        <f t="shared" si="73"/>
        <v>0</v>
      </c>
      <c r="AU54" s="211">
        <f t="shared" si="73"/>
        <v>0</v>
      </c>
      <c r="AV54" s="211">
        <f t="shared" si="73"/>
        <v>0</v>
      </c>
      <c r="AW54" s="211">
        <f t="shared" si="73"/>
        <v>0</v>
      </c>
      <c r="AX54" s="211">
        <f t="shared" si="73"/>
        <v>0</v>
      </c>
      <c r="AY54" s="211">
        <f t="shared" si="73"/>
        <v>0</v>
      </c>
      <c r="AZ54" s="211">
        <f t="shared" si="73"/>
        <v>0</v>
      </c>
      <c r="BA54" s="211">
        <f t="shared" si="73"/>
        <v>0</v>
      </c>
      <c r="BB54" s="211">
        <f t="shared" si="73"/>
        <v>0</v>
      </c>
      <c r="BC54" s="211">
        <f t="shared" si="73"/>
        <v>0</v>
      </c>
      <c r="BD54" s="211">
        <f t="shared" si="73"/>
        <v>0</v>
      </c>
      <c r="BE54" s="211">
        <f t="shared" si="73"/>
        <v>0</v>
      </c>
      <c r="BF54" s="211">
        <f t="shared" si="73"/>
        <v>0</v>
      </c>
      <c r="BG54" s="211">
        <f t="shared" si="73"/>
        <v>0</v>
      </c>
      <c r="BH54" s="211">
        <f t="shared" si="73"/>
        <v>0</v>
      </c>
      <c r="BI54" s="211">
        <f t="shared" si="73"/>
        <v>0</v>
      </c>
      <c r="BJ54" s="211">
        <f t="shared" si="73"/>
        <v>0</v>
      </c>
      <c r="BK54" s="211">
        <f t="shared" si="73"/>
        <v>0</v>
      </c>
      <c r="BL54" s="211">
        <f t="shared" si="73"/>
        <v>0</v>
      </c>
      <c r="BM54" s="211">
        <f t="shared" si="73"/>
        <v>0</v>
      </c>
      <c r="BN54" s="211">
        <f t="shared" si="73"/>
        <v>0</v>
      </c>
      <c r="BO54" s="211">
        <f t="shared" si="73"/>
        <v>0</v>
      </c>
      <c r="BP54" s="211">
        <f t="shared" si="73"/>
        <v>0</v>
      </c>
      <c r="BQ54" s="211">
        <f t="shared" si="73"/>
        <v>685.71428571428567</v>
      </c>
      <c r="BR54" s="211">
        <f t="shared" ref="BR54:DA54" si="74">IF(BR$22&lt;=$E$24,IF(BR$22&lt;=$D$24,IF(BR$22&lt;=$C$24,IF(BR$22&lt;=$B$24,$B120,($C37-$B37)/($C$24-$B$24)),($D37-$C37)/($D$24-$C$24)),($E37-$D37)/($E$24-$D$24)),$F120)</f>
        <v>685.71428571428567</v>
      </c>
      <c r="BS54" s="211">
        <f t="shared" si="74"/>
        <v>685.71428571428567</v>
      </c>
      <c r="BT54" s="211">
        <f t="shared" si="74"/>
        <v>685.71428571428567</v>
      </c>
      <c r="BU54" s="211">
        <f t="shared" si="74"/>
        <v>685.71428571428567</v>
      </c>
      <c r="BV54" s="211">
        <f t="shared" si="74"/>
        <v>685.71428571428567</v>
      </c>
      <c r="BW54" s="211">
        <f t="shared" si="74"/>
        <v>685.71428571428567</v>
      </c>
      <c r="BX54" s="211">
        <f t="shared" si="74"/>
        <v>685.71428571428567</v>
      </c>
      <c r="BY54" s="211">
        <f t="shared" si="74"/>
        <v>685.71428571428567</v>
      </c>
      <c r="BZ54" s="211">
        <f t="shared" si="74"/>
        <v>685.71428571428567</v>
      </c>
      <c r="CA54" s="211">
        <f t="shared" si="74"/>
        <v>685.71428571428567</v>
      </c>
      <c r="CB54" s="211">
        <f t="shared" si="74"/>
        <v>685.71428571428567</v>
      </c>
      <c r="CC54" s="211">
        <f t="shared" si="74"/>
        <v>685.71428571428567</v>
      </c>
      <c r="CD54" s="211">
        <f t="shared" si="74"/>
        <v>685.71428571428567</v>
      </c>
      <c r="CE54" s="211">
        <f t="shared" si="74"/>
        <v>685.71428571428567</v>
      </c>
      <c r="CF54" s="211">
        <f t="shared" si="74"/>
        <v>685.71428571428567</v>
      </c>
      <c r="CG54" s="211">
        <f t="shared" si="74"/>
        <v>685.71428571428567</v>
      </c>
      <c r="CH54" s="211">
        <f t="shared" si="74"/>
        <v>685.71428571428567</v>
      </c>
      <c r="CI54" s="211">
        <f t="shared" si="74"/>
        <v>685.71428571428567</v>
      </c>
      <c r="CJ54" s="211">
        <f t="shared" si="74"/>
        <v>685.71428571428567</v>
      </c>
      <c r="CK54" s="211">
        <f t="shared" si="74"/>
        <v>986.05714285714294</v>
      </c>
      <c r="CL54" s="211">
        <f t="shared" si="74"/>
        <v>986.05714285714294</v>
      </c>
      <c r="CM54" s="211">
        <f t="shared" si="74"/>
        <v>986.05714285714294</v>
      </c>
      <c r="CN54" s="211">
        <f t="shared" si="74"/>
        <v>986.05714285714294</v>
      </c>
      <c r="CO54" s="211">
        <f t="shared" si="74"/>
        <v>986.05714285714294</v>
      </c>
      <c r="CP54" s="211">
        <f t="shared" si="74"/>
        <v>986.05714285714294</v>
      </c>
      <c r="CQ54" s="211">
        <f t="shared" si="74"/>
        <v>986.05714285714294</v>
      </c>
      <c r="CR54" s="211">
        <f t="shared" si="74"/>
        <v>986.05714285714294</v>
      </c>
      <c r="CS54" s="211">
        <f t="shared" si="74"/>
        <v>986.05714285714294</v>
      </c>
      <c r="CT54" s="211">
        <f t="shared" si="74"/>
        <v>986.05714285714294</v>
      </c>
      <c r="CU54" s="211">
        <f t="shared" si="74"/>
        <v>986.05714285714294</v>
      </c>
      <c r="CV54" s="211">
        <f t="shared" si="74"/>
        <v>986.05714285714294</v>
      </c>
      <c r="CW54" s="211">
        <f t="shared" si="74"/>
        <v>986.05714285714294</v>
      </c>
      <c r="CX54" s="211">
        <f t="shared" si="74"/>
        <v>296.33</v>
      </c>
      <c r="CY54" s="211">
        <f t="shared" si="74"/>
        <v>296.33</v>
      </c>
      <c r="CZ54" s="211">
        <f t="shared" si="74"/>
        <v>296.33</v>
      </c>
      <c r="DA54" s="211">
        <f t="shared" si="74"/>
        <v>296.33</v>
      </c>
    </row>
    <row r="55" spans="1:105">
      <c r="A55" s="202" t="str">
        <f>Income!A88</f>
        <v>TOTAL</v>
      </c>
    </row>
    <row r="56" spans="1:105">
      <c r="A56" s="202" t="str">
        <f>Income!A89</f>
        <v>Food Poverty line</v>
      </c>
    </row>
    <row r="57" spans="1:105">
      <c r="A57" s="202" t="str">
        <f>Income!A90</f>
        <v>Lower Bound Poverty line</v>
      </c>
    </row>
    <row r="59" spans="1:105" s="205" customFormat="1">
      <c r="A59" s="205" t="str">
        <f>Income!A72</f>
        <v>Own crops Consumed</v>
      </c>
      <c r="F59" s="205">
        <f t="shared" ref="F59:AK59" si="75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708.82399368587198</v>
      </c>
      <c r="G59" s="205">
        <f t="shared" si="75"/>
        <v>708.82399368587198</v>
      </c>
      <c r="H59" s="205">
        <f t="shared" si="75"/>
        <v>708.82399368587198</v>
      </c>
      <c r="I59" s="205">
        <f t="shared" si="75"/>
        <v>708.82399368587198</v>
      </c>
      <c r="J59" s="205">
        <f t="shared" si="75"/>
        <v>708.82399368587198</v>
      </c>
      <c r="K59" s="205">
        <f t="shared" si="75"/>
        <v>708.82399368587198</v>
      </c>
      <c r="L59" s="205">
        <f t="shared" si="75"/>
        <v>708.82399368587198</v>
      </c>
      <c r="M59" s="205">
        <f t="shared" si="75"/>
        <v>708.82399368587198</v>
      </c>
      <c r="N59" s="205">
        <f t="shared" si="75"/>
        <v>708.82399368587198</v>
      </c>
      <c r="O59" s="205">
        <f t="shared" si="75"/>
        <v>708.82399368587198</v>
      </c>
      <c r="P59" s="205">
        <f t="shared" si="75"/>
        <v>708.82399368587198</v>
      </c>
      <c r="Q59" s="205">
        <f t="shared" si="75"/>
        <v>708.82399368587198</v>
      </c>
      <c r="R59" s="205">
        <f t="shared" si="75"/>
        <v>708.82399368587198</v>
      </c>
      <c r="S59" s="205">
        <f t="shared" si="75"/>
        <v>708.82399368587198</v>
      </c>
      <c r="T59" s="205">
        <f t="shared" si="75"/>
        <v>708.82399368587198</v>
      </c>
      <c r="U59" s="205">
        <f t="shared" si="75"/>
        <v>708.82399368587198</v>
      </c>
      <c r="V59" s="205">
        <f t="shared" si="75"/>
        <v>708.82399368587198</v>
      </c>
      <c r="W59" s="205">
        <f t="shared" si="75"/>
        <v>708.82399368587198</v>
      </c>
      <c r="X59" s="205">
        <f t="shared" si="75"/>
        <v>708.82399368587198</v>
      </c>
      <c r="Y59" s="205">
        <f t="shared" si="75"/>
        <v>708.82399368587198</v>
      </c>
      <c r="Z59" s="205">
        <f t="shared" si="75"/>
        <v>708.82399368587198</v>
      </c>
      <c r="AA59" s="205">
        <f t="shared" si="75"/>
        <v>708.82399368587198</v>
      </c>
      <c r="AB59" s="205">
        <f t="shared" si="75"/>
        <v>708.82399368587198</v>
      </c>
      <c r="AC59" s="205">
        <f t="shared" si="75"/>
        <v>708.82399368587198</v>
      </c>
      <c r="AD59" s="205">
        <f t="shared" si="75"/>
        <v>708.82399368587198</v>
      </c>
      <c r="AE59" s="205">
        <f t="shared" si="75"/>
        <v>708.82399368587198</v>
      </c>
      <c r="AF59" s="205">
        <f t="shared" si="75"/>
        <v>741.85572217837398</v>
      </c>
      <c r="AG59" s="205">
        <f t="shared" si="75"/>
        <v>774.88745067087598</v>
      </c>
      <c r="AH59" s="205">
        <f t="shared" si="75"/>
        <v>807.91917916337798</v>
      </c>
      <c r="AI59" s="205">
        <f t="shared" si="75"/>
        <v>840.95090765587986</v>
      </c>
      <c r="AJ59" s="205">
        <f t="shared" si="75"/>
        <v>873.98263614838186</v>
      </c>
      <c r="AK59" s="205">
        <f t="shared" si="75"/>
        <v>907.01436464088385</v>
      </c>
      <c r="AL59" s="205">
        <f t="shared" ref="AL59:BQ59" si="76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940.04609313338585</v>
      </c>
      <c r="AM59" s="205">
        <f t="shared" si="76"/>
        <v>973.07782162588774</v>
      </c>
      <c r="AN59" s="205">
        <f t="shared" si="76"/>
        <v>1006.1095501183897</v>
      </c>
      <c r="AO59" s="205">
        <f t="shared" si="76"/>
        <v>1039.1412786108917</v>
      </c>
      <c r="AP59" s="205">
        <f t="shared" si="76"/>
        <v>1072.1730071033937</v>
      </c>
      <c r="AQ59" s="205">
        <f t="shared" si="76"/>
        <v>1105.2047355958957</v>
      </c>
      <c r="AR59" s="205">
        <f t="shared" si="76"/>
        <v>1138.2364640883977</v>
      </c>
      <c r="AS59" s="205">
        <f t="shared" si="76"/>
        <v>1171.2681925808997</v>
      </c>
      <c r="AT59" s="205">
        <f t="shared" si="76"/>
        <v>1204.2999210734015</v>
      </c>
      <c r="AU59" s="205">
        <f t="shared" si="76"/>
        <v>1237.3316495659037</v>
      </c>
      <c r="AV59" s="205">
        <f t="shared" si="76"/>
        <v>1270.3633780584055</v>
      </c>
      <c r="AW59" s="205">
        <f t="shared" si="76"/>
        <v>1303.3951065509077</v>
      </c>
      <c r="AX59" s="205">
        <f t="shared" si="76"/>
        <v>1336.4268350434095</v>
      </c>
      <c r="AY59" s="205">
        <f t="shared" si="76"/>
        <v>1369.4585635359115</v>
      </c>
      <c r="AZ59" s="205">
        <f t="shared" si="76"/>
        <v>1402.4902920284135</v>
      </c>
      <c r="BA59" s="205">
        <f t="shared" si="76"/>
        <v>1435.5220205209155</v>
      </c>
      <c r="BB59" s="205">
        <f t="shared" si="76"/>
        <v>1468.5537490134175</v>
      </c>
      <c r="BC59" s="205">
        <f t="shared" si="76"/>
        <v>1501.5854775059195</v>
      </c>
      <c r="BD59" s="205">
        <f t="shared" si="76"/>
        <v>1534.6172059984215</v>
      </c>
      <c r="BE59" s="205">
        <f t="shared" si="76"/>
        <v>1567.6489344909232</v>
      </c>
      <c r="BF59" s="205">
        <f t="shared" si="76"/>
        <v>1600.6806629834255</v>
      </c>
      <c r="BG59" s="205">
        <f t="shared" si="76"/>
        <v>1633.7123914759272</v>
      </c>
      <c r="BH59" s="205">
        <f t="shared" si="76"/>
        <v>1666.7441199684295</v>
      </c>
      <c r="BI59" s="205">
        <f t="shared" si="76"/>
        <v>1699.7758484609312</v>
      </c>
      <c r="BJ59" s="205">
        <f t="shared" si="76"/>
        <v>1732.8075769534332</v>
      </c>
      <c r="BK59" s="205">
        <f t="shared" si="76"/>
        <v>1765.8393054459352</v>
      </c>
      <c r="BL59" s="205">
        <f t="shared" si="76"/>
        <v>1798.8710339384372</v>
      </c>
      <c r="BM59" s="205">
        <f t="shared" si="76"/>
        <v>1831.9027624309392</v>
      </c>
      <c r="BN59" s="205">
        <f t="shared" si="76"/>
        <v>1864.9344909234412</v>
      </c>
      <c r="BO59" s="205">
        <f t="shared" si="76"/>
        <v>1897.9662194159432</v>
      </c>
      <c r="BP59" s="205">
        <f t="shared" si="76"/>
        <v>1930.9979479084452</v>
      </c>
      <c r="BQ59" s="205">
        <f t="shared" si="76"/>
        <v>1943.7075769534333</v>
      </c>
      <c r="BR59" s="205">
        <f t="shared" ref="BR59:DA59" si="77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1936.0951065509075</v>
      </c>
      <c r="BS59" s="205">
        <f t="shared" si="77"/>
        <v>1928.482636148382</v>
      </c>
      <c r="BT59" s="205">
        <f t="shared" si="77"/>
        <v>1920.8701657458562</v>
      </c>
      <c r="BU59" s="205">
        <f t="shared" si="77"/>
        <v>1913.2576953433306</v>
      </c>
      <c r="BV59" s="205">
        <f t="shared" si="77"/>
        <v>1905.6452249408051</v>
      </c>
      <c r="BW59" s="205">
        <f t="shared" si="77"/>
        <v>1898.0327545382793</v>
      </c>
      <c r="BX59" s="205">
        <f t="shared" si="77"/>
        <v>1890.4202841357537</v>
      </c>
      <c r="BY59" s="205">
        <f t="shared" si="77"/>
        <v>1882.8078137332279</v>
      </c>
      <c r="BZ59" s="205">
        <f t="shared" si="77"/>
        <v>1875.1953433307024</v>
      </c>
      <c r="CA59" s="205">
        <f t="shared" si="77"/>
        <v>1867.5828729281766</v>
      </c>
      <c r="CB59" s="205">
        <f t="shared" si="77"/>
        <v>1859.970402525651</v>
      </c>
      <c r="CC59" s="205">
        <f t="shared" si="77"/>
        <v>1852.3579321231252</v>
      </c>
      <c r="CD59" s="205">
        <f t="shared" si="77"/>
        <v>1844.7454617205997</v>
      </c>
      <c r="CE59" s="205">
        <f t="shared" si="77"/>
        <v>1837.1329913180739</v>
      </c>
      <c r="CF59" s="205">
        <f t="shared" si="77"/>
        <v>1829.5205209155483</v>
      </c>
      <c r="CG59" s="205">
        <f t="shared" si="77"/>
        <v>1821.9080505130228</v>
      </c>
      <c r="CH59" s="205">
        <f t="shared" si="77"/>
        <v>1814.295580110497</v>
      </c>
      <c r="CI59" s="205">
        <f t="shared" si="77"/>
        <v>1806.6831097079714</v>
      </c>
      <c r="CJ59" s="205">
        <f t="shared" si="77"/>
        <v>1799.0706393054456</v>
      </c>
      <c r="CK59" s="205">
        <f t="shared" si="77"/>
        <v>1773.7477505919492</v>
      </c>
      <c r="CL59" s="205">
        <f t="shared" si="77"/>
        <v>1730.714443567482</v>
      </c>
      <c r="CM59" s="205">
        <f t="shared" si="77"/>
        <v>1687.6811365430149</v>
      </c>
      <c r="CN59" s="205">
        <f t="shared" si="77"/>
        <v>1644.6478295185475</v>
      </c>
      <c r="CO59" s="205">
        <f t="shared" si="77"/>
        <v>1601.6145224940803</v>
      </c>
      <c r="CP59" s="205">
        <f t="shared" si="77"/>
        <v>1558.5812154696132</v>
      </c>
      <c r="CQ59" s="205">
        <f t="shared" si="77"/>
        <v>1515.5479084451458</v>
      </c>
      <c r="CR59" s="205">
        <f t="shared" si="77"/>
        <v>1472.5146014206787</v>
      </c>
      <c r="CS59" s="205">
        <f t="shared" si="77"/>
        <v>1429.4812943962113</v>
      </c>
      <c r="CT59" s="205">
        <f t="shared" si="77"/>
        <v>1386.4479873717441</v>
      </c>
      <c r="CU59" s="205">
        <f t="shared" si="77"/>
        <v>1343.4146803472768</v>
      </c>
      <c r="CV59" s="205">
        <f t="shared" si="77"/>
        <v>1300.3813733228096</v>
      </c>
      <c r="CW59" s="205">
        <f t="shared" si="77"/>
        <v>1257.3480662983425</v>
      </c>
      <c r="CX59" s="205">
        <f t="shared" si="77"/>
        <v>1363.7080662983426</v>
      </c>
      <c r="CY59" s="205">
        <f t="shared" si="77"/>
        <v>1470.0680662983427</v>
      </c>
      <c r="CZ59" s="205">
        <f t="shared" si="77"/>
        <v>1576.4280662983426</v>
      </c>
      <c r="DA59" s="205">
        <f t="shared" si="77"/>
        <v>1682.7880662983428</v>
      </c>
    </row>
    <row r="60" spans="1:105" s="205" customFormat="1">
      <c r="A60" s="205" t="str">
        <f>Income!A73</f>
        <v>Own crops sold</v>
      </c>
      <c r="F60" s="205">
        <f t="shared" ref="F60:AK60" si="78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0</v>
      </c>
      <c r="G60" s="205">
        <f t="shared" si="78"/>
        <v>0</v>
      </c>
      <c r="H60" s="205">
        <f t="shared" si="78"/>
        <v>0</v>
      </c>
      <c r="I60" s="205">
        <f t="shared" si="78"/>
        <v>0</v>
      </c>
      <c r="J60" s="205">
        <f t="shared" si="78"/>
        <v>0</v>
      </c>
      <c r="K60" s="205">
        <f t="shared" si="78"/>
        <v>0</v>
      </c>
      <c r="L60" s="205">
        <f t="shared" si="78"/>
        <v>0</v>
      </c>
      <c r="M60" s="205">
        <f t="shared" si="78"/>
        <v>0</v>
      </c>
      <c r="N60" s="205">
        <f t="shared" si="78"/>
        <v>0</v>
      </c>
      <c r="O60" s="205">
        <f t="shared" si="78"/>
        <v>0</v>
      </c>
      <c r="P60" s="205">
        <f t="shared" si="78"/>
        <v>0</v>
      </c>
      <c r="Q60" s="205">
        <f t="shared" si="78"/>
        <v>0</v>
      </c>
      <c r="R60" s="205">
        <f t="shared" si="78"/>
        <v>0</v>
      </c>
      <c r="S60" s="205">
        <f t="shared" si="78"/>
        <v>0</v>
      </c>
      <c r="T60" s="205">
        <f t="shared" si="78"/>
        <v>0</v>
      </c>
      <c r="U60" s="205">
        <f t="shared" si="78"/>
        <v>0</v>
      </c>
      <c r="V60" s="205">
        <f t="shared" si="78"/>
        <v>0</v>
      </c>
      <c r="W60" s="205">
        <f t="shared" si="78"/>
        <v>0</v>
      </c>
      <c r="X60" s="205">
        <f t="shared" si="78"/>
        <v>0</v>
      </c>
      <c r="Y60" s="205">
        <f t="shared" si="78"/>
        <v>0</v>
      </c>
      <c r="Z60" s="205">
        <f t="shared" si="78"/>
        <v>0</v>
      </c>
      <c r="AA60" s="205">
        <f t="shared" si="78"/>
        <v>0</v>
      </c>
      <c r="AB60" s="205">
        <f t="shared" si="78"/>
        <v>0</v>
      </c>
      <c r="AC60" s="205">
        <f t="shared" si="78"/>
        <v>0</v>
      </c>
      <c r="AD60" s="205">
        <f t="shared" si="78"/>
        <v>0</v>
      </c>
      <c r="AE60" s="205">
        <f t="shared" si="78"/>
        <v>0</v>
      </c>
      <c r="AF60" s="205">
        <f t="shared" si="78"/>
        <v>44.266666666666673</v>
      </c>
      <c r="AG60" s="205">
        <f t="shared" si="78"/>
        <v>88.533333333333346</v>
      </c>
      <c r="AH60" s="205">
        <f t="shared" si="78"/>
        <v>132.80000000000001</v>
      </c>
      <c r="AI60" s="205">
        <f t="shared" si="78"/>
        <v>177.06666666666669</v>
      </c>
      <c r="AJ60" s="205">
        <f t="shared" si="78"/>
        <v>221.33333333333337</v>
      </c>
      <c r="AK60" s="205">
        <f t="shared" si="78"/>
        <v>265.60000000000002</v>
      </c>
      <c r="AL60" s="205">
        <f t="shared" ref="AL60:BQ60" si="79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309.86666666666673</v>
      </c>
      <c r="AM60" s="205">
        <f t="shared" si="79"/>
        <v>354.13333333333338</v>
      </c>
      <c r="AN60" s="205">
        <f t="shared" si="79"/>
        <v>398.40000000000003</v>
      </c>
      <c r="AO60" s="205">
        <f t="shared" si="79"/>
        <v>442.66666666666674</v>
      </c>
      <c r="AP60" s="205">
        <f t="shared" si="79"/>
        <v>486.93333333333339</v>
      </c>
      <c r="AQ60" s="205">
        <f t="shared" si="79"/>
        <v>531.20000000000005</v>
      </c>
      <c r="AR60" s="205">
        <f t="shared" si="79"/>
        <v>575.4666666666667</v>
      </c>
      <c r="AS60" s="205">
        <f t="shared" si="79"/>
        <v>619.73333333333346</v>
      </c>
      <c r="AT60" s="205">
        <f t="shared" si="79"/>
        <v>664.00000000000011</v>
      </c>
      <c r="AU60" s="205">
        <f t="shared" si="79"/>
        <v>708.26666666666677</v>
      </c>
      <c r="AV60" s="205">
        <f t="shared" si="79"/>
        <v>752.53333333333342</v>
      </c>
      <c r="AW60" s="205">
        <f t="shared" si="79"/>
        <v>796.80000000000007</v>
      </c>
      <c r="AX60" s="205">
        <f t="shared" si="79"/>
        <v>841.06666666666683</v>
      </c>
      <c r="AY60" s="205">
        <f t="shared" si="79"/>
        <v>885.33333333333348</v>
      </c>
      <c r="AZ60" s="205">
        <f t="shared" si="79"/>
        <v>929.60000000000014</v>
      </c>
      <c r="BA60" s="205">
        <f t="shared" si="79"/>
        <v>973.86666666666679</v>
      </c>
      <c r="BB60" s="205">
        <f t="shared" si="79"/>
        <v>1018.1333333333334</v>
      </c>
      <c r="BC60" s="205">
        <f t="shared" si="79"/>
        <v>1062.4000000000001</v>
      </c>
      <c r="BD60" s="205">
        <f t="shared" si="79"/>
        <v>1106.6666666666667</v>
      </c>
      <c r="BE60" s="205">
        <f t="shared" si="79"/>
        <v>1150.9333333333334</v>
      </c>
      <c r="BF60" s="205">
        <f t="shared" si="79"/>
        <v>1195.2000000000003</v>
      </c>
      <c r="BG60" s="205">
        <f t="shared" si="79"/>
        <v>1239.4666666666669</v>
      </c>
      <c r="BH60" s="205">
        <f t="shared" si="79"/>
        <v>1283.7333333333336</v>
      </c>
      <c r="BI60" s="205">
        <f t="shared" si="79"/>
        <v>1328.0000000000002</v>
      </c>
      <c r="BJ60" s="205">
        <f t="shared" si="79"/>
        <v>1372.2666666666669</v>
      </c>
      <c r="BK60" s="205">
        <f t="shared" si="79"/>
        <v>1416.5333333333335</v>
      </c>
      <c r="BL60" s="205">
        <f t="shared" si="79"/>
        <v>1460.8000000000002</v>
      </c>
      <c r="BM60" s="205">
        <f t="shared" si="79"/>
        <v>1505.0666666666668</v>
      </c>
      <c r="BN60" s="205">
        <f t="shared" si="79"/>
        <v>1549.3333333333335</v>
      </c>
      <c r="BO60" s="205">
        <f t="shared" si="79"/>
        <v>1593.6000000000001</v>
      </c>
      <c r="BP60" s="205">
        <f t="shared" si="79"/>
        <v>1637.8666666666668</v>
      </c>
      <c r="BQ60" s="205">
        <f t="shared" si="79"/>
        <v>2251.3571428571431</v>
      </c>
      <c r="BR60" s="205">
        <f t="shared" ref="BR60:CZ60" si="80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3434.0714285714284</v>
      </c>
      <c r="BS60" s="205">
        <f t="shared" si="80"/>
        <v>4616.7857142857138</v>
      </c>
      <c r="BT60" s="205">
        <f t="shared" si="80"/>
        <v>5799.4999999999991</v>
      </c>
      <c r="BU60" s="205">
        <f t="shared" si="80"/>
        <v>6982.2142857142853</v>
      </c>
      <c r="BV60" s="205">
        <f t="shared" si="80"/>
        <v>8164.9285714285706</v>
      </c>
      <c r="BW60" s="205">
        <f t="shared" si="80"/>
        <v>9347.6428571428569</v>
      </c>
      <c r="BX60" s="205">
        <f t="shared" si="80"/>
        <v>10530.357142857141</v>
      </c>
      <c r="BY60" s="205">
        <f t="shared" si="80"/>
        <v>11713.071428571428</v>
      </c>
      <c r="BZ60" s="205">
        <f t="shared" si="80"/>
        <v>12895.785714285712</v>
      </c>
      <c r="CA60" s="205">
        <f t="shared" si="80"/>
        <v>14078.499999999998</v>
      </c>
      <c r="CB60" s="205">
        <f t="shared" si="80"/>
        <v>15261.214285714284</v>
      </c>
      <c r="CC60" s="205">
        <f t="shared" si="80"/>
        <v>16443.928571428569</v>
      </c>
      <c r="CD60" s="205">
        <f t="shared" si="80"/>
        <v>17626.642857142855</v>
      </c>
      <c r="CE60" s="205">
        <f t="shared" si="80"/>
        <v>18809.357142857141</v>
      </c>
      <c r="CF60" s="205">
        <f t="shared" si="80"/>
        <v>19992.071428571428</v>
      </c>
      <c r="CG60" s="205">
        <f t="shared" si="80"/>
        <v>21174.78571428571</v>
      </c>
      <c r="CH60" s="205">
        <f t="shared" si="80"/>
        <v>22357.499999999996</v>
      </c>
      <c r="CI60" s="205">
        <f t="shared" si="80"/>
        <v>23540.214285714283</v>
      </c>
      <c r="CJ60" s="205">
        <f t="shared" si="80"/>
        <v>24722.928571428569</v>
      </c>
      <c r="CK60" s="205">
        <f t="shared" si="80"/>
        <v>24702.994285714281</v>
      </c>
      <c r="CL60" s="205">
        <f t="shared" si="80"/>
        <v>23480.411428571424</v>
      </c>
      <c r="CM60" s="205">
        <f t="shared" si="80"/>
        <v>22257.828571428567</v>
      </c>
      <c r="CN60" s="205">
        <f t="shared" si="80"/>
        <v>21035.245714285713</v>
      </c>
      <c r="CO60" s="205">
        <f t="shared" si="80"/>
        <v>19812.662857142856</v>
      </c>
      <c r="CP60" s="205">
        <f t="shared" si="80"/>
        <v>18590.079999999998</v>
      </c>
      <c r="CQ60" s="205">
        <f t="shared" si="80"/>
        <v>17367.497142857141</v>
      </c>
      <c r="CR60" s="205">
        <f t="shared" si="80"/>
        <v>16144.914285714285</v>
      </c>
      <c r="CS60" s="205">
        <f t="shared" si="80"/>
        <v>14922.331428571428</v>
      </c>
      <c r="CT60" s="205">
        <f t="shared" si="80"/>
        <v>13699.748571428572</v>
      </c>
      <c r="CU60" s="205">
        <f t="shared" si="80"/>
        <v>12477.165714285715</v>
      </c>
      <c r="CV60" s="205">
        <f t="shared" si="80"/>
        <v>11254.582857142857</v>
      </c>
      <c r="CW60" s="205">
        <f t="shared" si="80"/>
        <v>10032.000000000002</v>
      </c>
      <c r="CX60" s="205">
        <f t="shared" si="80"/>
        <v>10756.86</v>
      </c>
      <c r="CY60" s="205">
        <f t="shared" si="80"/>
        <v>11481.720000000001</v>
      </c>
      <c r="CZ60" s="205">
        <f t="shared" si="80"/>
        <v>12206.58</v>
      </c>
      <c r="DA60" s="205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12931.44</v>
      </c>
    </row>
    <row r="61" spans="1:105" s="205" customFormat="1">
      <c r="A61" s="205" t="str">
        <f>Income!A74</f>
        <v>Animal products consumed</v>
      </c>
      <c r="F61" s="205">
        <f t="shared" ref="F61:AK61" si="81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85.83267561168114</v>
      </c>
      <c r="G61" s="205">
        <f t="shared" si="81"/>
        <v>85.83267561168114</v>
      </c>
      <c r="H61" s="205">
        <f t="shared" si="81"/>
        <v>85.83267561168114</v>
      </c>
      <c r="I61" s="205">
        <f t="shared" si="81"/>
        <v>85.83267561168114</v>
      </c>
      <c r="J61" s="205">
        <f t="shared" si="81"/>
        <v>85.83267561168114</v>
      </c>
      <c r="K61" s="205">
        <f t="shared" si="81"/>
        <v>85.83267561168114</v>
      </c>
      <c r="L61" s="205">
        <f t="shared" si="81"/>
        <v>85.83267561168114</v>
      </c>
      <c r="M61" s="205">
        <f t="shared" si="81"/>
        <v>85.83267561168114</v>
      </c>
      <c r="N61" s="205">
        <f t="shared" si="81"/>
        <v>85.83267561168114</v>
      </c>
      <c r="O61" s="205">
        <f t="shared" si="81"/>
        <v>85.83267561168114</v>
      </c>
      <c r="P61" s="205">
        <f t="shared" si="81"/>
        <v>85.83267561168114</v>
      </c>
      <c r="Q61" s="205">
        <f t="shared" si="81"/>
        <v>85.83267561168114</v>
      </c>
      <c r="R61" s="205">
        <f t="shared" si="81"/>
        <v>85.83267561168114</v>
      </c>
      <c r="S61" s="205">
        <f t="shared" si="81"/>
        <v>85.83267561168114</v>
      </c>
      <c r="T61" s="205">
        <f t="shared" si="81"/>
        <v>85.83267561168114</v>
      </c>
      <c r="U61" s="205">
        <f t="shared" si="81"/>
        <v>85.83267561168114</v>
      </c>
      <c r="V61" s="205">
        <f t="shared" si="81"/>
        <v>85.83267561168114</v>
      </c>
      <c r="W61" s="205">
        <f t="shared" si="81"/>
        <v>85.83267561168114</v>
      </c>
      <c r="X61" s="205">
        <f t="shared" si="81"/>
        <v>85.83267561168114</v>
      </c>
      <c r="Y61" s="205">
        <f t="shared" si="81"/>
        <v>85.83267561168114</v>
      </c>
      <c r="Z61" s="205">
        <f t="shared" si="81"/>
        <v>85.83267561168114</v>
      </c>
      <c r="AA61" s="205">
        <f t="shared" si="81"/>
        <v>85.83267561168114</v>
      </c>
      <c r="AB61" s="205">
        <f t="shared" si="81"/>
        <v>85.83267561168114</v>
      </c>
      <c r="AC61" s="205">
        <f t="shared" si="81"/>
        <v>85.83267561168114</v>
      </c>
      <c r="AD61" s="205">
        <f t="shared" si="81"/>
        <v>85.83267561168114</v>
      </c>
      <c r="AE61" s="205">
        <f t="shared" si="81"/>
        <v>85.83267561168114</v>
      </c>
      <c r="AF61" s="205">
        <f t="shared" si="81"/>
        <v>94.498650511258404</v>
      </c>
      <c r="AG61" s="205">
        <f t="shared" si="81"/>
        <v>103.16462541083568</v>
      </c>
      <c r="AH61" s="205">
        <f t="shared" si="81"/>
        <v>111.83060031041296</v>
      </c>
      <c r="AI61" s="205">
        <f t="shared" si="81"/>
        <v>120.49657520999023</v>
      </c>
      <c r="AJ61" s="205">
        <f t="shared" si="81"/>
        <v>129.16255010956749</v>
      </c>
      <c r="AK61" s="205">
        <f t="shared" si="81"/>
        <v>137.82852500914476</v>
      </c>
      <c r="AL61" s="205">
        <f t="shared" ref="AL61:BQ61" si="82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146.49449990872205</v>
      </c>
      <c r="AM61" s="205">
        <f t="shared" si="82"/>
        <v>155.16047480829931</v>
      </c>
      <c r="AN61" s="205">
        <f t="shared" si="82"/>
        <v>163.82644970787658</v>
      </c>
      <c r="AO61" s="205">
        <f t="shared" si="82"/>
        <v>172.49242460745387</v>
      </c>
      <c r="AP61" s="205">
        <f t="shared" si="82"/>
        <v>181.15839950703113</v>
      </c>
      <c r="AQ61" s="205">
        <f t="shared" si="82"/>
        <v>189.8243744066084</v>
      </c>
      <c r="AR61" s="205">
        <f t="shared" si="82"/>
        <v>198.49034930618566</v>
      </c>
      <c r="AS61" s="205">
        <f t="shared" si="82"/>
        <v>207.15632420576293</v>
      </c>
      <c r="AT61" s="205">
        <f t="shared" si="82"/>
        <v>215.82229910534022</v>
      </c>
      <c r="AU61" s="205">
        <f t="shared" si="82"/>
        <v>224.48827400491749</v>
      </c>
      <c r="AV61" s="205">
        <f t="shared" si="82"/>
        <v>233.15424890449475</v>
      </c>
      <c r="AW61" s="205">
        <f t="shared" si="82"/>
        <v>241.82022380407201</v>
      </c>
      <c r="AX61" s="205">
        <f t="shared" si="82"/>
        <v>250.48619870364931</v>
      </c>
      <c r="AY61" s="205">
        <f t="shared" si="82"/>
        <v>259.15217360322657</v>
      </c>
      <c r="AZ61" s="205">
        <f t="shared" si="82"/>
        <v>267.81814850280387</v>
      </c>
      <c r="BA61" s="205">
        <f t="shared" si="82"/>
        <v>276.4841234023811</v>
      </c>
      <c r="BB61" s="205">
        <f t="shared" si="82"/>
        <v>285.15009830195839</v>
      </c>
      <c r="BC61" s="205">
        <f t="shared" si="82"/>
        <v>293.81607320153569</v>
      </c>
      <c r="BD61" s="205">
        <f t="shared" si="82"/>
        <v>302.48204810111292</v>
      </c>
      <c r="BE61" s="205">
        <f t="shared" si="82"/>
        <v>311.14802300069016</v>
      </c>
      <c r="BF61" s="205">
        <f t="shared" si="82"/>
        <v>319.81399790026751</v>
      </c>
      <c r="BG61" s="205">
        <f t="shared" si="82"/>
        <v>328.47997279984475</v>
      </c>
      <c r="BH61" s="205">
        <f t="shared" si="82"/>
        <v>337.14594769942198</v>
      </c>
      <c r="BI61" s="205">
        <f t="shared" si="82"/>
        <v>345.81192259899933</v>
      </c>
      <c r="BJ61" s="205">
        <f t="shared" si="82"/>
        <v>354.47789749857657</v>
      </c>
      <c r="BK61" s="205">
        <f t="shared" si="82"/>
        <v>363.1438723981538</v>
      </c>
      <c r="BL61" s="205">
        <f t="shared" si="82"/>
        <v>371.80984729773115</v>
      </c>
      <c r="BM61" s="205">
        <f t="shared" si="82"/>
        <v>380.47582219730839</v>
      </c>
      <c r="BN61" s="205">
        <f t="shared" si="82"/>
        <v>389.14179709688563</v>
      </c>
      <c r="BO61" s="205">
        <f t="shared" si="82"/>
        <v>397.80777199646286</v>
      </c>
      <c r="BP61" s="205">
        <f t="shared" si="82"/>
        <v>406.47374689604021</v>
      </c>
      <c r="BQ61" s="205">
        <f t="shared" si="82"/>
        <v>430.35788512684917</v>
      </c>
      <c r="BR61" s="205">
        <f t="shared" ref="BR61:DA61" si="83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469.46018668889008</v>
      </c>
      <c r="BS61" s="205">
        <f t="shared" si="83"/>
        <v>508.56248825093087</v>
      </c>
      <c r="BT61" s="205">
        <f t="shared" si="83"/>
        <v>547.66478981297178</v>
      </c>
      <c r="BU61" s="205">
        <f t="shared" si="83"/>
        <v>586.76709137501257</v>
      </c>
      <c r="BV61" s="205">
        <f t="shared" si="83"/>
        <v>625.86939293705348</v>
      </c>
      <c r="BW61" s="205">
        <f t="shared" si="83"/>
        <v>664.97169449909427</v>
      </c>
      <c r="BX61" s="205">
        <f t="shared" si="83"/>
        <v>704.07399606113518</v>
      </c>
      <c r="BY61" s="205">
        <f t="shared" si="83"/>
        <v>743.17629762317597</v>
      </c>
      <c r="BZ61" s="205">
        <f t="shared" si="83"/>
        <v>782.27859918521688</v>
      </c>
      <c r="CA61" s="205">
        <f t="shared" si="83"/>
        <v>821.38090074725767</v>
      </c>
      <c r="CB61" s="205">
        <f t="shared" si="83"/>
        <v>860.48320230929858</v>
      </c>
      <c r="CC61" s="205">
        <f t="shared" si="83"/>
        <v>899.58550387133937</v>
      </c>
      <c r="CD61" s="205">
        <f t="shared" si="83"/>
        <v>938.68780543338028</v>
      </c>
      <c r="CE61" s="205">
        <f t="shared" si="83"/>
        <v>977.79010699542107</v>
      </c>
      <c r="CF61" s="205">
        <f t="shared" si="83"/>
        <v>1016.892408557462</v>
      </c>
      <c r="CG61" s="205">
        <f t="shared" si="83"/>
        <v>1055.9947101195028</v>
      </c>
      <c r="CH61" s="205">
        <f t="shared" si="83"/>
        <v>1095.0970116815438</v>
      </c>
      <c r="CI61" s="205">
        <f t="shared" si="83"/>
        <v>1134.1993132435846</v>
      </c>
      <c r="CJ61" s="205">
        <f t="shared" si="83"/>
        <v>1173.3016148056254</v>
      </c>
      <c r="CK61" s="205">
        <f t="shared" si="83"/>
        <v>1203.6793550957195</v>
      </c>
      <c r="CL61" s="205">
        <f t="shared" si="83"/>
        <v>1225.3325341138673</v>
      </c>
      <c r="CM61" s="205">
        <f t="shared" si="83"/>
        <v>1246.985713132015</v>
      </c>
      <c r="CN61" s="205">
        <f t="shared" si="83"/>
        <v>1268.6388921501627</v>
      </c>
      <c r="CO61" s="205">
        <f t="shared" si="83"/>
        <v>1290.2920711683105</v>
      </c>
      <c r="CP61" s="205">
        <f t="shared" si="83"/>
        <v>1311.945250186458</v>
      </c>
      <c r="CQ61" s="205">
        <f t="shared" si="83"/>
        <v>1333.5984292046057</v>
      </c>
      <c r="CR61" s="205">
        <f t="shared" si="83"/>
        <v>1355.2516082227535</v>
      </c>
      <c r="CS61" s="205">
        <f t="shared" si="83"/>
        <v>1376.9047872409012</v>
      </c>
      <c r="CT61" s="205">
        <f t="shared" si="83"/>
        <v>1398.557966259049</v>
      </c>
      <c r="CU61" s="205">
        <f t="shared" si="83"/>
        <v>1420.2111452771965</v>
      </c>
      <c r="CV61" s="205">
        <f t="shared" si="83"/>
        <v>1441.8643242953442</v>
      </c>
      <c r="CW61" s="205">
        <f t="shared" si="83"/>
        <v>1463.5175033134919</v>
      </c>
      <c r="CX61" s="205">
        <f t="shared" si="83"/>
        <v>1471.948503313492</v>
      </c>
      <c r="CY61" s="205">
        <f t="shared" si="83"/>
        <v>1480.379503313492</v>
      </c>
      <c r="CZ61" s="205">
        <f t="shared" si="83"/>
        <v>1488.8105033134918</v>
      </c>
      <c r="DA61" s="205">
        <f t="shared" si="83"/>
        <v>1497.2415033134919</v>
      </c>
    </row>
    <row r="62" spans="1:105" s="205" customFormat="1">
      <c r="A62" s="205" t="str">
        <f>Income!A75</f>
        <v>Animal products sold</v>
      </c>
      <c r="F62" s="205">
        <f t="shared" ref="F62:AK62" si="84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5">
        <f t="shared" si="84"/>
        <v>0</v>
      </c>
      <c r="H62" s="205">
        <f t="shared" si="84"/>
        <v>0</v>
      </c>
      <c r="I62" s="205">
        <f t="shared" si="84"/>
        <v>0</v>
      </c>
      <c r="J62" s="205">
        <f t="shared" si="84"/>
        <v>0</v>
      </c>
      <c r="K62" s="205">
        <f t="shared" si="84"/>
        <v>0</v>
      </c>
      <c r="L62" s="205">
        <f t="shared" si="84"/>
        <v>0</v>
      </c>
      <c r="M62" s="205">
        <f t="shared" si="84"/>
        <v>0</v>
      </c>
      <c r="N62" s="205">
        <f t="shared" si="84"/>
        <v>0</v>
      </c>
      <c r="O62" s="205">
        <f t="shared" si="84"/>
        <v>0</v>
      </c>
      <c r="P62" s="205">
        <f t="shared" si="84"/>
        <v>0</v>
      </c>
      <c r="Q62" s="205">
        <f t="shared" si="84"/>
        <v>0</v>
      </c>
      <c r="R62" s="205">
        <f t="shared" si="84"/>
        <v>0</v>
      </c>
      <c r="S62" s="205">
        <f t="shared" si="84"/>
        <v>0</v>
      </c>
      <c r="T62" s="205">
        <f t="shared" si="84"/>
        <v>0</v>
      </c>
      <c r="U62" s="205">
        <f t="shared" si="84"/>
        <v>0</v>
      </c>
      <c r="V62" s="205">
        <f t="shared" si="84"/>
        <v>0</v>
      </c>
      <c r="W62" s="205">
        <f t="shared" si="84"/>
        <v>0</v>
      </c>
      <c r="X62" s="205">
        <f t="shared" si="84"/>
        <v>0</v>
      </c>
      <c r="Y62" s="205">
        <f t="shared" si="84"/>
        <v>0</v>
      </c>
      <c r="Z62" s="205">
        <f t="shared" si="84"/>
        <v>0</v>
      </c>
      <c r="AA62" s="205">
        <f t="shared" si="84"/>
        <v>0</v>
      </c>
      <c r="AB62" s="205">
        <f t="shared" si="84"/>
        <v>0</v>
      </c>
      <c r="AC62" s="205">
        <f t="shared" si="84"/>
        <v>0</v>
      </c>
      <c r="AD62" s="205">
        <f t="shared" si="84"/>
        <v>0</v>
      </c>
      <c r="AE62" s="205">
        <f t="shared" si="84"/>
        <v>0</v>
      </c>
      <c r="AF62" s="205">
        <f t="shared" si="84"/>
        <v>0</v>
      </c>
      <c r="AG62" s="205">
        <f t="shared" si="84"/>
        <v>0</v>
      </c>
      <c r="AH62" s="205">
        <f t="shared" si="84"/>
        <v>0</v>
      </c>
      <c r="AI62" s="205">
        <f t="shared" si="84"/>
        <v>0</v>
      </c>
      <c r="AJ62" s="205">
        <f t="shared" si="84"/>
        <v>0</v>
      </c>
      <c r="AK62" s="205">
        <f t="shared" si="84"/>
        <v>0</v>
      </c>
      <c r="AL62" s="205">
        <f t="shared" ref="AL62:BQ62" si="85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0</v>
      </c>
      <c r="AM62" s="205">
        <f t="shared" si="85"/>
        <v>0</v>
      </c>
      <c r="AN62" s="205">
        <f t="shared" si="85"/>
        <v>0</v>
      </c>
      <c r="AO62" s="205">
        <f t="shared" si="85"/>
        <v>0</v>
      </c>
      <c r="AP62" s="205">
        <f t="shared" si="85"/>
        <v>0</v>
      </c>
      <c r="AQ62" s="205">
        <f t="shared" si="85"/>
        <v>0</v>
      </c>
      <c r="AR62" s="205">
        <f t="shared" si="85"/>
        <v>0</v>
      </c>
      <c r="AS62" s="205">
        <f t="shared" si="85"/>
        <v>0</v>
      </c>
      <c r="AT62" s="205">
        <f t="shared" si="85"/>
        <v>0</v>
      </c>
      <c r="AU62" s="205">
        <f t="shared" si="85"/>
        <v>0</v>
      </c>
      <c r="AV62" s="205">
        <f t="shared" si="85"/>
        <v>0</v>
      </c>
      <c r="AW62" s="205">
        <f t="shared" si="85"/>
        <v>0</v>
      </c>
      <c r="AX62" s="205">
        <f t="shared" si="85"/>
        <v>0</v>
      </c>
      <c r="AY62" s="205">
        <f t="shared" si="85"/>
        <v>0</v>
      </c>
      <c r="AZ62" s="205">
        <f t="shared" si="85"/>
        <v>0</v>
      </c>
      <c r="BA62" s="205">
        <f t="shared" si="85"/>
        <v>0</v>
      </c>
      <c r="BB62" s="205">
        <f t="shared" si="85"/>
        <v>0</v>
      </c>
      <c r="BC62" s="205">
        <f t="shared" si="85"/>
        <v>0</v>
      </c>
      <c r="BD62" s="205">
        <f t="shared" si="85"/>
        <v>0</v>
      </c>
      <c r="BE62" s="205">
        <f t="shared" si="85"/>
        <v>0</v>
      </c>
      <c r="BF62" s="205">
        <f t="shared" si="85"/>
        <v>0</v>
      </c>
      <c r="BG62" s="205">
        <f t="shared" si="85"/>
        <v>0</v>
      </c>
      <c r="BH62" s="205">
        <f t="shared" si="85"/>
        <v>0</v>
      </c>
      <c r="BI62" s="205">
        <f t="shared" si="85"/>
        <v>0</v>
      </c>
      <c r="BJ62" s="205">
        <f t="shared" si="85"/>
        <v>0</v>
      </c>
      <c r="BK62" s="205">
        <f t="shared" si="85"/>
        <v>0</v>
      </c>
      <c r="BL62" s="205">
        <f t="shared" si="85"/>
        <v>0</v>
      </c>
      <c r="BM62" s="205">
        <f t="shared" si="85"/>
        <v>0</v>
      </c>
      <c r="BN62" s="205">
        <f t="shared" si="85"/>
        <v>0</v>
      </c>
      <c r="BO62" s="205">
        <f t="shared" si="85"/>
        <v>0</v>
      </c>
      <c r="BP62" s="205">
        <f t="shared" si="85"/>
        <v>0</v>
      </c>
      <c r="BQ62" s="205">
        <f t="shared" si="85"/>
        <v>0</v>
      </c>
      <c r="BR62" s="205">
        <f t="shared" ref="BR62:DA62" si="86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0</v>
      </c>
      <c r="BS62" s="205">
        <f t="shared" si="86"/>
        <v>0</v>
      </c>
      <c r="BT62" s="205">
        <f t="shared" si="86"/>
        <v>0</v>
      </c>
      <c r="BU62" s="205">
        <f t="shared" si="86"/>
        <v>0</v>
      </c>
      <c r="BV62" s="205">
        <f t="shared" si="86"/>
        <v>0</v>
      </c>
      <c r="BW62" s="205">
        <f t="shared" si="86"/>
        <v>0</v>
      </c>
      <c r="BX62" s="205">
        <f t="shared" si="86"/>
        <v>0</v>
      </c>
      <c r="BY62" s="205">
        <f t="shared" si="86"/>
        <v>0</v>
      </c>
      <c r="BZ62" s="205">
        <f t="shared" si="86"/>
        <v>0</v>
      </c>
      <c r="CA62" s="205">
        <f t="shared" si="86"/>
        <v>0</v>
      </c>
      <c r="CB62" s="205">
        <f t="shared" si="86"/>
        <v>0</v>
      </c>
      <c r="CC62" s="205">
        <f t="shared" si="86"/>
        <v>0</v>
      </c>
      <c r="CD62" s="205">
        <f t="shared" si="86"/>
        <v>0</v>
      </c>
      <c r="CE62" s="205">
        <f t="shared" si="86"/>
        <v>0</v>
      </c>
      <c r="CF62" s="205">
        <f t="shared" si="86"/>
        <v>0</v>
      </c>
      <c r="CG62" s="205">
        <f t="shared" si="86"/>
        <v>0</v>
      </c>
      <c r="CH62" s="205">
        <f t="shared" si="86"/>
        <v>0</v>
      </c>
      <c r="CI62" s="205">
        <f t="shared" si="86"/>
        <v>0</v>
      </c>
      <c r="CJ62" s="205">
        <f t="shared" si="86"/>
        <v>0</v>
      </c>
      <c r="CK62" s="205">
        <f t="shared" si="86"/>
        <v>0</v>
      </c>
      <c r="CL62" s="205">
        <f t="shared" si="86"/>
        <v>0</v>
      </c>
      <c r="CM62" s="205">
        <f t="shared" si="86"/>
        <v>0</v>
      </c>
      <c r="CN62" s="205">
        <f t="shared" si="86"/>
        <v>0</v>
      </c>
      <c r="CO62" s="205">
        <f t="shared" si="86"/>
        <v>0</v>
      </c>
      <c r="CP62" s="205">
        <f t="shared" si="86"/>
        <v>0</v>
      </c>
      <c r="CQ62" s="205">
        <f t="shared" si="86"/>
        <v>0</v>
      </c>
      <c r="CR62" s="205">
        <f t="shared" si="86"/>
        <v>0</v>
      </c>
      <c r="CS62" s="205">
        <f t="shared" si="86"/>
        <v>0</v>
      </c>
      <c r="CT62" s="205">
        <f t="shared" si="86"/>
        <v>0</v>
      </c>
      <c r="CU62" s="205">
        <f t="shared" si="86"/>
        <v>0</v>
      </c>
      <c r="CV62" s="205">
        <f t="shared" si="86"/>
        <v>0</v>
      </c>
      <c r="CW62" s="205">
        <f t="shared" si="86"/>
        <v>0</v>
      </c>
      <c r="CX62" s="205">
        <f t="shared" si="86"/>
        <v>0</v>
      </c>
      <c r="CY62" s="205">
        <f t="shared" si="86"/>
        <v>0</v>
      </c>
      <c r="CZ62" s="205">
        <f t="shared" si="86"/>
        <v>0</v>
      </c>
      <c r="DA62" s="205">
        <f t="shared" si="86"/>
        <v>0</v>
      </c>
    </row>
    <row r="63" spans="1:105" s="205" customFormat="1">
      <c r="A63" s="205" t="str">
        <f>Income!A76</f>
        <v>Animals sold</v>
      </c>
      <c r="F63" s="205">
        <f t="shared" ref="F63:BQ63" si="87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1285.7142857142858</v>
      </c>
      <c r="G63" s="205">
        <f t="shared" si="87"/>
        <v>1285.7142857142858</v>
      </c>
      <c r="H63" s="205">
        <f t="shared" si="87"/>
        <v>1285.7142857142858</v>
      </c>
      <c r="I63" s="205">
        <f t="shared" si="87"/>
        <v>1285.7142857142858</v>
      </c>
      <c r="J63" s="205">
        <f t="shared" si="87"/>
        <v>1285.7142857142858</v>
      </c>
      <c r="K63" s="205">
        <f t="shared" si="87"/>
        <v>1285.7142857142858</v>
      </c>
      <c r="L63" s="205">
        <f t="shared" ref="L63:L69" si="88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1285.7142857142858</v>
      </c>
      <c r="M63" s="205">
        <f t="shared" si="87"/>
        <v>1285.7142857142858</v>
      </c>
      <c r="N63" s="205">
        <f t="shared" si="87"/>
        <v>1285.7142857142858</v>
      </c>
      <c r="O63" s="205">
        <f t="shared" si="87"/>
        <v>1285.7142857142858</v>
      </c>
      <c r="P63" s="205">
        <f t="shared" si="87"/>
        <v>1285.7142857142858</v>
      </c>
      <c r="Q63" s="205">
        <f t="shared" si="87"/>
        <v>1285.7142857142858</v>
      </c>
      <c r="R63" s="205">
        <f t="shared" si="87"/>
        <v>1285.7142857142858</v>
      </c>
      <c r="S63" s="205">
        <f t="shared" si="87"/>
        <v>1285.7142857142858</v>
      </c>
      <c r="T63" s="205">
        <f t="shared" si="87"/>
        <v>1285.7142857142858</v>
      </c>
      <c r="U63" s="205">
        <f t="shared" si="87"/>
        <v>1285.7142857142858</v>
      </c>
      <c r="V63" s="205">
        <f t="shared" si="87"/>
        <v>1285.7142857142858</v>
      </c>
      <c r="W63" s="205">
        <f t="shared" si="87"/>
        <v>1285.7142857142858</v>
      </c>
      <c r="X63" s="205">
        <f t="shared" si="87"/>
        <v>1285.7142857142858</v>
      </c>
      <c r="Y63" s="205">
        <f t="shared" si="87"/>
        <v>1285.7142857142858</v>
      </c>
      <c r="Z63" s="205">
        <f t="shared" si="87"/>
        <v>1285.7142857142858</v>
      </c>
      <c r="AA63" s="205">
        <f t="shared" si="87"/>
        <v>1285.7142857142858</v>
      </c>
      <c r="AB63" s="205">
        <f t="shared" si="87"/>
        <v>1285.7142857142858</v>
      </c>
      <c r="AC63" s="205">
        <f t="shared" si="87"/>
        <v>1285.7142857142858</v>
      </c>
      <c r="AD63" s="205">
        <f t="shared" si="87"/>
        <v>1285.7142857142858</v>
      </c>
      <c r="AE63" s="205">
        <f t="shared" si="87"/>
        <v>1285.7142857142858</v>
      </c>
      <c r="AF63" s="205">
        <f t="shared" si="87"/>
        <v>1511.4285714285716</v>
      </c>
      <c r="AG63" s="205">
        <f t="shared" si="87"/>
        <v>1737.1428571428571</v>
      </c>
      <c r="AH63" s="205">
        <f t="shared" si="87"/>
        <v>1962.8571428571427</v>
      </c>
      <c r="AI63" s="205">
        <f t="shared" si="87"/>
        <v>2188.5714285714284</v>
      </c>
      <c r="AJ63" s="205">
        <f t="shared" si="87"/>
        <v>2414.2857142857142</v>
      </c>
      <c r="AK63" s="205">
        <f t="shared" si="87"/>
        <v>2640</v>
      </c>
      <c r="AL63" s="205">
        <f t="shared" si="87"/>
        <v>2865.7142857142853</v>
      </c>
      <c r="AM63" s="205">
        <f t="shared" si="87"/>
        <v>3091.4285714285711</v>
      </c>
      <c r="AN63" s="205">
        <f t="shared" si="87"/>
        <v>3317.1428571428569</v>
      </c>
      <c r="AO63" s="205">
        <f t="shared" si="87"/>
        <v>3542.8571428571427</v>
      </c>
      <c r="AP63" s="205">
        <f t="shared" si="87"/>
        <v>3768.571428571428</v>
      </c>
      <c r="AQ63" s="205">
        <f t="shared" si="87"/>
        <v>3994.2857142857138</v>
      </c>
      <c r="AR63" s="205">
        <f t="shared" si="87"/>
        <v>4220</v>
      </c>
      <c r="AS63" s="205">
        <f t="shared" si="87"/>
        <v>4445.7142857142844</v>
      </c>
      <c r="AT63" s="205">
        <f t="shared" si="87"/>
        <v>4671.4285714285706</v>
      </c>
      <c r="AU63" s="205">
        <f t="shared" si="87"/>
        <v>4897.1428571428569</v>
      </c>
      <c r="AV63" s="205">
        <f t="shared" si="87"/>
        <v>5122.8571428571422</v>
      </c>
      <c r="AW63" s="205">
        <f t="shared" si="87"/>
        <v>5348.5714285714275</v>
      </c>
      <c r="AX63" s="205">
        <f t="shared" si="87"/>
        <v>5574.2857142857138</v>
      </c>
      <c r="AY63" s="205">
        <f t="shared" si="87"/>
        <v>5800</v>
      </c>
      <c r="AZ63" s="205">
        <f t="shared" si="87"/>
        <v>6025.7142857142844</v>
      </c>
      <c r="BA63" s="205">
        <f t="shared" si="87"/>
        <v>6251.4285714285706</v>
      </c>
      <c r="BB63" s="205">
        <f t="shared" si="87"/>
        <v>6477.1428571428569</v>
      </c>
      <c r="BC63" s="205">
        <f t="shared" si="87"/>
        <v>6702.8571428571413</v>
      </c>
      <c r="BD63" s="205">
        <f t="shared" si="87"/>
        <v>6928.5714285714275</v>
      </c>
      <c r="BE63" s="205">
        <f t="shared" si="87"/>
        <v>7154.2857142857138</v>
      </c>
      <c r="BF63" s="205">
        <f t="shared" si="87"/>
        <v>7379.9999999999982</v>
      </c>
      <c r="BG63" s="205">
        <f t="shared" si="87"/>
        <v>7605.7142857142844</v>
      </c>
      <c r="BH63" s="205">
        <f t="shared" si="87"/>
        <v>7831.4285714285706</v>
      </c>
      <c r="BI63" s="205">
        <f t="shared" si="87"/>
        <v>8057.1428571428551</v>
      </c>
      <c r="BJ63" s="205">
        <f t="shared" si="87"/>
        <v>8282.8571428571413</v>
      </c>
      <c r="BK63" s="205">
        <f t="shared" si="87"/>
        <v>8508.5714285714275</v>
      </c>
      <c r="BL63" s="205">
        <f t="shared" si="87"/>
        <v>8734.2857142857119</v>
      </c>
      <c r="BM63" s="205">
        <f t="shared" si="87"/>
        <v>8959.9999999999982</v>
      </c>
      <c r="BN63" s="205">
        <f t="shared" si="87"/>
        <v>9185.7142857142844</v>
      </c>
      <c r="BO63" s="205">
        <f t="shared" si="87"/>
        <v>9411.4285714285706</v>
      </c>
      <c r="BP63" s="205">
        <f t="shared" si="87"/>
        <v>9637.1428571428551</v>
      </c>
      <c r="BQ63" s="205">
        <f t="shared" si="87"/>
        <v>10217.678571428569</v>
      </c>
      <c r="BR63" s="205">
        <f t="shared" ref="BR63:DA63" si="89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11153.035714285712</v>
      </c>
      <c r="BS63" s="205">
        <f t="shared" si="89"/>
        <v>12088.392857142855</v>
      </c>
      <c r="BT63" s="205">
        <f t="shared" si="89"/>
        <v>13023.749999999998</v>
      </c>
      <c r="BU63" s="205">
        <f t="shared" si="89"/>
        <v>13959.107142857141</v>
      </c>
      <c r="BV63" s="205">
        <f t="shared" si="89"/>
        <v>14894.464285714283</v>
      </c>
      <c r="BW63" s="205">
        <f t="shared" si="89"/>
        <v>15829.821428571428</v>
      </c>
      <c r="BX63" s="205">
        <f t="shared" si="89"/>
        <v>16765.178571428569</v>
      </c>
      <c r="BY63" s="205">
        <f t="shared" si="89"/>
        <v>17700.53571428571</v>
      </c>
      <c r="BZ63" s="205">
        <f t="shared" si="89"/>
        <v>18635.892857142855</v>
      </c>
      <c r="CA63" s="205">
        <f t="shared" si="89"/>
        <v>19571.25</v>
      </c>
      <c r="CB63" s="205">
        <f t="shared" si="89"/>
        <v>20506.607142857138</v>
      </c>
      <c r="CC63" s="205">
        <f t="shared" si="89"/>
        <v>21441.964285714283</v>
      </c>
      <c r="CD63" s="205">
        <f t="shared" si="89"/>
        <v>22377.321428571428</v>
      </c>
      <c r="CE63" s="205">
        <f t="shared" si="89"/>
        <v>23312.678571428569</v>
      </c>
      <c r="CF63" s="205">
        <f t="shared" si="89"/>
        <v>24248.03571428571</v>
      </c>
      <c r="CG63" s="205">
        <f t="shared" si="89"/>
        <v>25183.392857142855</v>
      </c>
      <c r="CH63" s="205">
        <f t="shared" si="89"/>
        <v>26118.749999999996</v>
      </c>
      <c r="CI63" s="205">
        <f t="shared" si="89"/>
        <v>27054.107142857138</v>
      </c>
      <c r="CJ63" s="205">
        <f t="shared" si="89"/>
        <v>27989.464285714283</v>
      </c>
      <c r="CK63" s="205">
        <f t="shared" si="89"/>
        <v>28628.857142857138</v>
      </c>
      <c r="CL63" s="205">
        <f t="shared" si="89"/>
        <v>28972.28571428571</v>
      </c>
      <c r="CM63" s="205">
        <f t="shared" si="89"/>
        <v>29315.714285714283</v>
      </c>
      <c r="CN63" s="205">
        <f t="shared" si="89"/>
        <v>29659.142857142851</v>
      </c>
      <c r="CO63" s="205">
        <f t="shared" si="89"/>
        <v>30002.571428571424</v>
      </c>
      <c r="CP63" s="205">
        <f t="shared" si="89"/>
        <v>30345.999999999996</v>
      </c>
      <c r="CQ63" s="205">
        <f t="shared" si="89"/>
        <v>30689.428571428569</v>
      </c>
      <c r="CR63" s="205">
        <f t="shared" si="89"/>
        <v>31032.857142857141</v>
      </c>
      <c r="CS63" s="205">
        <f t="shared" si="89"/>
        <v>31376.285714285714</v>
      </c>
      <c r="CT63" s="205">
        <f t="shared" si="89"/>
        <v>31719.714285714283</v>
      </c>
      <c r="CU63" s="205">
        <f t="shared" si="89"/>
        <v>32063.142857142855</v>
      </c>
      <c r="CV63" s="205">
        <f t="shared" si="89"/>
        <v>32406.571428571428</v>
      </c>
      <c r="CW63" s="205">
        <f t="shared" si="89"/>
        <v>32750</v>
      </c>
      <c r="CX63" s="205">
        <f t="shared" si="89"/>
        <v>32750</v>
      </c>
      <c r="CY63" s="205">
        <f t="shared" si="89"/>
        <v>32750</v>
      </c>
      <c r="CZ63" s="205">
        <f t="shared" si="89"/>
        <v>32750</v>
      </c>
      <c r="DA63" s="205">
        <f t="shared" si="89"/>
        <v>32750</v>
      </c>
    </row>
    <row r="64" spans="1:105" s="205" customFormat="1">
      <c r="A64" s="205" t="str">
        <f>Income!A77</f>
        <v>Wild foods consumed and sold</v>
      </c>
      <c r="F64" s="205">
        <f t="shared" ref="F64:BQ64" si="90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0</v>
      </c>
      <c r="G64" s="205">
        <f t="shared" si="90"/>
        <v>0</v>
      </c>
      <c r="H64" s="205">
        <f t="shared" si="90"/>
        <v>0</v>
      </c>
      <c r="I64" s="205">
        <f t="shared" si="90"/>
        <v>0</v>
      </c>
      <c r="J64" s="205">
        <f t="shared" si="90"/>
        <v>0</v>
      </c>
      <c r="K64" s="205">
        <f t="shared" si="90"/>
        <v>0</v>
      </c>
      <c r="L64" s="205">
        <f t="shared" si="88"/>
        <v>0</v>
      </c>
      <c r="M64" s="205">
        <f t="shared" si="90"/>
        <v>0</v>
      </c>
      <c r="N64" s="205">
        <f t="shared" si="90"/>
        <v>0</v>
      </c>
      <c r="O64" s="205">
        <f t="shared" si="90"/>
        <v>0</v>
      </c>
      <c r="P64" s="205">
        <f t="shared" si="90"/>
        <v>0</v>
      </c>
      <c r="Q64" s="205">
        <f t="shared" si="90"/>
        <v>0</v>
      </c>
      <c r="R64" s="205">
        <f t="shared" si="90"/>
        <v>0</v>
      </c>
      <c r="S64" s="205">
        <f t="shared" si="90"/>
        <v>0</v>
      </c>
      <c r="T64" s="205">
        <f t="shared" si="90"/>
        <v>0</v>
      </c>
      <c r="U64" s="205">
        <f t="shared" si="90"/>
        <v>0</v>
      </c>
      <c r="V64" s="205">
        <f t="shared" si="90"/>
        <v>0</v>
      </c>
      <c r="W64" s="205">
        <f t="shared" si="90"/>
        <v>0</v>
      </c>
      <c r="X64" s="205">
        <f t="shared" si="90"/>
        <v>0</v>
      </c>
      <c r="Y64" s="205">
        <f t="shared" si="90"/>
        <v>0</v>
      </c>
      <c r="Z64" s="205">
        <f t="shared" si="90"/>
        <v>0</v>
      </c>
      <c r="AA64" s="205">
        <f t="shared" si="90"/>
        <v>0</v>
      </c>
      <c r="AB64" s="205">
        <f t="shared" si="90"/>
        <v>0</v>
      </c>
      <c r="AC64" s="205">
        <f t="shared" si="90"/>
        <v>0</v>
      </c>
      <c r="AD64" s="205">
        <f t="shared" si="90"/>
        <v>0</v>
      </c>
      <c r="AE64" s="205">
        <f t="shared" si="90"/>
        <v>0</v>
      </c>
      <c r="AF64" s="205">
        <f t="shared" si="90"/>
        <v>0</v>
      </c>
      <c r="AG64" s="205">
        <f t="shared" si="90"/>
        <v>0</v>
      </c>
      <c r="AH64" s="205">
        <f t="shared" si="90"/>
        <v>0</v>
      </c>
      <c r="AI64" s="205">
        <f t="shared" si="90"/>
        <v>0</v>
      </c>
      <c r="AJ64" s="205">
        <f t="shared" si="90"/>
        <v>0</v>
      </c>
      <c r="AK64" s="205">
        <f t="shared" si="90"/>
        <v>0</v>
      </c>
      <c r="AL64" s="205">
        <f t="shared" si="90"/>
        <v>0</v>
      </c>
      <c r="AM64" s="205">
        <f t="shared" si="90"/>
        <v>0</v>
      </c>
      <c r="AN64" s="205">
        <f t="shared" si="90"/>
        <v>0</v>
      </c>
      <c r="AO64" s="205">
        <f t="shared" si="90"/>
        <v>0</v>
      </c>
      <c r="AP64" s="205">
        <f t="shared" si="90"/>
        <v>0</v>
      </c>
      <c r="AQ64" s="205">
        <f t="shared" si="90"/>
        <v>0</v>
      </c>
      <c r="AR64" s="205">
        <f t="shared" si="90"/>
        <v>0</v>
      </c>
      <c r="AS64" s="205">
        <f t="shared" si="90"/>
        <v>0</v>
      </c>
      <c r="AT64" s="205">
        <f t="shared" si="90"/>
        <v>0</v>
      </c>
      <c r="AU64" s="205">
        <f t="shared" si="90"/>
        <v>0</v>
      </c>
      <c r="AV64" s="205">
        <f t="shared" si="90"/>
        <v>0</v>
      </c>
      <c r="AW64" s="205">
        <f t="shared" si="90"/>
        <v>0</v>
      </c>
      <c r="AX64" s="205">
        <f t="shared" si="90"/>
        <v>0</v>
      </c>
      <c r="AY64" s="205">
        <f t="shared" si="90"/>
        <v>0</v>
      </c>
      <c r="AZ64" s="205">
        <f t="shared" si="90"/>
        <v>0</v>
      </c>
      <c r="BA64" s="205">
        <f t="shared" si="90"/>
        <v>0</v>
      </c>
      <c r="BB64" s="205">
        <f t="shared" si="90"/>
        <v>0</v>
      </c>
      <c r="BC64" s="205">
        <f t="shared" si="90"/>
        <v>0</v>
      </c>
      <c r="BD64" s="205">
        <f t="shared" si="90"/>
        <v>0</v>
      </c>
      <c r="BE64" s="205">
        <f t="shared" si="90"/>
        <v>0</v>
      </c>
      <c r="BF64" s="205">
        <f t="shared" si="90"/>
        <v>0</v>
      </c>
      <c r="BG64" s="205">
        <f t="shared" si="90"/>
        <v>0</v>
      </c>
      <c r="BH64" s="205">
        <f t="shared" si="90"/>
        <v>0</v>
      </c>
      <c r="BI64" s="205">
        <f t="shared" si="90"/>
        <v>0</v>
      </c>
      <c r="BJ64" s="205">
        <f t="shared" si="90"/>
        <v>0</v>
      </c>
      <c r="BK64" s="205">
        <f t="shared" si="90"/>
        <v>0</v>
      </c>
      <c r="BL64" s="205">
        <f t="shared" si="90"/>
        <v>0</v>
      </c>
      <c r="BM64" s="205">
        <f t="shared" si="90"/>
        <v>0</v>
      </c>
      <c r="BN64" s="205">
        <f t="shared" si="90"/>
        <v>0</v>
      </c>
      <c r="BO64" s="205">
        <f t="shared" si="90"/>
        <v>0</v>
      </c>
      <c r="BP64" s="205">
        <f t="shared" si="90"/>
        <v>0</v>
      </c>
      <c r="BQ64" s="205">
        <f t="shared" si="90"/>
        <v>0</v>
      </c>
      <c r="BR64" s="205">
        <f t="shared" ref="BR64:DA64" si="91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0</v>
      </c>
      <c r="BS64" s="205">
        <f t="shared" si="91"/>
        <v>0</v>
      </c>
      <c r="BT64" s="205">
        <f t="shared" si="91"/>
        <v>0</v>
      </c>
      <c r="BU64" s="205">
        <f t="shared" si="91"/>
        <v>0</v>
      </c>
      <c r="BV64" s="205">
        <f t="shared" si="91"/>
        <v>0</v>
      </c>
      <c r="BW64" s="205">
        <f t="shared" si="91"/>
        <v>0</v>
      </c>
      <c r="BX64" s="205">
        <f t="shared" si="91"/>
        <v>0</v>
      </c>
      <c r="BY64" s="205">
        <f t="shared" si="91"/>
        <v>0</v>
      </c>
      <c r="BZ64" s="205">
        <f t="shared" si="91"/>
        <v>0</v>
      </c>
      <c r="CA64" s="205">
        <f t="shared" si="91"/>
        <v>0</v>
      </c>
      <c r="CB64" s="205">
        <f t="shared" si="91"/>
        <v>0</v>
      </c>
      <c r="CC64" s="205">
        <f t="shared" si="91"/>
        <v>0</v>
      </c>
      <c r="CD64" s="205">
        <f t="shared" si="91"/>
        <v>0</v>
      </c>
      <c r="CE64" s="205">
        <f t="shared" si="91"/>
        <v>0</v>
      </c>
      <c r="CF64" s="205">
        <f t="shared" si="91"/>
        <v>0</v>
      </c>
      <c r="CG64" s="205">
        <f t="shared" si="91"/>
        <v>0</v>
      </c>
      <c r="CH64" s="205">
        <f t="shared" si="91"/>
        <v>0</v>
      </c>
      <c r="CI64" s="205">
        <f t="shared" si="91"/>
        <v>0</v>
      </c>
      <c r="CJ64" s="205">
        <f t="shared" si="91"/>
        <v>0</v>
      </c>
      <c r="CK64" s="205">
        <f t="shared" si="91"/>
        <v>0</v>
      </c>
      <c r="CL64" s="205">
        <f t="shared" si="91"/>
        <v>0</v>
      </c>
      <c r="CM64" s="205">
        <f t="shared" si="91"/>
        <v>0</v>
      </c>
      <c r="CN64" s="205">
        <f t="shared" si="91"/>
        <v>0</v>
      </c>
      <c r="CO64" s="205">
        <f t="shared" si="91"/>
        <v>0</v>
      </c>
      <c r="CP64" s="205">
        <f t="shared" si="91"/>
        <v>0</v>
      </c>
      <c r="CQ64" s="205">
        <f t="shared" si="91"/>
        <v>0</v>
      </c>
      <c r="CR64" s="205">
        <f t="shared" si="91"/>
        <v>0</v>
      </c>
      <c r="CS64" s="205">
        <f t="shared" si="91"/>
        <v>0</v>
      </c>
      <c r="CT64" s="205">
        <f t="shared" si="91"/>
        <v>0</v>
      </c>
      <c r="CU64" s="205">
        <f t="shared" si="91"/>
        <v>0</v>
      </c>
      <c r="CV64" s="205">
        <f t="shared" si="91"/>
        <v>0</v>
      </c>
      <c r="CW64" s="205">
        <f t="shared" si="91"/>
        <v>0</v>
      </c>
      <c r="CX64" s="205">
        <f t="shared" si="91"/>
        <v>52.189999999999884</v>
      </c>
      <c r="CY64" s="205">
        <f t="shared" si="91"/>
        <v>104.37999999999977</v>
      </c>
      <c r="CZ64" s="205">
        <f t="shared" si="91"/>
        <v>156.56999999999965</v>
      </c>
      <c r="DA64" s="205">
        <f t="shared" si="91"/>
        <v>208.75999999999954</v>
      </c>
    </row>
    <row r="65" spans="1:105" s="205" customFormat="1">
      <c r="A65" s="205" t="str">
        <f>Income!A78</f>
        <v>Labour - casual</v>
      </c>
      <c r="F65" s="205">
        <f t="shared" ref="F65:BQ65" si="92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7428.5714285714284</v>
      </c>
      <c r="G65" s="205">
        <f t="shared" si="92"/>
        <v>7428.5714285714284</v>
      </c>
      <c r="H65" s="205">
        <f t="shared" si="92"/>
        <v>7428.5714285714284</v>
      </c>
      <c r="I65" s="205">
        <f t="shared" si="92"/>
        <v>7428.5714285714284</v>
      </c>
      <c r="J65" s="205">
        <f t="shared" si="92"/>
        <v>7428.5714285714284</v>
      </c>
      <c r="K65" s="205">
        <f t="shared" si="92"/>
        <v>7428.5714285714284</v>
      </c>
      <c r="L65" s="205">
        <f t="shared" si="88"/>
        <v>7428.5714285714284</v>
      </c>
      <c r="M65" s="205">
        <f t="shared" si="92"/>
        <v>7428.5714285714284</v>
      </c>
      <c r="N65" s="205">
        <f t="shared" si="92"/>
        <v>7428.5714285714284</v>
      </c>
      <c r="O65" s="205">
        <f t="shared" si="92"/>
        <v>7428.5714285714284</v>
      </c>
      <c r="P65" s="205">
        <f t="shared" si="92"/>
        <v>7428.5714285714284</v>
      </c>
      <c r="Q65" s="205">
        <f t="shared" si="92"/>
        <v>7428.5714285714284</v>
      </c>
      <c r="R65" s="205">
        <f t="shared" si="92"/>
        <v>7428.5714285714284</v>
      </c>
      <c r="S65" s="205">
        <f t="shared" si="92"/>
        <v>7428.5714285714284</v>
      </c>
      <c r="T65" s="205">
        <f t="shared" si="92"/>
        <v>7428.5714285714284</v>
      </c>
      <c r="U65" s="205">
        <f t="shared" si="92"/>
        <v>7428.5714285714284</v>
      </c>
      <c r="V65" s="205">
        <f t="shared" si="92"/>
        <v>7428.5714285714284</v>
      </c>
      <c r="W65" s="205">
        <f t="shared" si="92"/>
        <v>7428.5714285714284</v>
      </c>
      <c r="X65" s="205">
        <f t="shared" si="92"/>
        <v>7428.5714285714284</v>
      </c>
      <c r="Y65" s="205">
        <f t="shared" si="92"/>
        <v>7428.5714285714284</v>
      </c>
      <c r="Z65" s="205">
        <f t="shared" si="92"/>
        <v>7428.5714285714284</v>
      </c>
      <c r="AA65" s="205">
        <f t="shared" si="92"/>
        <v>7428.5714285714284</v>
      </c>
      <c r="AB65" s="205">
        <f t="shared" si="92"/>
        <v>7428.5714285714284</v>
      </c>
      <c r="AC65" s="205">
        <f t="shared" si="92"/>
        <v>7428.5714285714284</v>
      </c>
      <c r="AD65" s="205">
        <f t="shared" si="92"/>
        <v>7428.5714285714284</v>
      </c>
      <c r="AE65" s="205">
        <f t="shared" si="92"/>
        <v>7428.5714285714284</v>
      </c>
      <c r="AF65" s="205">
        <f t="shared" si="92"/>
        <v>7362.7428571428572</v>
      </c>
      <c r="AG65" s="205">
        <f t="shared" si="92"/>
        <v>7296.9142857142851</v>
      </c>
      <c r="AH65" s="205">
        <f t="shared" si="92"/>
        <v>7231.0857142857139</v>
      </c>
      <c r="AI65" s="205">
        <f t="shared" si="92"/>
        <v>7165.2571428571428</v>
      </c>
      <c r="AJ65" s="205">
        <f t="shared" si="92"/>
        <v>7099.4285714285716</v>
      </c>
      <c r="AK65" s="205">
        <f t="shared" si="92"/>
        <v>7033.5999999999995</v>
      </c>
      <c r="AL65" s="205">
        <f t="shared" si="92"/>
        <v>6967.7714285714283</v>
      </c>
      <c r="AM65" s="205">
        <f t="shared" si="92"/>
        <v>6901.9428571428571</v>
      </c>
      <c r="AN65" s="205">
        <f t="shared" si="92"/>
        <v>6836.1142857142859</v>
      </c>
      <c r="AO65" s="205">
        <f t="shared" si="92"/>
        <v>6770.2857142857138</v>
      </c>
      <c r="AP65" s="205">
        <f t="shared" si="92"/>
        <v>6704.4571428571426</v>
      </c>
      <c r="AQ65" s="205">
        <f t="shared" si="92"/>
        <v>6638.6285714285714</v>
      </c>
      <c r="AR65" s="205">
        <f t="shared" si="92"/>
        <v>6572.7999999999993</v>
      </c>
      <c r="AS65" s="205">
        <f t="shared" si="92"/>
        <v>6506.9714285714281</v>
      </c>
      <c r="AT65" s="205">
        <f t="shared" si="92"/>
        <v>6441.1428571428569</v>
      </c>
      <c r="AU65" s="205">
        <f t="shared" si="92"/>
        <v>6375.3142857142848</v>
      </c>
      <c r="AV65" s="205">
        <f t="shared" si="92"/>
        <v>6309.4857142857136</v>
      </c>
      <c r="AW65" s="205">
        <f t="shared" si="92"/>
        <v>6243.6571428571424</v>
      </c>
      <c r="AX65" s="205">
        <f t="shared" si="92"/>
        <v>6177.8285714285712</v>
      </c>
      <c r="AY65" s="205">
        <f t="shared" si="92"/>
        <v>6112</v>
      </c>
      <c r="AZ65" s="205">
        <f t="shared" si="92"/>
        <v>6046.1714285714279</v>
      </c>
      <c r="BA65" s="205">
        <f t="shared" si="92"/>
        <v>5980.3428571428567</v>
      </c>
      <c r="BB65" s="205">
        <f t="shared" si="92"/>
        <v>5914.5142857142855</v>
      </c>
      <c r="BC65" s="205">
        <f t="shared" si="92"/>
        <v>5848.6857142857134</v>
      </c>
      <c r="BD65" s="205">
        <f t="shared" si="92"/>
        <v>5782.8571428571422</v>
      </c>
      <c r="BE65" s="205">
        <f t="shared" si="92"/>
        <v>5717.028571428571</v>
      </c>
      <c r="BF65" s="205">
        <f t="shared" si="92"/>
        <v>5651.1999999999989</v>
      </c>
      <c r="BG65" s="205">
        <f t="shared" si="92"/>
        <v>5585.3714285714277</v>
      </c>
      <c r="BH65" s="205">
        <f t="shared" si="92"/>
        <v>5519.5428571428565</v>
      </c>
      <c r="BI65" s="205">
        <f t="shared" si="92"/>
        <v>5453.7142857142844</v>
      </c>
      <c r="BJ65" s="205">
        <f t="shared" si="92"/>
        <v>5387.8857142857132</v>
      </c>
      <c r="BK65" s="205">
        <f t="shared" si="92"/>
        <v>5322.057142857142</v>
      </c>
      <c r="BL65" s="205">
        <f t="shared" si="92"/>
        <v>5256.2285714285699</v>
      </c>
      <c r="BM65" s="205">
        <f t="shared" si="92"/>
        <v>5190.3999999999996</v>
      </c>
      <c r="BN65" s="205">
        <f t="shared" si="92"/>
        <v>5124.5714285714275</v>
      </c>
      <c r="BO65" s="205">
        <f t="shared" si="92"/>
        <v>5058.7428571428563</v>
      </c>
      <c r="BP65" s="205">
        <f t="shared" si="92"/>
        <v>4992.9142857142851</v>
      </c>
      <c r="BQ65" s="205">
        <f t="shared" si="92"/>
        <v>4835.9999999999991</v>
      </c>
      <c r="BR65" s="205">
        <f t="shared" ref="BR65:DA65" si="93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4587.9999999999991</v>
      </c>
      <c r="BS65" s="205">
        <f t="shared" si="93"/>
        <v>4339.9999999999991</v>
      </c>
      <c r="BT65" s="205">
        <f t="shared" si="93"/>
        <v>4091.9999999999991</v>
      </c>
      <c r="BU65" s="205">
        <f t="shared" si="93"/>
        <v>3843.9999999999991</v>
      </c>
      <c r="BV65" s="205">
        <f t="shared" si="93"/>
        <v>3595.9999999999991</v>
      </c>
      <c r="BW65" s="205">
        <f t="shared" si="93"/>
        <v>3347.9999999999995</v>
      </c>
      <c r="BX65" s="205">
        <f t="shared" si="93"/>
        <v>3099.9999999999995</v>
      </c>
      <c r="BY65" s="205">
        <f t="shared" si="93"/>
        <v>2851.9999999999995</v>
      </c>
      <c r="BZ65" s="205">
        <f t="shared" si="93"/>
        <v>2603.9999999999995</v>
      </c>
      <c r="CA65" s="205">
        <f t="shared" si="93"/>
        <v>2355.9999999999995</v>
      </c>
      <c r="CB65" s="205">
        <f t="shared" si="93"/>
        <v>2107.9999999999995</v>
      </c>
      <c r="CC65" s="205">
        <f t="shared" si="93"/>
        <v>1860</v>
      </c>
      <c r="CD65" s="205">
        <f t="shared" si="93"/>
        <v>1612</v>
      </c>
      <c r="CE65" s="205">
        <f t="shared" si="93"/>
        <v>1364</v>
      </c>
      <c r="CF65" s="205">
        <f t="shared" si="93"/>
        <v>1116</v>
      </c>
      <c r="CG65" s="205">
        <f t="shared" si="93"/>
        <v>868</v>
      </c>
      <c r="CH65" s="205">
        <f t="shared" si="93"/>
        <v>620</v>
      </c>
      <c r="CI65" s="205">
        <f t="shared" si="93"/>
        <v>372</v>
      </c>
      <c r="CJ65" s="205">
        <f t="shared" si="93"/>
        <v>124</v>
      </c>
      <c r="CK65" s="205">
        <f t="shared" si="93"/>
        <v>0</v>
      </c>
      <c r="CL65" s="205">
        <f t="shared" si="93"/>
        <v>0</v>
      </c>
      <c r="CM65" s="205">
        <f t="shared" si="93"/>
        <v>0</v>
      </c>
      <c r="CN65" s="205">
        <f t="shared" si="93"/>
        <v>0</v>
      </c>
      <c r="CO65" s="205">
        <f t="shared" si="93"/>
        <v>0</v>
      </c>
      <c r="CP65" s="205">
        <f t="shared" si="93"/>
        <v>0</v>
      </c>
      <c r="CQ65" s="205">
        <f t="shared" si="93"/>
        <v>0</v>
      </c>
      <c r="CR65" s="205">
        <f t="shared" si="93"/>
        <v>0</v>
      </c>
      <c r="CS65" s="205">
        <f t="shared" si="93"/>
        <v>0</v>
      </c>
      <c r="CT65" s="205">
        <f t="shared" si="93"/>
        <v>0</v>
      </c>
      <c r="CU65" s="205">
        <f t="shared" si="93"/>
        <v>0</v>
      </c>
      <c r="CV65" s="205">
        <f t="shared" si="93"/>
        <v>0</v>
      </c>
      <c r="CW65" s="205">
        <f t="shared" si="93"/>
        <v>0</v>
      </c>
      <c r="CX65" s="205">
        <f t="shared" si="93"/>
        <v>0</v>
      </c>
      <c r="CY65" s="205">
        <f t="shared" si="93"/>
        <v>0</v>
      </c>
      <c r="CZ65" s="205">
        <f t="shared" si="93"/>
        <v>0</v>
      </c>
      <c r="DA65" s="205">
        <f t="shared" si="93"/>
        <v>0</v>
      </c>
    </row>
    <row r="66" spans="1:105" s="205" customFormat="1">
      <c r="A66" s="205" t="str">
        <f>Income!A79</f>
        <v>Labour - formal emp</v>
      </c>
      <c r="F66" s="205">
        <f t="shared" ref="F66:BQ66" si="94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5">
        <f t="shared" si="94"/>
        <v>0</v>
      </c>
      <c r="H66" s="205">
        <f t="shared" si="94"/>
        <v>0</v>
      </c>
      <c r="I66" s="205">
        <f t="shared" si="94"/>
        <v>0</v>
      </c>
      <c r="J66" s="205">
        <f t="shared" si="94"/>
        <v>0</v>
      </c>
      <c r="K66" s="205">
        <f t="shared" si="94"/>
        <v>0</v>
      </c>
      <c r="L66" s="205">
        <f t="shared" si="88"/>
        <v>0</v>
      </c>
      <c r="M66" s="205">
        <f t="shared" si="94"/>
        <v>0</v>
      </c>
      <c r="N66" s="205">
        <f t="shared" si="94"/>
        <v>0</v>
      </c>
      <c r="O66" s="205">
        <f t="shared" si="94"/>
        <v>0</v>
      </c>
      <c r="P66" s="205">
        <f t="shared" si="94"/>
        <v>0</v>
      </c>
      <c r="Q66" s="205">
        <f t="shared" si="94"/>
        <v>0</v>
      </c>
      <c r="R66" s="205">
        <f t="shared" si="94"/>
        <v>0</v>
      </c>
      <c r="S66" s="205">
        <f t="shared" si="94"/>
        <v>0</v>
      </c>
      <c r="T66" s="205">
        <f t="shared" si="94"/>
        <v>0</v>
      </c>
      <c r="U66" s="205">
        <f t="shared" si="94"/>
        <v>0</v>
      </c>
      <c r="V66" s="205">
        <f t="shared" si="94"/>
        <v>0</v>
      </c>
      <c r="W66" s="205">
        <f t="shared" si="94"/>
        <v>0</v>
      </c>
      <c r="X66" s="205">
        <f t="shared" si="94"/>
        <v>0</v>
      </c>
      <c r="Y66" s="205">
        <f t="shared" si="94"/>
        <v>0</v>
      </c>
      <c r="Z66" s="205">
        <f t="shared" si="94"/>
        <v>0</v>
      </c>
      <c r="AA66" s="205">
        <f t="shared" si="94"/>
        <v>0</v>
      </c>
      <c r="AB66" s="205">
        <f t="shared" si="94"/>
        <v>0</v>
      </c>
      <c r="AC66" s="205">
        <f t="shared" si="94"/>
        <v>0</v>
      </c>
      <c r="AD66" s="205">
        <f t="shared" si="94"/>
        <v>0</v>
      </c>
      <c r="AE66" s="205">
        <f t="shared" si="94"/>
        <v>0</v>
      </c>
      <c r="AF66" s="205">
        <f t="shared" si="94"/>
        <v>0</v>
      </c>
      <c r="AG66" s="205">
        <f t="shared" si="94"/>
        <v>0</v>
      </c>
      <c r="AH66" s="205">
        <f t="shared" si="94"/>
        <v>0</v>
      </c>
      <c r="AI66" s="205">
        <f t="shared" si="94"/>
        <v>0</v>
      </c>
      <c r="AJ66" s="205">
        <f t="shared" si="94"/>
        <v>0</v>
      </c>
      <c r="AK66" s="205">
        <f t="shared" si="94"/>
        <v>0</v>
      </c>
      <c r="AL66" s="205">
        <f t="shared" si="94"/>
        <v>0</v>
      </c>
      <c r="AM66" s="205">
        <f t="shared" si="94"/>
        <v>0</v>
      </c>
      <c r="AN66" s="205">
        <f t="shared" si="94"/>
        <v>0</v>
      </c>
      <c r="AO66" s="205">
        <f t="shared" si="94"/>
        <v>0</v>
      </c>
      <c r="AP66" s="205">
        <f t="shared" si="94"/>
        <v>0</v>
      </c>
      <c r="AQ66" s="205">
        <f t="shared" si="94"/>
        <v>0</v>
      </c>
      <c r="AR66" s="205">
        <f t="shared" si="94"/>
        <v>0</v>
      </c>
      <c r="AS66" s="205">
        <f t="shared" si="94"/>
        <v>0</v>
      </c>
      <c r="AT66" s="205">
        <f t="shared" si="94"/>
        <v>0</v>
      </c>
      <c r="AU66" s="205">
        <f t="shared" si="94"/>
        <v>0</v>
      </c>
      <c r="AV66" s="205">
        <f t="shared" si="94"/>
        <v>0</v>
      </c>
      <c r="AW66" s="205">
        <f t="shared" si="94"/>
        <v>0</v>
      </c>
      <c r="AX66" s="205">
        <f t="shared" si="94"/>
        <v>0</v>
      </c>
      <c r="AY66" s="205">
        <f t="shared" si="94"/>
        <v>0</v>
      </c>
      <c r="AZ66" s="205">
        <f t="shared" si="94"/>
        <v>0</v>
      </c>
      <c r="BA66" s="205">
        <f t="shared" si="94"/>
        <v>0</v>
      </c>
      <c r="BB66" s="205">
        <f t="shared" si="94"/>
        <v>0</v>
      </c>
      <c r="BC66" s="205">
        <f t="shared" si="94"/>
        <v>0</v>
      </c>
      <c r="BD66" s="205">
        <f t="shared" si="94"/>
        <v>0</v>
      </c>
      <c r="BE66" s="205">
        <f t="shared" si="94"/>
        <v>0</v>
      </c>
      <c r="BF66" s="205">
        <f t="shared" si="94"/>
        <v>0</v>
      </c>
      <c r="BG66" s="205">
        <f t="shared" si="94"/>
        <v>0</v>
      </c>
      <c r="BH66" s="205">
        <f t="shared" si="94"/>
        <v>0</v>
      </c>
      <c r="BI66" s="205">
        <f t="shared" si="94"/>
        <v>0</v>
      </c>
      <c r="BJ66" s="205">
        <f t="shared" si="94"/>
        <v>0</v>
      </c>
      <c r="BK66" s="205">
        <f t="shared" si="94"/>
        <v>0</v>
      </c>
      <c r="BL66" s="205">
        <f t="shared" si="94"/>
        <v>0</v>
      </c>
      <c r="BM66" s="205">
        <f t="shared" si="94"/>
        <v>0</v>
      </c>
      <c r="BN66" s="205">
        <f t="shared" si="94"/>
        <v>0</v>
      </c>
      <c r="BO66" s="205">
        <f t="shared" si="94"/>
        <v>0</v>
      </c>
      <c r="BP66" s="205">
        <f t="shared" si="94"/>
        <v>0</v>
      </c>
      <c r="BQ66" s="205">
        <f t="shared" si="94"/>
        <v>548.57142857142856</v>
      </c>
      <c r="BR66" s="205">
        <f t="shared" ref="BR66:DA66" si="95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1645.7142857142858</v>
      </c>
      <c r="BS66" s="205">
        <f t="shared" si="95"/>
        <v>2742.8571428571427</v>
      </c>
      <c r="BT66" s="205">
        <f t="shared" si="95"/>
        <v>3840</v>
      </c>
      <c r="BU66" s="205">
        <f t="shared" si="95"/>
        <v>4937.1428571428569</v>
      </c>
      <c r="BV66" s="205">
        <f t="shared" si="95"/>
        <v>6034.2857142857138</v>
      </c>
      <c r="BW66" s="205">
        <f t="shared" si="95"/>
        <v>7131.4285714285716</v>
      </c>
      <c r="BX66" s="205">
        <f t="shared" si="95"/>
        <v>8228.5714285714275</v>
      </c>
      <c r="BY66" s="205">
        <f t="shared" si="95"/>
        <v>9325.7142857142862</v>
      </c>
      <c r="BZ66" s="205">
        <f t="shared" si="95"/>
        <v>10422.857142857143</v>
      </c>
      <c r="CA66" s="205">
        <f t="shared" si="95"/>
        <v>11520</v>
      </c>
      <c r="CB66" s="205">
        <f t="shared" si="95"/>
        <v>12617.142857142857</v>
      </c>
      <c r="CC66" s="205">
        <f t="shared" si="95"/>
        <v>13714.285714285714</v>
      </c>
      <c r="CD66" s="205">
        <f t="shared" si="95"/>
        <v>14811.428571428571</v>
      </c>
      <c r="CE66" s="205">
        <f t="shared" si="95"/>
        <v>15908.571428571428</v>
      </c>
      <c r="CF66" s="205">
        <f t="shared" si="95"/>
        <v>17005.714285714286</v>
      </c>
      <c r="CG66" s="205">
        <f t="shared" si="95"/>
        <v>18102.857142857141</v>
      </c>
      <c r="CH66" s="205">
        <f t="shared" si="95"/>
        <v>19200</v>
      </c>
      <c r="CI66" s="205">
        <f t="shared" si="95"/>
        <v>20297.142857142855</v>
      </c>
      <c r="CJ66" s="205">
        <f t="shared" si="95"/>
        <v>21394.285714285714</v>
      </c>
      <c r="CK66" s="205">
        <f t="shared" si="95"/>
        <v>24089.142857142855</v>
      </c>
      <c r="CL66" s="205">
        <f t="shared" si="95"/>
        <v>28381.714285714283</v>
      </c>
      <c r="CM66" s="205">
        <f t="shared" si="95"/>
        <v>32674.28571428571</v>
      </c>
      <c r="CN66" s="205">
        <f t="shared" si="95"/>
        <v>36966.857142857145</v>
      </c>
      <c r="CO66" s="205">
        <f t="shared" si="95"/>
        <v>41259.428571428565</v>
      </c>
      <c r="CP66" s="205">
        <f t="shared" si="95"/>
        <v>45552</v>
      </c>
      <c r="CQ66" s="205">
        <f t="shared" si="95"/>
        <v>49844.571428571428</v>
      </c>
      <c r="CR66" s="205">
        <f t="shared" si="95"/>
        <v>54137.142857142855</v>
      </c>
      <c r="CS66" s="205">
        <f t="shared" si="95"/>
        <v>58429.71428571429</v>
      </c>
      <c r="CT66" s="205">
        <f t="shared" si="95"/>
        <v>62722.28571428571</v>
      </c>
      <c r="CU66" s="205">
        <f t="shared" si="95"/>
        <v>67014.857142857145</v>
      </c>
      <c r="CV66" s="205">
        <f t="shared" si="95"/>
        <v>71307.428571428565</v>
      </c>
      <c r="CW66" s="205">
        <f t="shared" si="95"/>
        <v>75600</v>
      </c>
      <c r="CX66" s="205">
        <f t="shared" si="95"/>
        <v>78271.7</v>
      </c>
      <c r="CY66" s="205">
        <f t="shared" si="95"/>
        <v>80943.399999999994</v>
      </c>
      <c r="CZ66" s="205">
        <f t="shared" si="95"/>
        <v>83615.100000000006</v>
      </c>
      <c r="DA66" s="205">
        <f t="shared" si="95"/>
        <v>86286.8</v>
      </c>
    </row>
    <row r="67" spans="1:105" s="205" customFormat="1">
      <c r="A67" s="205" t="str">
        <f>Income!A81</f>
        <v>Self - employment</v>
      </c>
      <c r="F67" s="205">
        <f t="shared" ref="F67:BQ67" si="96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0</v>
      </c>
      <c r="G67" s="205">
        <f t="shared" si="96"/>
        <v>0</v>
      </c>
      <c r="H67" s="205">
        <f t="shared" si="96"/>
        <v>0</v>
      </c>
      <c r="I67" s="205">
        <f t="shared" si="96"/>
        <v>0</v>
      </c>
      <c r="J67" s="205">
        <f t="shared" si="96"/>
        <v>0</v>
      </c>
      <c r="K67" s="205">
        <f t="shared" si="96"/>
        <v>0</v>
      </c>
      <c r="L67" s="205">
        <f t="shared" si="88"/>
        <v>0</v>
      </c>
      <c r="M67" s="205">
        <f t="shared" si="96"/>
        <v>0</v>
      </c>
      <c r="N67" s="205">
        <f t="shared" si="96"/>
        <v>0</v>
      </c>
      <c r="O67" s="205">
        <f t="shared" si="96"/>
        <v>0</v>
      </c>
      <c r="P67" s="205">
        <f t="shared" si="96"/>
        <v>0</v>
      </c>
      <c r="Q67" s="205">
        <f t="shared" si="96"/>
        <v>0</v>
      </c>
      <c r="R67" s="205">
        <f t="shared" si="96"/>
        <v>0</v>
      </c>
      <c r="S67" s="205">
        <f t="shared" si="96"/>
        <v>0</v>
      </c>
      <c r="T67" s="205">
        <f t="shared" si="96"/>
        <v>0</v>
      </c>
      <c r="U67" s="205">
        <f t="shared" si="96"/>
        <v>0</v>
      </c>
      <c r="V67" s="205">
        <f t="shared" si="96"/>
        <v>0</v>
      </c>
      <c r="W67" s="205">
        <f t="shared" si="96"/>
        <v>0</v>
      </c>
      <c r="X67" s="205">
        <f t="shared" si="96"/>
        <v>0</v>
      </c>
      <c r="Y67" s="205">
        <f t="shared" si="96"/>
        <v>0</v>
      </c>
      <c r="Z67" s="205">
        <f t="shared" si="96"/>
        <v>0</v>
      </c>
      <c r="AA67" s="205">
        <f t="shared" si="96"/>
        <v>0</v>
      </c>
      <c r="AB67" s="205">
        <f t="shared" si="96"/>
        <v>0</v>
      </c>
      <c r="AC67" s="205">
        <f t="shared" si="96"/>
        <v>0</v>
      </c>
      <c r="AD67" s="205">
        <f t="shared" si="96"/>
        <v>0</v>
      </c>
      <c r="AE67" s="205">
        <f t="shared" si="96"/>
        <v>0</v>
      </c>
      <c r="AF67" s="205">
        <f t="shared" si="96"/>
        <v>0</v>
      </c>
      <c r="AG67" s="205">
        <f t="shared" si="96"/>
        <v>0</v>
      </c>
      <c r="AH67" s="205">
        <f t="shared" si="96"/>
        <v>0</v>
      </c>
      <c r="AI67" s="205">
        <f t="shared" si="96"/>
        <v>0</v>
      </c>
      <c r="AJ67" s="205">
        <f t="shared" si="96"/>
        <v>0</v>
      </c>
      <c r="AK67" s="205">
        <f t="shared" si="96"/>
        <v>0</v>
      </c>
      <c r="AL67" s="205">
        <f t="shared" si="96"/>
        <v>0</v>
      </c>
      <c r="AM67" s="205">
        <f t="shared" si="96"/>
        <v>0</v>
      </c>
      <c r="AN67" s="205">
        <f t="shared" si="96"/>
        <v>0</v>
      </c>
      <c r="AO67" s="205">
        <f t="shared" si="96"/>
        <v>0</v>
      </c>
      <c r="AP67" s="205">
        <f t="shared" si="96"/>
        <v>0</v>
      </c>
      <c r="AQ67" s="205">
        <f t="shared" si="96"/>
        <v>0</v>
      </c>
      <c r="AR67" s="205">
        <f t="shared" si="96"/>
        <v>0</v>
      </c>
      <c r="AS67" s="205">
        <f t="shared" si="96"/>
        <v>0</v>
      </c>
      <c r="AT67" s="205">
        <f t="shared" si="96"/>
        <v>0</v>
      </c>
      <c r="AU67" s="205">
        <f t="shared" si="96"/>
        <v>0</v>
      </c>
      <c r="AV67" s="205">
        <f t="shared" si="96"/>
        <v>0</v>
      </c>
      <c r="AW67" s="205">
        <f t="shared" si="96"/>
        <v>0</v>
      </c>
      <c r="AX67" s="205">
        <f t="shared" si="96"/>
        <v>0</v>
      </c>
      <c r="AY67" s="205">
        <f t="shared" si="96"/>
        <v>0</v>
      </c>
      <c r="AZ67" s="205">
        <f t="shared" si="96"/>
        <v>0</v>
      </c>
      <c r="BA67" s="205">
        <f t="shared" si="96"/>
        <v>0</v>
      </c>
      <c r="BB67" s="205">
        <f t="shared" si="96"/>
        <v>0</v>
      </c>
      <c r="BC67" s="205">
        <f t="shared" si="96"/>
        <v>0</v>
      </c>
      <c r="BD67" s="205">
        <f t="shared" si="96"/>
        <v>0</v>
      </c>
      <c r="BE67" s="205">
        <f t="shared" si="96"/>
        <v>0</v>
      </c>
      <c r="BF67" s="205">
        <f t="shared" si="96"/>
        <v>0</v>
      </c>
      <c r="BG67" s="205">
        <f t="shared" si="96"/>
        <v>0</v>
      </c>
      <c r="BH67" s="205">
        <f t="shared" si="96"/>
        <v>0</v>
      </c>
      <c r="BI67" s="205">
        <f t="shared" si="96"/>
        <v>0</v>
      </c>
      <c r="BJ67" s="205">
        <f t="shared" si="96"/>
        <v>0</v>
      </c>
      <c r="BK67" s="205">
        <f t="shared" si="96"/>
        <v>0</v>
      </c>
      <c r="BL67" s="205">
        <f t="shared" si="96"/>
        <v>0</v>
      </c>
      <c r="BM67" s="205">
        <f t="shared" si="96"/>
        <v>0</v>
      </c>
      <c r="BN67" s="205">
        <f t="shared" si="96"/>
        <v>0</v>
      </c>
      <c r="BO67" s="205">
        <f t="shared" si="96"/>
        <v>0</v>
      </c>
      <c r="BP67" s="205">
        <f t="shared" si="96"/>
        <v>0</v>
      </c>
      <c r="BQ67" s="205">
        <f t="shared" si="96"/>
        <v>0</v>
      </c>
      <c r="BR67" s="205">
        <f t="shared" ref="BR67:DA67" si="97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0</v>
      </c>
      <c r="BS67" s="205">
        <f t="shared" si="97"/>
        <v>0</v>
      </c>
      <c r="BT67" s="205">
        <f t="shared" si="97"/>
        <v>0</v>
      </c>
      <c r="BU67" s="205">
        <f t="shared" si="97"/>
        <v>0</v>
      </c>
      <c r="BV67" s="205">
        <f t="shared" si="97"/>
        <v>0</v>
      </c>
      <c r="BW67" s="205">
        <f t="shared" si="97"/>
        <v>0</v>
      </c>
      <c r="BX67" s="205">
        <f t="shared" si="97"/>
        <v>0</v>
      </c>
      <c r="BY67" s="205">
        <f t="shared" si="97"/>
        <v>0</v>
      </c>
      <c r="BZ67" s="205">
        <f t="shared" si="97"/>
        <v>0</v>
      </c>
      <c r="CA67" s="205">
        <f t="shared" si="97"/>
        <v>0</v>
      </c>
      <c r="CB67" s="205">
        <f t="shared" si="97"/>
        <v>0</v>
      </c>
      <c r="CC67" s="205">
        <f t="shared" si="97"/>
        <v>0</v>
      </c>
      <c r="CD67" s="205">
        <f t="shared" si="97"/>
        <v>0</v>
      </c>
      <c r="CE67" s="205">
        <f t="shared" si="97"/>
        <v>0</v>
      </c>
      <c r="CF67" s="205">
        <f t="shared" si="97"/>
        <v>0</v>
      </c>
      <c r="CG67" s="205">
        <f t="shared" si="97"/>
        <v>0</v>
      </c>
      <c r="CH67" s="205">
        <f t="shared" si="97"/>
        <v>0</v>
      </c>
      <c r="CI67" s="205">
        <f t="shared" si="97"/>
        <v>0</v>
      </c>
      <c r="CJ67" s="205">
        <f t="shared" si="97"/>
        <v>0</v>
      </c>
      <c r="CK67" s="205">
        <f t="shared" si="97"/>
        <v>0</v>
      </c>
      <c r="CL67" s="205">
        <f t="shared" si="97"/>
        <v>0</v>
      </c>
      <c r="CM67" s="205">
        <f t="shared" si="97"/>
        <v>0</v>
      </c>
      <c r="CN67" s="205">
        <f t="shared" si="97"/>
        <v>0</v>
      </c>
      <c r="CO67" s="205">
        <f t="shared" si="97"/>
        <v>0</v>
      </c>
      <c r="CP67" s="205">
        <f t="shared" si="97"/>
        <v>0</v>
      </c>
      <c r="CQ67" s="205">
        <f t="shared" si="97"/>
        <v>0</v>
      </c>
      <c r="CR67" s="205">
        <f t="shared" si="97"/>
        <v>0</v>
      </c>
      <c r="CS67" s="205">
        <f t="shared" si="97"/>
        <v>0</v>
      </c>
      <c r="CT67" s="205">
        <f t="shared" si="97"/>
        <v>0</v>
      </c>
      <c r="CU67" s="205">
        <f t="shared" si="97"/>
        <v>0</v>
      </c>
      <c r="CV67" s="205">
        <f t="shared" si="97"/>
        <v>0</v>
      </c>
      <c r="CW67" s="205">
        <f t="shared" si="97"/>
        <v>0</v>
      </c>
      <c r="CX67" s="205">
        <f t="shared" si="97"/>
        <v>829.53</v>
      </c>
      <c r="CY67" s="205">
        <f t="shared" si="97"/>
        <v>1659.06</v>
      </c>
      <c r="CZ67" s="205">
        <f t="shared" si="97"/>
        <v>2488.59</v>
      </c>
      <c r="DA67" s="205">
        <f t="shared" si="97"/>
        <v>3318.12</v>
      </c>
    </row>
    <row r="68" spans="1:105" s="205" customFormat="1">
      <c r="A68" s="205" t="str">
        <f>Income!A82</f>
        <v>Small business/petty trading</v>
      </c>
      <c r="F68" s="205">
        <f t="shared" ref="F68:BQ68" si="98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0</v>
      </c>
      <c r="G68" s="205">
        <f t="shared" si="98"/>
        <v>0</v>
      </c>
      <c r="H68" s="205">
        <f t="shared" si="98"/>
        <v>0</v>
      </c>
      <c r="I68" s="205">
        <f t="shared" si="98"/>
        <v>0</v>
      </c>
      <c r="J68" s="205">
        <f t="shared" si="98"/>
        <v>0</v>
      </c>
      <c r="K68" s="205">
        <f t="shared" si="98"/>
        <v>0</v>
      </c>
      <c r="L68" s="205">
        <f t="shared" si="88"/>
        <v>0</v>
      </c>
      <c r="M68" s="205">
        <f t="shared" si="98"/>
        <v>0</v>
      </c>
      <c r="N68" s="205">
        <f t="shared" si="98"/>
        <v>0</v>
      </c>
      <c r="O68" s="205">
        <f t="shared" si="98"/>
        <v>0</v>
      </c>
      <c r="P68" s="205">
        <f t="shared" si="98"/>
        <v>0</v>
      </c>
      <c r="Q68" s="205">
        <f t="shared" si="98"/>
        <v>0</v>
      </c>
      <c r="R68" s="205">
        <f t="shared" si="98"/>
        <v>0</v>
      </c>
      <c r="S68" s="205">
        <f t="shared" si="98"/>
        <v>0</v>
      </c>
      <c r="T68" s="205">
        <f t="shared" si="98"/>
        <v>0</v>
      </c>
      <c r="U68" s="205">
        <f t="shared" si="98"/>
        <v>0</v>
      </c>
      <c r="V68" s="205">
        <f t="shared" si="98"/>
        <v>0</v>
      </c>
      <c r="W68" s="205">
        <f t="shared" si="98"/>
        <v>0</v>
      </c>
      <c r="X68" s="205">
        <f t="shared" si="98"/>
        <v>0</v>
      </c>
      <c r="Y68" s="205">
        <f t="shared" si="98"/>
        <v>0</v>
      </c>
      <c r="Z68" s="205">
        <f t="shared" si="98"/>
        <v>0</v>
      </c>
      <c r="AA68" s="205">
        <f t="shared" si="98"/>
        <v>0</v>
      </c>
      <c r="AB68" s="205">
        <f t="shared" si="98"/>
        <v>0</v>
      </c>
      <c r="AC68" s="205">
        <f t="shared" si="98"/>
        <v>0</v>
      </c>
      <c r="AD68" s="205">
        <f t="shared" si="98"/>
        <v>0</v>
      </c>
      <c r="AE68" s="205">
        <f t="shared" si="98"/>
        <v>0</v>
      </c>
      <c r="AF68" s="205">
        <f t="shared" si="98"/>
        <v>0</v>
      </c>
      <c r="AG68" s="205">
        <f t="shared" si="98"/>
        <v>0</v>
      </c>
      <c r="AH68" s="205">
        <f t="shared" si="98"/>
        <v>0</v>
      </c>
      <c r="AI68" s="205">
        <f t="shared" si="98"/>
        <v>0</v>
      </c>
      <c r="AJ68" s="205">
        <f t="shared" si="98"/>
        <v>0</v>
      </c>
      <c r="AK68" s="205">
        <f t="shared" si="98"/>
        <v>0</v>
      </c>
      <c r="AL68" s="205">
        <f t="shared" si="98"/>
        <v>0</v>
      </c>
      <c r="AM68" s="205">
        <f t="shared" si="98"/>
        <v>0</v>
      </c>
      <c r="AN68" s="205">
        <f t="shared" si="98"/>
        <v>0</v>
      </c>
      <c r="AO68" s="205">
        <f t="shared" si="98"/>
        <v>0</v>
      </c>
      <c r="AP68" s="205">
        <f t="shared" si="98"/>
        <v>0</v>
      </c>
      <c r="AQ68" s="205">
        <f t="shared" si="98"/>
        <v>0</v>
      </c>
      <c r="AR68" s="205">
        <f t="shared" si="98"/>
        <v>0</v>
      </c>
      <c r="AS68" s="205">
        <f t="shared" si="98"/>
        <v>0</v>
      </c>
      <c r="AT68" s="205">
        <f t="shared" si="98"/>
        <v>0</v>
      </c>
      <c r="AU68" s="205">
        <f t="shared" si="98"/>
        <v>0</v>
      </c>
      <c r="AV68" s="205">
        <f t="shared" si="98"/>
        <v>0</v>
      </c>
      <c r="AW68" s="205">
        <f t="shared" si="98"/>
        <v>0</v>
      </c>
      <c r="AX68" s="205">
        <f t="shared" si="98"/>
        <v>0</v>
      </c>
      <c r="AY68" s="205">
        <f t="shared" si="98"/>
        <v>0</v>
      </c>
      <c r="AZ68" s="205">
        <f t="shared" si="98"/>
        <v>0</v>
      </c>
      <c r="BA68" s="205">
        <f t="shared" si="98"/>
        <v>0</v>
      </c>
      <c r="BB68" s="205">
        <f t="shared" si="98"/>
        <v>0</v>
      </c>
      <c r="BC68" s="205">
        <f t="shared" si="98"/>
        <v>0</v>
      </c>
      <c r="BD68" s="205">
        <f t="shared" si="98"/>
        <v>0</v>
      </c>
      <c r="BE68" s="205">
        <f t="shared" si="98"/>
        <v>0</v>
      </c>
      <c r="BF68" s="205">
        <f t="shared" si="98"/>
        <v>0</v>
      </c>
      <c r="BG68" s="205">
        <f t="shared" si="98"/>
        <v>0</v>
      </c>
      <c r="BH68" s="205">
        <f t="shared" si="98"/>
        <v>0</v>
      </c>
      <c r="BI68" s="205">
        <f t="shared" si="98"/>
        <v>0</v>
      </c>
      <c r="BJ68" s="205">
        <f t="shared" si="98"/>
        <v>0</v>
      </c>
      <c r="BK68" s="205">
        <f t="shared" si="98"/>
        <v>0</v>
      </c>
      <c r="BL68" s="205">
        <f t="shared" si="98"/>
        <v>0</v>
      </c>
      <c r="BM68" s="205">
        <f t="shared" si="98"/>
        <v>0</v>
      </c>
      <c r="BN68" s="205">
        <f t="shared" si="98"/>
        <v>0</v>
      </c>
      <c r="BO68" s="205">
        <f t="shared" si="98"/>
        <v>0</v>
      </c>
      <c r="BP68" s="205">
        <f t="shared" si="98"/>
        <v>0</v>
      </c>
      <c r="BQ68" s="205">
        <f t="shared" si="98"/>
        <v>0</v>
      </c>
      <c r="BR68" s="205">
        <f t="shared" ref="BR68:DA68" si="99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0</v>
      </c>
      <c r="BS68" s="205">
        <f t="shared" si="99"/>
        <v>0</v>
      </c>
      <c r="BT68" s="205">
        <f t="shared" si="99"/>
        <v>0</v>
      </c>
      <c r="BU68" s="205">
        <f t="shared" si="99"/>
        <v>0</v>
      </c>
      <c r="BV68" s="205">
        <f t="shared" si="99"/>
        <v>0</v>
      </c>
      <c r="BW68" s="205">
        <f t="shared" si="99"/>
        <v>0</v>
      </c>
      <c r="BX68" s="205">
        <f t="shared" si="99"/>
        <v>0</v>
      </c>
      <c r="BY68" s="205">
        <f t="shared" si="99"/>
        <v>0</v>
      </c>
      <c r="BZ68" s="205">
        <f t="shared" si="99"/>
        <v>0</v>
      </c>
      <c r="CA68" s="205">
        <f t="shared" si="99"/>
        <v>0</v>
      </c>
      <c r="CB68" s="205">
        <f t="shared" si="99"/>
        <v>0</v>
      </c>
      <c r="CC68" s="205">
        <f t="shared" si="99"/>
        <v>0</v>
      </c>
      <c r="CD68" s="205">
        <f t="shared" si="99"/>
        <v>0</v>
      </c>
      <c r="CE68" s="205">
        <f t="shared" si="99"/>
        <v>0</v>
      </c>
      <c r="CF68" s="205">
        <f t="shared" si="99"/>
        <v>0</v>
      </c>
      <c r="CG68" s="205">
        <f t="shared" si="99"/>
        <v>0</v>
      </c>
      <c r="CH68" s="205">
        <f t="shared" si="99"/>
        <v>0</v>
      </c>
      <c r="CI68" s="205">
        <f t="shared" si="99"/>
        <v>0</v>
      </c>
      <c r="CJ68" s="205">
        <f t="shared" si="99"/>
        <v>0</v>
      </c>
      <c r="CK68" s="205">
        <f t="shared" si="99"/>
        <v>2508</v>
      </c>
      <c r="CL68" s="205">
        <f t="shared" si="99"/>
        <v>7524</v>
      </c>
      <c r="CM68" s="205">
        <f t="shared" si="99"/>
        <v>12540</v>
      </c>
      <c r="CN68" s="205">
        <f t="shared" si="99"/>
        <v>17556</v>
      </c>
      <c r="CO68" s="205">
        <f t="shared" si="99"/>
        <v>22572</v>
      </c>
      <c r="CP68" s="205">
        <f t="shared" si="99"/>
        <v>27588</v>
      </c>
      <c r="CQ68" s="205">
        <f t="shared" si="99"/>
        <v>32604</v>
      </c>
      <c r="CR68" s="205">
        <f t="shared" si="99"/>
        <v>37620</v>
      </c>
      <c r="CS68" s="205">
        <f t="shared" si="99"/>
        <v>42636</v>
      </c>
      <c r="CT68" s="205">
        <f t="shared" si="99"/>
        <v>47652</v>
      </c>
      <c r="CU68" s="205">
        <f t="shared" si="99"/>
        <v>52668</v>
      </c>
      <c r="CV68" s="205">
        <f t="shared" si="99"/>
        <v>57684</v>
      </c>
      <c r="CW68" s="205">
        <f t="shared" si="99"/>
        <v>62700</v>
      </c>
      <c r="CX68" s="205">
        <f t="shared" si="99"/>
        <v>68903.5</v>
      </c>
      <c r="CY68" s="205">
        <f t="shared" si="99"/>
        <v>75107</v>
      </c>
      <c r="CZ68" s="205">
        <f t="shared" si="99"/>
        <v>81310.5</v>
      </c>
      <c r="DA68" s="205">
        <f t="shared" si="99"/>
        <v>87514</v>
      </c>
    </row>
    <row r="69" spans="1:105" s="205" customFormat="1">
      <c r="A69" s="205" t="str">
        <f>Income!A83</f>
        <v>Food transfer - official</v>
      </c>
      <c r="F69" s="205">
        <f t="shared" ref="F69:BQ70" si="100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1009.1726124276728</v>
      </c>
      <c r="G69" s="205">
        <f t="shared" si="100"/>
        <v>1009.1726124276728</v>
      </c>
      <c r="H69" s="205">
        <f t="shared" si="100"/>
        <v>1009.1726124276728</v>
      </c>
      <c r="I69" s="205">
        <f t="shared" si="100"/>
        <v>1009.1726124276728</v>
      </c>
      <c r="J69" s="205">
        <f t="shared" si="100"/>
        <v>1009.1726124276728</v>
      </c>
      <c r="K69" s="205">
        <f t="shared" si="100"/>
        <v>1009.1726124276728</v>
      </c>
      <c r="L69" s="205">
        <f t="shared" si="88"/>
        <v>1009.1726124276728</v>
      </c>
      <c r="M69" s="205">
        <f t="shared" si="100"/>
        <v>1009.1726124276728</v>
      </c>
      <c r="N69" s="205">
        <f t="shared" si="100"/>
        <v>1009.1726124276728</v>
      </c>
      <c r="O69" s="205">
        <f t="shared" si="100"/>
        <v>1009.1726124276728</v>
      </c>
      <c r="P69" s="205">
        <f t="shared" si="100"/>
        <v>1009.1726124276728</v>
      </c>
      <c r="Q69" s="205">
        <f t="shared" si="100"/>
        <v>1009.1726124276728</v>
      </c>
      <c r="R69" s="205">
        <f t="shared" si="100"/>
        <v>1009.1726124276728</v>
      </c>
      <c r="S69" s="205">
        <f t="shared" si="100"/>
        <v>1009.1726124276728</v>
      </c>
      <c r="T69" s="205">
        <f t="shared" si="100"/>
        <v>1009.1726124276728</v>
      </c>
      <c r="U69" s="205">
        <f t="shared" si="100"/>
        <v>1009.1726124276728</v>
      </c>
      <c r="V69" s="205">
        <f t="shared" si="100"/>
        <v>1009.1726124276728</v>
      </c>
      <c r="W69" s="205">
        <f t="shared" si="100"/>
        <v>1009.1726124276728</v>
      </c>
      <c r="X69" s="205">
        <f t="shared" si="100"/>
        <v>1009.1726124276728</v>
      </c>
      <c r="Y69" s="205">
        <f t="shared" si="100"/>
        <v>1009.1726124276728</v>
      </c>
      <c r="Z69" s="205">
        <f t="shared" si="100"/>
        <v>1009.1726124276728</v>
      </c>
      <c r="AA69" s="205">
        <f t="shared" si="100"/>
        <v>1009.1726124276728</v>
      </c>
      <c r="AB69" s="205">
        <f t="shared" si="100"/>
        <v>1009.1726124276728</v>
      </c>
      <c r="AC69" s="205">
        <f t="shared" si="100"/>
        <v>1009.1726124276728</v>
      </c>
      <c r="AD69" s="205">
        <f t="shared" si="100"/>
        <v>1009.1726124276728</v>
      </c>
      <c r="AE69" s="205">
        <f t="shared" si="100"/>
        <v>1009.1726124276728</v>
      </c>
      <c r="AF69" s="205">
        <f t="shared" si="100"/>
        <v>1009.1726124276728</v>
      </c>
      <c r="AG69" s="205">
        <f t="shared" si="100"/>
        <v>1009.1726124276728</v>
      </c>
      <c r="AH69" s="205">
        <f t="shared" si="100"/>
        <v>1009.1726124276728</v>
      </c>
      <c r="AI69" s="205">
        <f t="shared" si="100"/>
        <v>1009.1726124276728</v>
      </c>
      <c r="AJ69" s="205">
        <f t="shared" si="100"/>
        <v>1009.1726124276728</v>
      </c>
      <c r="AK69" s="205">
        <f t="shared" si="100"/>
        <v>1009.1726124276728</v>
      </c>
      <c r="AL69" s="205">
        <f t="shared" si="100"/>
        <v>1009.1726124276728</v>
      </c>
      <c r="AM69" s="205">
        <f t="shared" si="100"/>
        <v>1009.1726124276728</v>
      </c>
      <c r="AN69" s="205">
        <f t="shared" si="100"/>
        <v>1009.1726124276728</v>
      </c>
      <c r="AO69" s="205">
        <f t="shared" si="100"/>
        <v>1009.1726124276728</v>
      </c>
      <c r="AP69" s="205">
        <f t="shared" si="100"/>
        <v>1009.1726124276728</v>
      </c>
      <c r="AQ69" s="205">
        <f t="shared" si="100"/>
        <v>1009.1726124276728</v>
      </c>
      <c r="AR69" s="205">
        <f t="shared" si="100"/>
        <v>1009.1726124276728</v>
      </c>
      <c r="AS69" s="205">
        <f t="shared" si="100"/>
        <v>1009.1726124276728</v>
      </c>
      <c r="AT69" s="205">
        <f t="shared" si="100"/>
        <v>1009.1726124276728</v>
      </c>
      <c r="AU69" s="205">
        <f t="shared" si="100"/>
        <v>1009.1726124276728</v>
      </c>
      <c r="AV69" s="205">
        <f t="shared" si="100"/>
        <v>1009.1726124276728</v>
      </c>
      <c r="AW69" s="205">
        <f t="shared" si="100"/>
        <v>1009.1726124276728</v>
      </c>
      <c r="AX69" s="205">
        <f t="shared" si="100"/>
        <v>1009.1726124276729</v>
      </c>
      <c r="AY69" s="205">
        <f t="shared" si="100"/>
        <v>1009.1726124276729</v>
      </c>
      <c r="AZ69" s="205">
        <f t="shared" si="100"/>
        <v>1009.1726124276729</v>
      </c>
      <c r="BA69" s="205">
        <f t="shared" si="100"/>
        <v>1009.1726124276729</v>
      </c>
      <c r="BB69" s="205">
        <f t="shared" si="100"/>
        <v>1009.1726124276729</v>
      </c>
      <c r="BC69" s="205">
        <f t="shared" si="100"/>
        <v>1009.1726124276729</v>
      </c>
      <c r="BD69" s="205">
        <f t="shared" si="100"/>
        <v>1009.1726124276729</v>
      </c>
      <c r="BE69" s="205">
        <f t="shared" si="100"/>
        <v>1009.1726124276729</v>
      </c>
      <c r="BF69" s="205">
        <f t="shared" si="100"/>
        <v>1009.1726124276729</v>
      </c>
      <c r="BG69" s="205">
        <f t="shared" si="100"/>
        <v>1009.1726124276729</v>
      </c>
      <c r="BH69" s="205">
        <f t="shared" si="100"/>
        <v>1009.1726124276729</v>
      </c>
      <c r="BI69" s="205">
        <f t="shared" si="100"/>
        <v>1009.1726124276729</v>
      </c>
      <c r="BJ69" s="205">
        <f t="shared" si="100"/>
        <v>1009.1726124276729</v>
      </c>
      <c r="BK69" s="205">
        <f t="shared" si="100"/>
        <v>1009.1726124276729</v>
      </c>
      <c r="BL69" s="205">
        <f t="shared" si="100"/>
        <v>1009.1726124276729</v>
      </c>
      <c r="BM69" s="205">
        <f t="shared" si="100"/>
        <v>1009.1726124276729</v>
      </c>
      <c r="BN69" s="205">
        <f t="shared" si="100"/>
        <v>1009.1726124276729</v>
      </c>
      <c r="BO69" s="205">
        <f t="shared" si="100"/>
        <v>1009.1726124276729</v>
      </c>
      <c r="BP69" s="205">
        <f t="shared" si="100"/>
        <v>1009.1726124276729</v>
      </c>
      <c r="BQ69" s="205">
        <f t="shared" si="100"/>
        <v>1009.1726124276729</v>
      </c>
      <c r="BR69" s="205">
        <f t="shared" ref="BR69:DA69" si="101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1009.1726124276729</v>
      </c>
      <c r="BS69" s="205">
        <f t="shared" si="101"/>
        <v>1009.1726124276729</v>
      </c>
      <c r="BT69" s="205">
        <f t="shared" si="101"/>
        <v>1009.1726124276729</v>
      </c>
      <c r="BU69" s="205">
        <f t="shared" si="101"/>
        <v>1009.1726124276729</v>
      </c>
      <c r="BV69" s="205">
        <f t="shared" si="101"/>
        <v>1009.1726124276729</v>
      </c>
      <c r="BW69" s="205">
        <f t="shared" si="101"/>
        <v>1009.1726124276729</v>
      </c>
      <c r="BX69" s="205">
        <f t="shared" si="101"/>
        <v>1009.1726124276729</v>
      </c>
      <c r="BY69" s="205">
        <f t="shared" si="101"/>
        <v>1009.1726124276729</v>
      </c>
      <c r="BZ69" s="205">
        <f t="shared" si="101"/>
        <v>1009.1726124276729</v>
      </c>
      <c r="CA69" s="205">
        <f t="shared" si="101"/>
        <v>1009.1726124276728</v>
      </c>
      <c r="CB69" s="205">
        <f t="shared" si="101"/>
        <v>1009.1726124276728</v>
      </c>
      <c r="CC69" s="205">
        <f t="shared" si="101"/>
        <v>1009.1726124276728</v>
      </c>
      <c r="CD69" s="205">
        <f t="shared" si="101"/>
        <v>1009.1726124276728</v>
      </c>
      <c r="CE69" s="205">
        <f t="shared" si="101"/>
        <v>1009.1726124276728</v>
      </c>
      <c r="CF69" s="205">
        <f t="shared" si="101"/>
        <v>1009.1726124276728</v>
      </c>
      <c r="CG69" s="205">
        <f t="shared" si="101"/>
        <v>1009.1726124276728</v>
      </c>
      <c r="CH69" s="205">
        <f t="shared" si="101"/>
        <v>1009.1726124276728</v>
      </c>
      <c r="CI69" s="205">
        <f t="shared" si="101"/>
        <v>1009.1726124276728</v>
      </c>
      <c r="CJ69" s="205">
        <f t="shared" si="101"/>
        <v>1009.1726124276728</v>
      </c>
      <c r="CK69" s="205">
        <f t="shared" si="101"/>
        <v>968.80570793056586</v>
      </c>
      <c r="CL69" s="205">
        <f t="shared" si="101"/>
        <v>888.071898936352</v>
      </c>
      <c r="CM69" s="205">
        <f t="shared" si="101"/>
        <v>807.33808994213825</v>
      </c>
      <c r="CN69" s="205">
        <f t="shared" si="101"/>
        <v>726.60428094792451</v>
      </c>
      <c r="CO69" s="205">
        <f t="shared" si="101"/>
        <v>645.87047195371065</v>
      </c>
      <c r="CP69" s="205">
        <f t="shared" si="101"/>
        <v>565.13666295949679</v>
      </c>
      <c r="CQ69" s="205">
        <f t="shared" si="101"/>
        <v>484.40285396528293</v>
      </c>
      <c r="CR69" s="205">
        <f t="shared" si="101"/>
        <v>403.66904497106918</v>
      </c>
      <c r="CS69" s="205">
        <f t="shared" si="101"/>
        <v>322.93523597685532</v>
      </c>
      <c r="CT69" s="205">
        <f t="shared" si="101"/>
        <v>242.20142698264158</v>
      </c>
      <c r="CU69" s="205">
        <f t="shared" si="101"/>
        <v>161.46761798842772</v>
      </c>
      <c r="CV69" s="205">
        <f t="shared" si="101"/>
        <v>80.733808994213859</v>
      </c>
      <c r="CW69" s="205">
        <f t="shared" si="101"/>
        <v>1.1368683772161603E-13</v>
      </c>
      <c r="CX69" s="205">
        <f t="shared" si="101"/>
        <v>14.730000000000004</v>
      </c>
      <c r="CY69" s="205">
        <f t="shared" si="101"/>
        <v>29.460000000000008</v>
      </c>
      <c r="CZ69" s="205">
        <f t="shared" si="101"/>
        <v>44.190000000000012</v>
      </c>
      <c r="DA69" s="205">
        <f t="shared" si="101"/>
        <v>58.920000000000016</v>
      </c>
    </row>
    <row r="70" spans="1:105" s="205" customFormat="1">
      <c r="A70" s="205" t="str">
        <f>Income!A85</f>
        <v>Cash transfer - official</v>
      </c>
      <c r="F70" s="205">
        <f t="shared" si="100"/>
        <v>23108.571428571428</v>
      </c>
      <c r="G70" s="205">
        <f t="shared" si="100"/>
        <v>23108.571428571428</v>
      </c>
      <c r="H70" s="205">
        <f t="shared" si="100"/>
        <v>23108.571428571428</v>
      </c>
      <c r="I70" s="205">
        <f t="shared" si="100"/>
        <v>23108.571428571428</v>
      </c>
      <c r="J70" s="205">
        <f t="shared" si="100"/>
        <v>23108.571428571428</v>
      </c>
      <c r="K70" s="205">
        <f t="shared" si="100"/>
        <v>23108.571428571428</v>
      </c>
      <c r="L70" s="205">
        <f t="shared" si="100"/>
        <v>23108.571428571428</v>
      </c>
      <c r="M70" s="205">
        <f t="shared" si="100"/>
        <v>23108.571428571428</v>
      </c>
      <c r="N70" s="205">
        <f t="shared" si="100"/>
        <v>23108.571428571428</v>
      </c>
      <c r="O70" s="205">
        <f t="shared" si="100"/>
        <v>23108.571428571428</v>
      </c>
      <c r="P70" s="205">
        <f t="shared" si="100"/>
        <v>23108.571428571428</v>
      </c>
      <c r="Q70" s="205">
        <f t="shared" si="100"/>
        <v>23108.571428571428</v>
      </c>
      <c r="R70" s="205">
        <f t="shared" si="100"/>
        <v>23108.571428571428</v>
      </c>
      <c r="S70" s="205">
        <f t="shared" si="100"/>
        <v>23108.571428571428</v>
      </c>
      <c r="T70" s="205">
        <f t="shared" si="100"/>
        <v>23108.571428571428</v>
      </c>
      <c r="U70" s="205">
        <f t="shared" si="100"/>
        <v>23108.571428571428</v>
      </c>
      <c r="V70" s="205">
        <f t="shared" si="100"/>
        <v>23108.571428571428</v>
      </c>
      <c r="W70" s="205">
        <f t="shared" si="100"/>
        <v>23108.571428571428</v>
      </c>
      <c r="X70" s="205">
        <f t="shared" si="100"/>
        <v>23108.571428571428</v>
      </c>
      <c r="Y70" s="205">
        <f t="shared" si="100"/>
        <v>23108.571428571428</v>
      </c>
      <c r="Z70" s="205">
        <f t="shared" si="100"/>
        <v>23108.571428571428</v>
      </c>
      <c r="AA70" s="205">
        <f t="shared" si="100"/>
        <v>23108.571428571428</v>
      </c>
      <c r="AB70" s="205">
        <f t="shared" si="100"/>
        <v>23108.571428571428</v>
      </c>
      <c r="AC70" s="205">
        <f t="shared" si="100"/>
        <v>23108.571428571428</v>
      </c>
      <c r="AD70" s="205">
        <f t="shared" si="100"/>
        <v>23108.571428571428</v>
      </c>
      <c r="AE70" s="205">
        <f t="shared" si="100"/>
        <v>23108.571428571428</v>
      </c>
      <c r="AF70" s="205">
        <f t="shared" si="100"/>
        <v>23079.542857142857</v>
      </c>
      <c r="AG70" s="205">
        <f t="shared" si="100"/>
        <v>23050.514285714286</v>
      </c>
      <c r="AH70" s="205">
        <f t="shared" si="100"/>
        <v>23021.485714285714</v>
      </c>
      <c r="AI70" s="205">
        <f t="shared" si="100"/>
        <v>22992.457142857143</v>
      </c>
      <c r="AJ70" s="205">
        <f t="shared" si="100"/>
        <v>22963.428571428569</v>
      </c>
      <c r="AK70" s="205">
        <f t="shared" si="100"/>
        <v>22934.399999999998</v>
      </c>
      <c r="AL70" s="205">
        <f t="shared" si="100"/>
        <v>22905.371428571427</v>
      </c>
      <c r="AM70" s="205">
        <f t="shared" si="100"/>
        <v>22876.342857142856</v>
      </c>
      <c r="AN70" s="205">
        <f t="shared" si="100"/>
        <v>22847.314285714285</v>
      </c>
      <c r="AO70" s="205">
        <f t="shared" si="100"/>
        <v>22818.285714285714</v>
      </c>
      <c r="AP70" s="205">
        <f t="shared" si="100"/>
        <v>22789.257142857143</v>
      </c>
      <c r="AQ70" s="205">
        <f t="shared" si="100"/>
        <v>22760.228571428572</v>
      </c>
      <c r="AR70" s="205">
        <f t="shared" si="100"/>
        <v>22731.200000000001</v>
      </c>
      <c r="AS70" s="205">
        <f t="shared" si="100"/>
        <v>22702.17142857143</v>
      </c>
      <c r="AT70" s="205">
        <f t="shared" si="100"/>
        <v>22673.142857142855</v>
      </c>
      <c r="AU70" s="205">
        <f t="shared" si="100"/>
        <v>22644.114285714284</v>
      </c>
      <c r="AV70" s="205">
        <f t="shared" si="100"/>
        <v>22615.085714285713</v>
      </c>
      <c r="AW70" s="205">
        <f t="shared" si="100"/>
        <v>22586.057142857142</v>
      </c>
      <c r="AX70" s="205">
        <f t="shared" si="100"/>
        <v>22557.028571428571</v>
      </c>
      <c r="AY70" s="205">
        <f t="shared" si="100"/>
        <v>22528</v>
      </c>
      <c r="AZ70" s="205">
        <f t="shared" si="100"/>
        <v>22498.971428571429</v>
      </c>
      <c r="BA70" s="205">
        <f t="shared" si="100"/>
        <v>22469.942857142858</v>
      </c>
      <c r="BB70" s="205">
        <f t="shared" si="100"/>
        <v>22440.914285714287</v>
      </c>
      <c r="BC70" s="205">
        <f t="shared" si="100"/>
        <v>22411.885714285712</v>
      </c>
      <c r="BD70" s="205">
        <f t="shared" si="100"/>
        <v>22382.857142857141</v>
      </c>
      <c r="BE70" s="205">
        <f t="shared" si="100"/>
        <v>22353.82857142857</v>
      </c>
      <c r="BF70" s="205">
        <f t="shared" si="100"/>
        <v>22324.799999999999</v>
      </c>
      <c r="BG70" s="205">
        <f t="shared" si="100"/>
        <v>22295.771428571428</v>
      </c>
      <c r="BH70" s="205">
        <f t="shared" si="100"/>
        <v>22266.742857142857</v>
      </c>
      <c r="BI70" s="205">
        <f t="shared" si="100"/>
        <v>22237.714285714286</v>
      </c>
      <c r="BJ70" s="205">
        <f t="shared" si="100"/>
        <v>22208.685714285715</v>
      </c>
      <c r="BK70" s="205">
        <f t="shared" si="100"/>
        <v>22179.657142857144</v>
      </c>
      <c r="BL70" s="205">
        <f t="shared" si="100"/>
        <v>22150.62857142857</v>
      </c>
      <c r="BM70" s="205">
        <f t="shared" si="100"/>
        <v>22121.599999999999</v>
      </c>
      <c r="BN70" s="205">
        <f t="shared" si="100"/>
        <v>22092.571428571428</v>
      </c>
      <c r="BO70" s="205">
        <f t="shared" si="100"/>
        <v>22063.542857142857</v>
      </c>
      <c r="BP70" s="205">
        <f t="shared" si="100"/>
        <v>22034.514285714286</v>
      </c>
      <c r="BQ70" s="205">
        <f t="shared" si="100"/>
        <v>21687.214285714286</v>
      </c>
      <c r="BR70" s="205">
        <f t="shared" ref="BR70:DA70" si="102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21021.642857142859</v>
      </c>
      <c r="BS70" s="205">
        <f t="shared" si="102"/>
        <v>20356.071428571428</v>
      </c>
      <c r="BT70" s="205">
        <f t="shared" si="102"/>
        <v>19690.5</v>
      </c>
      <c r="BU70" s="205">
        <f t="shared" si="102"/>
        <v>19024.928571428572</v>
      </c>
      <c r="BV70" s="205">
        <f t="shared" si="102"/>
        <v>18359.357142857145</v>
      </c>
      <c r="BW70" s="205">
        <f t="shared" si="102"/>
        <v>17693.785714285714</v>
      </c>
      <c r="BX70" s="205">
        <f t="shared" si="102"/>
        <v>17028.214285714286</v>
      </c>
      <c r="BY70" s="205">
        <f t="shared" si="102"/>
        <v>16362.642857142857</v>
      </c>
      <c r="BZ70" s="205">
        <f t="shared" si="102"/>
        <v>15697.071428571428</v>
      </c>
      <c r="CA70" s="205">
        <f t="shared" si="102"/>
        <v>15031.5</v>
      </c>
      <c r="CB70" s="205">
        <f t="shared" si="102"/>
        <v>14365.928571428572</v>
      </c>
      <c r="CC70" s="205">
        <f t="shared" si="102"/>
        <v>13700.357142857143</v>
      </c>
      <c r="CD70" s="205">
        <f t="shared" si="102"/>
        <v>13034.785714285714</v>
      </c>
      <c r="CE70" s="205">
        <f t="shared" si="102"/>
        <v>12369.214285714286</v>
      </c>
      <c r="CF70" s="205">
        <f t="shared" si="102"/>
        <v>11703.642857142857</v>
      </c>
      <c r="CG70" s="205">
        <f t="shared" si="102"/>
        <v>11038.071428571429</v>
      </c>
      <c r="CH70" s="205">
        <f t="shared" si="102"/>
        <v>10372.5</v>
      </c>
      <c r="CI70" s="205">
        <f t="shared" si="102"/>
        <v>9706.9285714285725</v>
      </c>
      <c r="CJ70" s="205">
        <f t="shared" si="102"/>
        <v>9041.3571428571431</v>
      </c>
      <c r="CK70" s="205">
        <f t="shared" si="102"/>
        <v>8665.0285714285728</v>
      </c>
      <c r="CL70" s="205">
        <f t="shared" si="102"/>
        <v>8577.942857142858</v>
      </c>
      <c r="CM70" s="205">
        <f t="shared" si="102"/>
        <v>8490.8571428571431</v>
      </c>
      <c r="CN70" s="205">
        <f t="shared" si="102"/>
        <v>8403.7714285714283</v>
      </c>
      <c r="CO70" s="205">
        <f t="shared" si="102"/>
        <v>8316.6857142857152</v>
      </c>
      <c r="CP70" s="205">
        <f t="shared" si="102"/>
        <v>8229.6</v>
      </c>
      <c r="CQ70" s="205">
        <f t="shared" si="102"/>
        <v>8142.5142857142864</v>
      </c>
      <c r="CR70" s="205">
        <f t="shared" si="102"/>
        <v>8055.4285714285716</v>
      </c>
      <c r="CS70" s="205">
        <f t="shared" si="102"/>
        <v>7968.3428571428576</v>
      </c>
      <c r="CT70" s="205">
        <f t="shared" si="102"/>
        <v>7881.2571428571428</v>
      </c>
      <c r="CU70" s="205">
        <f t="shared" si="102"/>
        <v>7794.1714285714288</v>
      </c>
      <c r="CV70" s="205">
        <f t="shared" si="102"/>
        <v>7707.0857142857149</v>
      </c>
      <c r="CW70" s="205">
        <f t="shared" si="102"/>
        <v>7620</v>
      </c>
      <c r="CX70" s="205">
        <f t="shared" si="102"/>
        <v>6492.17</v>
      </c>
      <c r="CY70" s="205">
        <f t="shared" si="102"/>
        <v>5364.34</v>
      </c>
      <c r="CZ70" s="205">
        <f t="shared" si="102"/>
        <v>4236.51</v>
      </c>
      <c r="DA70" s="205">
        <f t="shared" si="102"/>
        <v>3108.6800000000003</v>
      </c>
    </row>
    <row r="71" spans="1:105" s="205" customFormat="1">
      <c r="A71" s="205" t="str">
        <f>Income!A86</f>
        <v>Cash transfer - gifts</v>
      </c>
      <c r="F71" s="205">
        <f t="shared" ref="F71:BQ71" si="103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0</v>
      </c>
      <c r="G71" s="205">
        <f t="shared" si="103"/>
        <v>0</v>
      </c>
      <c r="H71" s="205">
        <f t="shared" si="103"/>
        <v>0</v>
      </c>
      <c r="I71" s="205">
        <f t="shared" si="103"/>
        <v>0</v>
      </c>
      <c r="J71" s="205">
        <f t="shared" si="103"/>
        <v>0</v>
      </c>
      <c r="K71" s="205">
        <f t="shared" si="103"/>
        <v>0</v>
      </c>
      <c r="L71" s="205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0</v>
      </c>
      <c r="M71" s="205">
        <f t="shared" si="103"/>
        <v>0</v>
      </c>
      <c r="N71" s="205">
        <f t="shared" si="103"/>
        <v>0</v>
      </c>
      <c r="O71" s="205">
        <f t="shared" si="103"/>
        <v>0</v>
      </c>
      <c r="P71" s="205">
        <f t="shared" si="103"/>
        <v>0</v>
      </c>
      <c r="Q71" s="205">
        <f t="shared" si="103"/>
        <v>0</v>
      </c>
      <c r="R71" s="205">
        <f t="shared" si="103"/>
        <v>0</v>
      </c>
      <c r="S71" s="205">
        <f t="shared" si="103"/>
        <v>0</v>
      </c>
      <c r="T71" s="205">
        <f t="shared" si="103"/>
        <v>0</v>
      </c>
      <c r="U71" s="205">
        <f t="shared" si="103"/>
        <v>0</v>
      </c>
      <c r="V71" s="205">
        <f t="shared" si="103"/>
        <v>0</v>
      </c>
      <c r="W71" s="205">
        <f t="shared" si="103"/>
        <v>0</v>
      </c>
      <c r="X71" s="205">
        <f t="shared" si="103"/>
        <v>0</v>
      </c>
      <c r="Y71" s="205">
        <f t="shared" si="103"/>
        <v>0</v>
      </c>
      <c r="Z71" s="205">
        <f t="shared" si="103"/>
        <v>0</v>
      </c>
      <c r="AA71" s="205">
        <f t="shared" si="103"/>
        <v>0</v>
      </c>
      <c r="AB71" s="205">
        <f t="shared" si="103"/>
        <v>0</v>
      </c>
      <c r="AC71" s="205">
        <f t="shared" si="103"/>
        <v>0</v>
      </c>
      <c r="AD71" s="205">
        <f t="shared" si="103"/>
        <v>0</v>
      </c>
      <c r="AE71" s="205">
        <f t="shared" si="103"/>
        <v>0</v>
      </c>
      <c r="AF71" s="205">
        <f t="shared" si="103"/>
        <v>0</v>
      </c>
      <c r="AG71" s="205">
        <f t="shared" si="103"/>
        <v>0</v>
      </c>
      <c r="AH71" s="205">
        <f t="shared" si="103"/>
        <v>0</v>
      </c>
      <c r="AI71" s="205">
        <f t="shared" si="103"/>
        <v>0</v>
      </c>
      <c r="AJ71" s="205">
        <f t="shared" si="103"/>
        <v>0</v>
      </c>
      <c r="AK71" s="205">
        <f t="shared" si="103"/>
        <v>0</v>
      </c>
      <c r="AL71" s="205">
        <f t="shared" si="103"/>
        <v>0</v>
      </c>
      <c r="AM71" s="205">
        <f t="shared" si="103"/>
        <v>0</v>
      </c>
      <c r="AN71" s="205">
        <f t="shared" si="103"/>
        <v>0</v>
      </c>
      <c r="AO71" s="205">
        <f t="shared" si="103"/>
        <v>0</v>
      </c>
      <c r="AP71" s="205">
        <f t="shared" si="103"/>
        <v>0</v>
      </c>
      <c r="AQ71" s="205">
        <f t="shared" si="103"/>
        <v>0</v>
      </c>
      <c r="AR71" s="205">
        <f t="shared" si="103"/>
        <v>0</v>
      </c>
      <c r="AS71" s="205">
        <f t="shared" si="103"/>
        <v>0</v>
      </c>
      <c r="AT71" s="205">
        <f t="shared" si="103"/>
        <v>0</v>
      </c>
      <c r="AU71" s="205">
        <f t="shared" si="103"/>
        <v>0</v>
      </c>
      <c r="AV71" s="205">
        <f t="shared" si="103"/>
        <v>0</v>
      </c>
      <c r="AW71" s="205">
        <f t="shared" si="103"/>
        <v>0</v>
      </c>
      <c r="AX71" s="205">
        <f t="shared" si="103"/>
        <v>0</v>
      </c>
      <c r="AY71" s="205">
        <f t="shared" si="103"/>
        <v>0</v>
      </c>
      <c r="AZ71" s="205">
        <f t="shared" si="103"/>
        <v>0</v>
      </c>
      <c r="BA71" s="205">
        <f t="shared" si="103"/>
        <v>0</v>
      </c>
      <c r="BB71" s="205">
        <f t="shared" si="103"/>
        <v>0</v>
      </c>
      <c r="BC71" s="205">
        <f t="shared" si="103"/>
        <v>0</v>
      </c>
      <c r="BD71" s="205">
        <f t="shared" si="103"/>
        <v>0</v>
      </c>
      <c r="BE71" s="205">
        <f t="shared" si="103"/>
        <v>0</v>
      </c>
      <c r="BF71" s="205">
        <f t="shared" si="103"/>
        <v>0</v>
      </c>
      <c r="BG71" s="205">
        <f t="shared" si="103"/>
        <v>0</v>
      </c>
      <c r="BH71" s="205">
        <f t="shared" si="103"/>
        <v>0</v>
      </c>
      <c r="BI71" s="205">
        <f t="shared" si="103"/>
        <v>0</v>
      </c>
      <c r="BJ71" s="205">
        <f t="shared" si="103"/>
        <v>0</v>
      </c>
      <c r="BK71" s="205">
        <f t="shared" si="103"/>
        <v>0</v>
      </c>
      <c r="BL71" s="205">
        <f t="shared" si="103"/>
        <v>0</v>
      </c>
      <c r="BM71" s="205">
        <f t="shared" si="103"/>
        <v>0</v>
      </c>
      <c r="BN71" s="205">
        <f t="shared" si="103"/>
        <v>0</v>
      </c>
      <c r="BO71" s="205">
        <f t="shared" si="103"/>
        <v>0</v>
      </c>
      <c r="BP71" s="205">
        <f t="shared" si="103"/>
        <v>0</v>
      </c>
      <c r="BQ71" s="205">
        <f t="shared" si="103"/>
        <v>342.85714285714283</v>
      </c>
      <c r="BR71" s="205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1028.5714285714284</v>
      </c>
      <c r="BS71" s="205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1714.2857142857142</v>
      </c>
      <c r="BT71" s="205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2400</v>
      </c>
      <c r="BU71" s="205">
        <f t="shared" ref="BU71:DA71" si="104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3085.7142857142853</v>
      </c>
      <c r="BV71" s="205">
        <f t="shared" si="104"/>
        <v>3771.4285714285711</v>
      </c>
      <c r="BW71" s="205">
        <f t="shared" si="104"/>
        <v>4457.1428571428569</v>
      </c>
      <c r="BX71" s="205">
        <f t="shared" si="104"/>
        <v>5142.8571428571422</v>
      </c>
      <c r="BY71" s="205">
        <f t="shared" si="104"/>
        <v>5828.5714285714284</v>
      </c>
      <c r="BZ71" s="205">
        <f t="shared" si="104"/>
        <v>6514.2857142857138</v>
      </c>
      <c r="CA71" s="205">
        <f t="shared" si="104"/>
        <v>7199.9999999999991</v>
      </c>
      <c r="CB71" s="205">
        <f t="shared" si="104"/>
        <v>7885.7142857142853</v>
      </c>
      <c r="CC71" s="205">
        <f t="shared" si="104"/>
        <v>8571.4285714285706</v>
      </c>
      <c r="CD71" s="205">
        <f t="shared" si="104"/>
        <v>9257.1428571428569</v>
      </c>
      <c r="CE71" s="205">
        <f t="shared" si="104"/>
        <v>9942.8571428571413</v>
      </c>
      <c r="CF71" s="205">
        <f t="shared" si="104"/>
        <v>10628.571428571428</v>
      </c>
      <c r="CG71" s="205">
        <f t="shared" si="104"/>
        <v>11314.285714285714</v>
      </c>
      <c r="CH71" s="205">
        <f t="shared" si="104"/>
        <v>12000</v>
      </c>
      <c r="CI71" s="205">
        <f t="shared" si="104"/>
        <v>12685.714285714284</v>
      </c>
      <c r="CJ71" s="205">
        <f t="shared" si="104"/>
        <v>13371.428571428571</v>
      </c>
      <c r="CK71" s="205">
        <f t="shared" si="104"/>
        <v>14207.314285714285</v>
      </c>
      <c r="CL71" s="205">
        <f t="shared" si="104"/>
        <v>15193.371428571429</v>
      </c>
      <c r="CM71" s="205">
        <f t="shared" si="104"/>
        <v>16179.428571428571</v>
      </c>
      <c r="CN71" s="205">
        <f t="shared" si="104"/>
        <v>17165.485714285714</v>
      </c>
      <c r="CO71" s="205">
        <f t="shared" si="104"/>
        <v>18151.542857142857</v>
      </c>
      <c r="CP71" s="205">
        <f t="shared" si="104"/>
        <v>19137.599999999999</v>
      </c>
      <c r="CQ71" s="205">
        <f t="shared" si="104"/>
        <v>20123.657142857141</v>
      </c>
      <c r="CR71" s="205">
        <f t="shared" si="104"/>
        <v>21109.714285714286</v>
      </c>
      <c r="CS71" s="205">
        <f t="shared" si="104"/>
        <v>22095.771428571428</v>
      </c>
      <c r="CT71" s="205">
        <f t="shared" si="104"/>
        <v>23081.828571428574</v>
      </c>
      <c r="CU71" s="205">
        <f t="shared" si="104"/>
        <v>24067.885714285716</v>
      </c>
      <c r="CV71" s="205">
        <f t="shared" si="104"/>
        <v>25053.942857142858</v>
      </c>
      <c r="CW71" s="205">
        <f t="shared" si="104"/>
        <v>26040</v>
      </c>
      <c r="CX71" s="205">
        <f t="shared" si="104"/>
        <v>26336.33</v>
      </c>
      <c r="CY71" s="205">
        <f t="shared" si="104"/>
        <v>26632.66</v>
      </c>
      <c r="CZ71" s="205">
        <f t="shared" si="104"/>
        <v>26928.99</v>
      </c>
      <c r="DA71" s="205">
        <f t="shared" si="104"/>
        <v>27225.32</v>
      </c>
    </row>
    <row r="72" spans="1:105" s="205" customFormat="1">
      <c r="A72" s="205" t="str">
        <f>Income!A88</f>
        <v>TOTAL</v>
      </c>
      <c r="F72" s="205">
        <f>SUM(F59:F71)</f>
        <v>33626.686424582367</v>
      </c>
      <c r="G72" s="205">
        <f t="shared" ref="G72:BR72" si="105">SUM(G59:G71)</f>
        <v>33626.686424582367</v>
      </c>
      <c r="H72" s="205">
        <f t="shared" si="105"/>
        <v>33626.686424582367</v>
      </c>
      <c r="I72" s="205">
        <f t="shared" si="105"/>
        <v>33626.686424582367</v>
      </c>
      <c r="J72" s="205">
        <f t="shared" si="105"/>
        <v>33626.686424582367</v>
      </c>
      <c r="K72" s="205">
        <f t="shared" si="105"/>
        <v>33626.686424582367</v>
      </c>
      <c r="L72" s="205">
        <f t="shared" si="105"/>
        <v>33626.686424582367</v>
      </c>
      <c r="M72" s="205">
        <f t="shared" si="105"/>
        <v>33626.686424582367</v>
      </c>
      <c r="N72" s="205">
        <f t="shared" si="105"/>
        <v>33626.686424582367</v>
      </c>
      <c r="O72" s="205">
        <f t="shared" si="105"/>
        <v>33626.686424582367</v>
      </c>
      <c r="P72" s="205">
        <f t="shared" si="105"/>
        <v>33626.686424582367</v>
      </c>
      <c r="Q72" s="205">
        <f t="shared" si="105"/>
        <v>33626.686424582367</v>
      </c>
      <c r="R72" s="205">
        <f t="shared" si="105"/>
        <v>33626.686424582367</v>
      </c>
      <c r="S72" s="205">
        <f t="shared" si="105"/>
        <v>33626.686424582367</v>
      </c>
      <c r="T72" s="205">
        <f t="shared" si="105"/>
        <v>33626.686424582367</v>
      </c>
      <c r="U72" s="205">
        <f t="shared" si="105"/>
        <v>33626.686424582367</v>
      </c>
      <c r="V72" s="205">
        <f t="shared" si="105"/>
        <v>33626.686424582367</v>
      </c>
      <c r="W72" s="205">
        <f t="shared" si="105"/>
        <v>33626.686424582367</v>
      </c>
      <c r="X72" s="205">
        <f t="shared" si="105"/>
        <v>33626.686424582367</v>
      </c>
      <c r="Y72" s="205">
        <f t="shared" si="105"/>
        <v>33626.686424582367</v>
      </c>
      <c r="Z72" s="205">
        <f t="shared" si="105"/>
        <v>33626.686424582367</v>
      </c>
      <c r="AA72" s="205">
        <f t="shared" si="105"/>
        <v>33626.686424582367</v>
      </c>
      <c r="AB72" s="205">
        <f t="shared" si="105"/>
        <v>33626.686424582367</v>
      </c>
      <c r="AC72" s="205">
        <f t="shared" si="105"/>
        <v>33626.686424582367</v>
      </c>
      <c r="AD72" s="205">
        <f t="shared" si="105"/>
        <v>33626.686424582367</v>
      </c>
      <c r="AE72" s="205">
        <f t="shared" si="105"/>
        <v>33626.686424582367</v>
      </c>
      <c r="AF72" s="205">
        <f t="shared" si="105"/>
        <v>33843.50793749826</v>
      </c>
      <c r="AG72" s="205">
        <f t="shared" si="105"/>
        <v>34060.329450414145</v>
      </c>
      <c r="AH72" s="205">
        <f t="shared" si="105"/>
        <v>34277.15096333003</v>
      </c>
      <c r="AI72" s="205">
        <f t="shared" si="105"/>
        <v>34493.972476245923</v>
      </c>
      <c r="AJ72" s="205">
        <f t="shared" si="105"/>
        <v>34710.793989161808</v>
      </c>
      <c r="AK72" s="205">
        <f t="shared" si="105"/>
        <v>34927.615502077693</v>
      </c>
      <c r="AL72" s="205">
        <f t="shared" si="105"/>
        <v>35144.437014993586</v>
      </c>
      <c r="AM72" s="205">
        <f t="shared" si="105"/>
        <v>35361.258527909478</v>
      </c>
      <c r="AN72" s="205">
        <f t="shared" si="105"/>
        <v>35578.080040825364</v>
      </c>
      <c r="AO72" s="205">
        <f t="shared" si="105"/>
        <v>35794.901553741256</v>
      </c>
      <c r="AP72" s="205">
        <f t="shared" si="105"/>
        <v>36011.723066657141</v>
      </c>
      <c r="AQ72" s="205">
        <f t="shared" si="105"/>
        <v>36228.544579573034</v>
      </c>
      <c r="AR72" s="205">
        <f t="shared" si="105"/>
        <v>36445.366092488926</v>
      </c>
      <c r="AS72" s="205">
        <f t="shared" si="105"/>
        <v>36662.187605404812</v>
      </c>
      <c r="AT72" s="205">
        <f t="shared" si="105"/>
        <v>36879.009118320697</v>
      </c>
      <c r="AU72" s="205">
        <f t="shared" si="105"/>
        <v>37095.830631236589</v>
      </c>
      <c r="AV72" s="205">
        <f t="shared" si="105"/>
        <v>37312.652144152475</v>
      </c>
      <c r="AW72" s="205">
        <f t="shared" si="105"/>
        <v>37529.47365706836</v>
      </c>
      <c r="AX72" s="205">
        <f t="shared" si="105"/>
        <v>37746.295169984252</v>
      </c>
      <c r="AY72" s="205">
        <f t="shared" si="105"/>
        <v>37963.116682900145</v>
      </c>
      <c r="AZ72" s="205">
        <f t="shared" si="105"/>
        <v>38179.93819581603</v>
      </c>
      <c r="BA72" s="205">
        <f t="shared" si="105"/>
        <v>38396.759708731915</v>
      </c>
      <c r="BB72" s="205">
        <f t="shared" si="105"/>
        <v>38613.581221647808</v>
      </c>
      <c r="BC72" s="205">
        <f t="shared" si="105"/>
        <v>38830.402734563701</v>
      </c>
      <c r="BD72" s="205">
        <f t="shared" si="105"/>
        <v>39047.224247479578</v>
      </c>
      <c r="BE72" s="205">
        <f t="shared" si="105"/>
        <v>39264.045760395471</v>
      </c>
      <c r="BF72" s="205">
        <f t="shared" si="105"/>
        <v>39480.867273311364</v>
      </c>
      <c r="BG72" s="205">
        <f t="shared" si="105"/>
        <v>39697.688786227256</v>
      </c>
      <c r="BH72" s="205">
        <f t="shared" si="105"/>
        <v>39914.510299143141</v>
      </c>
      <c r="BI72" s="205">
        <f t="shared" si="105"/>
        <v>40131.331812059027</v>
      </c>
      <c r="BJ72" s="205">
        <f t="shared" si="105"/>
        <v>40348.153324974919</v>
      </c>
      <c r="BK72" s="205">
        <f t="shared" si="105"/>
        <v>40564.974837890812</v>
      </c>
      <c r="BL72" s="205">
        <f t="shared" si="105"/>
        <v>40781.79635080669</v>
      </c>
      <c r="BM72" s="205">
        <f t="shared" si="105"/>
        <v>40998.617863722582</v>
      </c>
      <c r="BN72" s="205">
        <f t="shared" si="105"/>
        <v>41215.439376638475</v>
      </c>
      <c r="BO72" s="205">
        <f t="shared" si="105"/>
        <v>41432.260889554367</v>
      </c>
      <c r="BP72" s="205">
        <f t="shared" si="105"/>
        <v>41649.082402470245</v>
      </c>
      <c r="BQ72" s="205">
        <f t="shared" si="105"/>
        <v>43266.916645936522</v>
      </c>
      <c r="BR72" s="205">
        <f t="shared" si="105"/>
        <v>46285.763619953177</v>
      </c>
      <c r="BS72" s="205">
        <f t="shared" ref="BS72:DA72" si="106">SUM(BS59:BS71)</f>
        <v>49304.610593969839</v>
      </c>
      <c r="BT72" s="205">
        <f t="shared" si="106"/>
        <v>52323.457567986494</v>
      </c>
      <c r="BU72" s="205">
        <f t="shared" si="106"/>
        <v>55342.304542003156</v>
      </c>
      <c r="BV72" s="205">
        <f t="shared" si="106"/>
        <v>58361.151516019818</v>
      </c>
      <c r="BW72" s="205">
        <f t="shared" si="106"/>
        <v>61379.99849003648</v>
      </c>
      <c r="BX72" s="205">
        <f t="shared" si="106"/>
        <v>64398.845464053127</v>
      </c>
      <c r="BY72" s="205">
        <f t="shared" si="106"/>
        <v>67417.692438069789</v>
      </c>
      <c r="BZ72" s="205">
        <f t="shared" si="106"/>
        <v>70436.539412086451</v>
      </c>
      <c r="CA72" s="205">
        <f t="shared" si="106"/>
        <v>73455.386386103113</v>
      </c>
      <c r="CB72" s="205">
        <f t="shared" si="106"/>
        <v>76474.233360119775</v>
      </c>
      <c r="CC72" s="205">
        <f t="shared" si="106"/>
        <v>79493.080334136408</v>
      </c>
      <c r="CD72" s="205">
        <f t="shared" si="106"/>
        <v>82511.927308153085</v>
      </c>
      <c r="CE72" s="205">
        <f t="shared" si="106"/>
        <v>85530.774282169732</v>
      </c>
      <c r="CF72" s="205">
        <f t="shared" si="106"/>
        <v>88549.621256186394</v>
      </c>
      <c r="CG72" s="205">
        <f t="shared" si="106"/>
        <v>91568.468230203056</v>
      </c>
      <c r="CH72" s="205">
        <f t="shared" si="106"/>
        <v>94587.315204219718</v>
      </c>
      <c r="CI72" s="205">
        <f t="shared" si="106"/>
        <v>97606.16217823638</v>
      </c>
      <c r="CJ72" s="205">
        <f t="shared" si="106"/>
        <v>100625.00915225303</v>
      </c>
      <c r="CK72" s="205">
        <f t="shared" si="106"/>
        <v>106747.56995647536</v>
      </c>
      <c r="CL72" s="205">
        <f t="shared" si="106"/>
        <v>115973.84459090339</v>
      </c>
      <c r="CM72" s="205">
        <f t="shared" si="106"/>
        <v>125200.11922533142</v>
      </c>
      <c r="CN72" s="205">
        <f t="shared" si="106"/>
        <v>134426.3938597595</v>
      </c>
      <c r="CO72" s="205">
        <f t="shared" si="106"/>
        <v>143652.66849418753</v>
      </c>
      <c r="CP72" s="205">
        <f t="shared" si="106"/>
        <v>152878.94312861556</v>
      </c>
      <c r="CQ72" s="205">
        <f t="shared" si="106"/>
        <v>162105.21776304362</v>
      </c>
      <c r="CR72" s="205">
        <f t="shared" si="106"/>
        <v>171331.49239747165</v>
      </c>
      <c r="CS72" s="205">
        <f t="shared" si="106"/>
        <v>180557.76703189968</v>
      </c>
      <c r="CT72" s="205">
        <f t="shared" si="106"/>
        <v>189784.04166632774</v>
      </c>
      <c r="CU72" s="205">
        <f t="shared" si="106"/>
        <v>199010.31630075577</v>
      </c>
      <c r="CV72" s="205">
        <f t="shared" si="106"/>
        <v>208236.59093518381</v>
      </c>
      <c r="CW72" s="205">
        <f t="shared" si="106"/>
        <v>217462.86556961184</v>
      </c>
      <c r="CX72" s="205">
        <f t="shared" si="106"/>
        <v>227242.66656961187</v>
      </c>
      <c r="CY72" s="205">
        <f t="shared" si="106"/>
        <v>237022.46756961182</v>
      </c>
      <c r="CZ72" s="205">
        <f t="shared" si="106"/>
        <v>246802.26856961183</v>
      </c>
      <c r="DA72" s="205">
        <f t="shared" si="106"/>
        <v>256582.06956961183</v>
      </c>
    </row>
    <row r="73" spans="1:105">
      <c r="A73" s="202" t="str">
        <f>Income!A89</f>
        <v>Food Poverty line</v>
      </c>
    </row>
    <row r="74" spans="1:105">
      <c r="A74" s="202" t="str">
        <f>Income!A90</f>
        <v>Lower Bound Poverty line</v>
      </c>
    </row>
    <row r="96" spans="4:15"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</row>
    <row r="97" spans="1:31">
      <c r="C97" s="211"/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</row>
    <row r="98" spans="1:31">
      <c r="C98" s="211"/>
      <c r="D98" s="213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</row>
    <row r="99" spans="1:31">
      <c r="C99" s="211"/>
      <c r="D99" s="213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</row>
    <row r="100" spans="1:31">
      <c r="C100" s="211"/>
      <c r="D100" s="213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</row>
    <row r="101" spans="1:31">
      <c r="C101" s="211"/>
      <c r="D101" s="213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</row>
    <row r="107" spans="1:31">
      <c r="B107" s="215">
        <f>A23</f>
        <v>0</v>
      </c>
      <c r="C107" s="215">
        <f>B23</f>
        <v>50</v>
      </c>
      <c r="D107" s="215">
        <f>C23</f>
        <v>75</v>
      </c>
      <c r="E107" s="215">
        <f>D23</f>
        <v>90</v>
      </c>
      <c r="F107" s="215">
        <f>E23</f>
        <v>100</v>
      </c>
      <c r="AD107" s="202" t="s">
        <v>117</v>
      </c>
    </row>
    <row r="108" spans="1:31">
      <c r="A108" s="214" t="str">
        <f t="shared" ref="A108:A120" si="107">A42</f>
        <v>Own crops Consumed</v>
      </c>
      <c r="B108" s="213">
        <v>0</v>
      </c>
      <c r="C108" s="213">
        <f>AD42</f>
        <v>0</v>
      </c>
      <c r="D108" s="213">
        <f>BU42</f>
        <v>-7.6124704025256618</v>
      </c>
      <c r="E108" s="213">
        <f>CR42</f>
        <v>-43.033307024467234</v>
      </c>
      <c r="F108" s="213">
        <f xml:space="preserve"> 0.0529*F107^2 - 5.8907*F107 + 166.43</f>
        <v>106.36000000000007</v>
      </c>
    </row>
    <row r="109" spans="1:31">
      <c r="A109" s="214" t="str">
        <f t="shared" si="107"/>
        <v>Own crops sold</v>
      </c>
      <c r="B109" s="213">
        <f xml:space="preserve"> 0.2249*B107^2 + 18.644*B107 + 340.26</f>
        <v>340.26</v>
      </c>
      <c r="C109" s="213">
        <f>AD43</f>
        <v>340.26</v>
      </c>
      <c r="D109" s="213">
        <f t="shared" ref="D109:D120" si="108">BU43</f>
        <v>1182.7142857142856</v>
      </c>
      <c r="E109" s="213">
        <f t="shared" ref="E109:E120" si="109">CR43</f>
        <v>-1222.5828571428567</v>
      </c>
      <c r="F109" s="213">
        <f xml:space="preserve"> 0.2249*F107^2 - 18.644*F107 + 340.26</f>
        <v>724.86000000000013</v>
      </c>
      <c r="AD109" s="218" t="s">
        <v>120</v>
      </c>
      <c r="AE109" s="202">
        <f>(0.0000001/7+0.00002/6+0.0039/5+0.2271/4+1.2857/3+16.311/2+13342)</f>
        <v>13350.641625014287</v>
      </c>
    </row>
    <row r="110" spans="1:31">
      <c r="A110" s="214" t="str">
        <f t="shared" si="107"/>
        <v>Animal products consumed</v>
      </c>
      <c r="B110" s="213">
        <v>0</v>
      </c>
      <c r="C110" s="213">
        <f t="shared" ref="C110:C120" si="110">AD44</f>
        <v>0</v>
      </c>
      <c r="D110" s="213">
        <f t="shared" si="108"/>
        <v>39.10230156204085</v>
      </c>
      <c r="E110" s="213">
        <f t="shared" si="109"/>
        <v>21.653179018147693</v>
      </c>
      <c r="F110" s="213">
        <f xml:space="preserve"> -0.005*F107^2 + 0.7378*F107 - 15.349</f>
        <v>8.4310000000000009</v>
      </c>
      <c r="AD110" s="218" t="s">
        <v>118</v>
      </c>
      <c r="AE110" s="202">
        <f>(0.5*(DA72-F72))</f>
        <v>111477.69157251474</v>
      </c>
    </row>
    <row r="111" spans="1:31">
      <c r="A111" s="214" t="str">
        <f t="shared" si="107"/>
        <v>Animal products sold</v>
      </c>
      <c r="B111" s="213">
        <v>0</v>
      </c>
      <c r="C111" s="213">
        <f t="shared" si="110"/>
        <v>0</v>
      </c>
      <c r="D111" s="213">
        <f t="shared" si="108"/>
        <v>0</v>
      </c>
      <c r="E111" s="213">
        <f t="shared" si="109"/>
        <v>0</v>
      </c>
      <c r="F111" s="213">
        <v>0</v>
      </c>
      <c r="AD111" s="218" t="s">
        <v>119</v>
      </c>
      <c r="AE111" s="213">
        <f>AE109/AE110</f>
        <v>0.1197606573717924</v>
      </c>
    </row>
    <row r="112" spans="1:31">
      <c r="A112" s="214" t="str">
        <f t="shared" si="107"/>
        <v>Animals sold</v>
      </c>
      <c r="B112" s="213">
        <v>0</v>
      </c>
      <c r="C112" s="213">
        <f t="shared" si="110"/>
        <v>0</v>
      </c>
      <c r="D112" s="213">
        <f t="shared" si="108"/>
        <v>935.35714285714278</v>
      </c>
      <c r="E112" s="213">
        <f t="shared" si="109"/>
        <v>343.4285714285719</v>
      </c>
      <c r="F112" s="213">
        <v>0</v>
      </c>
    </row>
    <row r="113" spans="1:31">
      <c r="A113" s="214" t="str">
        <f t="shared" si="107"/>
        <v>Wild foods consumed and sold</v>
      </c>
      <c r="B113" s="213">
        <v>0</v>
      </c>
      <c r="C113" s="213">
        <f t="shared" si="110"/>
        <v>0</v>
      </c>
      <c r="D113" s="213">
        <f t="shared" si="108"/>
        <v>0</v>
      </c>
      <c r="E113" s="213">
        <f t="shared" si="109"/>
        <v>0</v>
      </c>
      <c r="F113" s="213">
        <f xml:space="preserve"> 0.0898*F107^2 - 11.826*F107 + 336.79</f>
        <v>52.189999999999884</v>
      </c>
      <c r="AD113" s="218" t="s">
        <v>121</v>
      </c>
      <c r="AE113" s="202">
        <v>0.57299999999999995</v>
      </c>
    </row>
    <row r="114" spans="1:31">
      <c r="A114" s="214" t="str">
        <f t="shared" si="107"/>
        <v>Labour - casual</v>
      </c>
      <c r="B114" s="213">
        <v>0</v>
      </c>
      <c r="C114" s="213">
        <f t="shared" si="110"/>
        <v>0</v>
      </c>
      <c r="D114" s="213">
        <f t="shared" si="108"/>
        <v>-247.99999999999994</v>
      </c>
      <c r="E114" s="213">
        <f t="shared" si="109"/>
        <v>0</v>
      </c>
      <c r="F114" s="213">
        <v>0</v>
      </c>
      <c r="AD114" s="218" t="s">
        <v>122</v>
      </c>
      <c r="AE114" s="202">
        <v>0.51500000000000001</v>
      </c>
    </row>
    <row r="115" spans="1:31">
      <c r="A115" s="214" t="str">
        <f t="shared" si="107"/>
        <v>Labour - formal emp</v>
      </c>
      <c r="B115" s="213">
        <v>0</v>
      </c>
      <c r="C115" s="213">
        <f t="shared" si="110"/>
        <v>0</v>
      </c>
      <c r="D115" s="213">
        <f t="shared" si="108"/>
        <v>1097.1428571428571</v>
      </c>
      <c r="E115" s="213">
        <f t="shared" si="109"/>
        <v>4292.5714285714284</v>
      </c>
      <c r="F115" s="213">
        <f xml:space="preserve"> -2.582*F107^2 + 352.49*F107 - 6757.3</f>
        <v>2671.7</v>
      </c>
    </row>
    <row r="116" spans="1:31">
      <c r="A116" s="214" t="str">
        <f t="shared" si="107"/>
        <v>Self - employment</v>
      </c>
      <c r="B116" s="213">
        <v>0</v>
      </c>
      <c r="C116" s="213">
        <f t="shared" si="110"/>
        <v>0</v>
      </c>
      <c r="D116" s="213">
        <f t="shared" si="108"/>
        <v>0</v>
      </c>
      <c r="E116" s="213">
        <f t="shared" si="109"/>
        <v>0</v>
      </c>
      <c r="F116" s="213">
        <f xml:space="preserve"> 0.025*F107^2 - 2.8902*F107 + 868.55</f>
        <v>829.53</v>
      </c>
    </row>
    <row r="117" spans="1:31">
      <c r="A117" s="214" t="str">
        <f t="shared" si="107"/>
        <v>Small business/petty trading</v>
      </c>
      <c r="B117" s="213">
        <v>0</v>
      </c>
      <c r="C117" s="213">
        <f t="shared" si="110"/>
        <v>0</v>
      </c>
      <c r="D117" s="213">
        <f t="shared" si="108"/>
        <v>0</v>
      </c>
      <c r="E117" s="213">
        <f t="shared" si="109"/>
        <v>5016</v>
      </c>
      <c r="F117" s="213">
        <f xml:space="preserve"> 1.6289*F107^2 - 121.84*F107 + 2098.5</f>
        <v>6203.5</v>
      </c>
    </row>
    <row r="118" spans="1:31">
      <c r="A118" s="214" t="str">
        <f t="shared" si="107"/>
        <v>Food transfer - official</v>
      </c>
      <c r="B118" s="213">
        <f xml:space="preserve"> 0</f>
        <v>0</v>
      </c>
      <c r="C118" s="213">
        <f t="shared" si="110"/>
        <v>0</v>
      </c>
      <c r="D118" s="213">
        <f t="shared" si="108"/>
        <v>-5.6843418860808018E-15</v>
      </c>
      <c r="E118" s="213">
        <f t="shared" si="109"/>
        <v>-80.733808994213817</v>
      </c>
      <c r="F118" s="213">
        <f>0.0411*F107^2 - 5.0851*F107 + 112.24</f>
        <v>14.730000000000004</v>
      </c>
    </row>
    <row r="119" spans="1:31">
      <c r="A119" s="214" t="str">
        <f t="shared" si="107"/>
        <v>Cash transfer - official</v>
      </c>
      <c r="B119" s="213">
        <v>0</v>
      </c>
      <c r="C119" s="213">
        <f t="shared" si="110"/>
        <v>0</v>
      </c>
      <c r="D119" s="213">
        <f t="shared" si="108"/>
        <v>-665.57142857142856</v>
      </c>
      <c r="E119" s="213">
        <f t="shared" si="109"/>
        <v>-87.085714285714346</v>
      </c>
      <c r="F119" s="213">
        <f xml:space="preserve"> -0.4727*F107^2 + 44.988*F107 - 899.63</f>
        <v>-1127.83</v>
      </c>
    </row>
    <row r="120" spans="1:31">
      <c r="A120" s="214" t="str">
        <f t="shared" si="107"/>
        <v>Cash transfer - gifts</v>
      </c>
      <c r="B120" s="213">
        <v>0</v>
      </c>
      <c r="C120" s="213">
        <f t="shared" si="110"/>
        <v>0</v>
      </c>
      <c r="D120" s="213">
        <f t="shared" si="108"/>
        <v>685.71428571428567</v>
      </c>
      <c r="E120" s="213">
        <f t="shared" si="109"/>
        <v>986.05714285714294</v>
      </c>
      <c r="F120" s="213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>SAVAC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2016-04-27T21:08:38Z</dcterms:modified>
  <cp:category/>
</cp:coreProperties>
</file>